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amlet\UserShares\TSY\data\DewesC\desktop\PDF upload to pre-live\"/>
    </mc:Choice>
  </mc:AlternateContent>
  <bookViews>
    <workbookView xWindow="0" yWindow="0" windowWidth="18870" windowHeight="7665" tabRatio="771" firstSheet="1" activeTab="1"/>
  </bookViews>
  <sheets>
    <sheet name="Offsets" sheetId="220" state="hidden" r:id="rId1"/>
    <sheet name="Describe" sheetId="402" r:id="rId2"/>
    <sheet name="Popn" sheetId="406" r:id="rId3"/>
    <sheet name="Labour Force" sheetId="417" r:id="rId4"/>
    <sheet name="Tracks" sheetId="418" r:id="rId5"/>
    <sheet name="Scenarios" sheetId="340" r:id="rId6"/>
    <sheet name="Forecast Adjuster" sheetId="389" r:id="rId7"/>
    <sheet name="Data" sheetId="415" r:id="rId8"/>
    <sheet name="HYEFU 2012" sheetId="419" r:id="rId9"/>
    <sheet name="Option" sheetId="420" r:id="rId10"/>
    <sheet name="Preliminary HYEFU 2012 with ACC" sheetId="414" state="hidden" r:id="rId11"/>
  </sheets>
  <calcPr calcId="162913"/>
</workbook>
</file>

<file path=xl/calcChain.xml><?xml version="1.0" encoding="utf-8"?>
<calcChain xmlns="http://schemas.openxmlformats.org/spreadsheetml/2006/main">
  <c r="P161" i="419" l="1"/>
  <c r="Q161" i="419" s="1"/>
  <c r="R161" i="419" s="1"/>
  <c r="S161" i="419"/>
  <c r="T161" i="419" s="1"/>
  <c r="U161" i="419" s="1"/>
  <c r="V161" i="419" s="1"/>
  <c r="W161" i="419" s="1"/>
  <c r="X161" i="419" s="1"/>
  <c r="O161" i="419"/>
  <c r="K23" i="419"/>
  <c r="L23" i="419"/>
  <c r="M23" i="419"/>
  <c r="N23" i="419"/>
  <c r="J23" i="419"/>
  <c r="K14" i="419"/>
  <c r="L14" i="419"/>
  <c r="M14" i="419"/>
  <c r="N14" i="419"/>
  <c r="J14" i="419"/>
  <c r="K248" i="419"/>
  <c r="L248" i="419"/>
  <c r="M248" i="419"/>
  <c r="N248" i="419"/>
  <c r="J248" i="419"/>
  <c r="K247" i="419"/>
  <c r="L247" i="419"/>
  <c r="M247" i="419"/>
  <c r="N247" i="419"/>
  <c r="J247" i="419"/>
  <c r="K246" i="419"/>
  <c r="L246" i="419"/>
  <c r="M246" i="419"/>
  <c r="N246" i="419"/>
  <c r="J246" i="419"/>
  <c r="K243" i="419"/>
  <c r="L243" i="419"/>
  <c r="M243" i="419"/>
  <c r="N243" i="419"/>
  <c r="J243" i="419"/>
  <c r="K240" i="419"/>
  <c r="L240" i="419"/>
  <c r="M240" i="419"/>
  <c r="N240" i="419"/>
  <c r="J240" i="419"/>
  <c r="K238" i="419"/>
  <c r="L238" i="419"/>
  <c r="M238" i="419"/>
  <c r="N238" i="419"/>
  <c r="J238" i="419"/>
  <c r="K237" i="419"/>
  <c r="L237" i="419"/>
  <c r="M237" i="419"/>
  <c r="N237" i="419"/>
  <c r="J237" i="419"/>
  <c r="K235" i="419"/>
  <c r="L235" i="419"/>
  <c r="M235" i="419"/>
  <c r="N235" i="419"/>
  <c r="J235" i="419"/>
  <c r="K233" i="419"/>
  <c r="L233" i="419"/>
  <c r="M233" i="419"/>
  <c r="N233" i="419"/>
  <c r="J233" i="419"/>
  <c r="K231" i="419"/>
  <c r="L231" i="419"/>
  <c r="M231" i="419"/>
  <c r="N231" i="419"/>
  <c r="J231" i="419"/>
  <c r="K225" i="419"/>
  <c r="K215" i="419" s="1"/>
  <c r="L225" i="419"/>
  <c r="M225" i="419"/>
  <c r="M215" i="419"/>
  <c r="N225" i="419"/>
  <c r="N215" i="419" s="1"/>
  <c r="J225" i="419"/>
  <c r="J215" i="419" s="1"/>
  <c r="K223" i="419"/>
  <c r="L223" i="419"/>
  <c r="M223" i="419"/>
  <c r="N223" i="419"/>
  <c r="J223" i="419"/>
  <c r="L215" i="419"/>
  <c r="K202" i="420"/>
  <c r="L202" i="420"/>
  <c r="M202" i="420"/>
  <c r="N202" i="420"/>
  <c r="J202" i="420"/>
  <c r="E202" i="420"/>
  <c r="F202" i="420"/>
  <c r="G202" i="420"/>
  <c r="H202" i="420"/>
  <c r="I202" i="420"/>
  <c r="D202" i="420"/>
  <c r="K202" i="419"/>
  <c r="L202" i="419"/>
  <c r="M202" i="419"/>
  <c r="N202" i="419"/>
  <c r="J202" i="419"/>
  <c r="E202" i="419"/>
  <c r="F202" i="419"/>
  <c r="G202" i="419"/>
  <c r="H202" i="419"/>
  <c r="I202" i="419"/>
  <c r="D202" i="419"/>
  <c r="N200" i="420"/>
  <c r="K200" i="420"/>
  <c r="L200" i="420"/>
  <c r="M200" i="420"/>
  <c r="J200" i="420"/>
  <c r="E200" i="420"/>
  <c r="F200" i="420"/>
  <c r="G200" i="420"/>
  <c r="H200" i="420"/>
  <c r="I200" i="420"/>
  <c r="D200" i="420"/>
  <c r="K200" i="419"/>
  <c r="L200" i="419"/>
  <c r="M200" i="419"/>
  <c r="N200" i="419"/>
  <c r="J200" i="419"/>
  <c r="E200" i="419"/>
  <c r="F200" i="419"/>
  <c r="G200" i="419"/>
  <c r="H200" i="419"/>
  <c r="I200" i="419"/>
  <c r="D200" i="419"/>
  <c r="K195" i="419"/>
  <c r="L195" i="419"/>
  <c r="M195" i="419"/>
  <c r="N195" i="419"/>
  <c r="J195" i="419"/>
  <c r="K170" i="419"/>
  <c r="L170" i="419"/>
  <c r="M170" i="419"/>
  <c r="N170" i="419"/>
  <c r="J170" i="419"/>
  <c r="K169" i="419"/>
  <c r="L169" i="419"/>
  <c r="M169" i="419"/>
  <c r="N169" i="419"/>
  <c r="J169" i="419"/>
  <c r="K161" i="419"/>
  <c r="L161" i="419"/>
  <c r="M161" i="419"/>
  <c r="N161" i="419"/>
  <c r="K162" i="419"/>
  <c r="L162" i="419"/>
  <c r="M162" i="419"/>
  <c r="N162" i="419"/>
  <c r="O162" i="419" s="1"/>
  <c r="P162" i="419" s="1"/>
  <c r="Q162" i="419"/>
  <c r="R162" i="419" s="1"/>
  <c r="S162" i="419" s="1"/>
  <c r="T162" i="419" s="1"/>
  <c r="U162" i="419" s="1"/>
  <c r="V162" i="419" s="1"/>
  <c r="W162" i="419" s="1"/>
  <c r="X162" i="419" s="1"/>
  <c r="K163" i="419"/>
  <c r="L163" i="419"/>
  <c r="M163" i="419"/>
  <c r="N163" i="419"/>
  <c r="O163" i="419"/>
  <c r="P163" i="419"/>
  <c r="Q163" i="419" s="1"/>
  <c r="R163" i="419" s="1"/>
  <c r="S163" i="419" s="1"/>
  <c r="T163" i="419" s="1"/>
  <c r="U163" i="419" s="1"/>
  <c r="V163" i="419" s="1"/>
  <c r="W163" i="419" s="1"/>
  <c r="X163" i="419" s="1"/>
  <c r="K164" i="419"/>
  <c r="L164" i="419"/>
  <c r="M164" i="419"/>
  <c r="N164" i="419"/>
  <c r="O164" i="419" s="1"/>
  <c r="P164" i="419" s="1"/>
  <c r="Q164" i="419" s="1"/>
  <c r="R164" i="419" s="1"/>
  <c r="S164" i="419" s="1"/>
  <c r="T164" i="419" s="1"/>
  <c r="U164" i="419"/>
  <c r="V164" i="419" s="1"/>
  <c r="W164" i="419" s="1"/>
  <c r="X164" i="419" s="1"/>
  <c r="K165" i="419"/>
  <c r="L165" i="419"/>
  <c r="M165" i="419"/>
  <c r="N165" i="419"/>
  <c r="O165" i="419"/>
  <c r="P165" i="419"/>
  <c r="Q165" i="419" s="1"/>
  <c r="R165" i="419" s="1"/>
  <c r="S165" i="419"/>
  <c r="T165" i="419" s="1"/>
  <c r="U165" i="419" s="1"/>
  <c r="V165" i="419" s="1"/>
  <c r="W165" i="419" s="1"/>
  <c r="X165" i="419" s="1"/>
  <c r="K166" i="419"/>
  <c r="L166" i="419"/>
  <c r="M166" i="419"/>
  <c r="N166" i="419"/>
  <c r="O166" i="419" s="1"/>
  <c r="P166" i="419" s="1"/>
  <c r="Q166" i="419"/>
  <c r="R166" i="419" s="1"/>
  <c r="S166" i="419" s="1"/>
  <c r="T166" i="419" s="1"/>
  <c r="U166" i="419" s="1"/>
  <c r="V166" i="419" s="1"/>
  <c r="W166" i="419" s="1"/>
  <c r="X166" i="419" s="1"/>
  <c r="J166" i="419"/>
  <c r="J165" i="419"/>
  <c r="J164" i="419"/>
  <c r="J163" i="419"/>
  <c r="J162" i="419"/>
  <c r="J161" i="419"/>
  <c r="K157" i="419"/>
  <c r="L157" i="419"/>
  <c r="M157" i="419"/>
  <c r="N157" i="419"/>
  <c r="J157" i="419"/>
  <c r="K154" i="419"/>
  <c r="K153" i="419"/>
  <c r="L154" i="419"/>
  <c r="M154" i="419"/>
  <c r="M153" i="419"/>
  <c r="N154" i="419"/>
  <c r="J154" i="419"/>
  <c r="J153" i="419"/>
  <c r="K151" i="419"/>
  <c r="N150" i="419"/>
  <c r="K141" i="419"/>
  <c r="L141" i="419"/>
  <c r="M141" i="419"/>
  <c r="N141" i="419"/>
  <c r="J141" i="419"/>
  <c r="K137" i="419"/>
  <c r="L137" i="419"/>
  <c r="M137" i="419"/>
  <c r="N137" i="419"/>
  <c r="K138" i="419"/>
  <c r="L138" i="419"/>
  <c r="M138" i="419"/>
  <c r="N138" i="419"/>
  <c r="J138" i="419"/>
  <c r="J137" i="419"/>
  <c r="K115" i="419"/>
  <c r="L115" i="419"/>
  <c r="M115" i="419"/>
  <c r="N115" i="419"/>
  <c r="J115" i="419"/>
  <c r="K104" i="419"/>
  <c r="L104" i="419"/>
  <c r="M104" i="419"/>
  <c r="N104" i="419"/>
  <c r="J104" i="419"/>
  <c r="K90" i="419"/>
  <c r="L90" i="419"/>
  <c r="M90" i="419"/>
  <c r="N90" i="419"/>
  <c r="J90" i="419"/>
  <c r="K88" i="419"/>
  <c r="L88" i="419"/>
  <c r="M88" i="419"/>
  <c r="N88" i="419"/>
  <c r="K89" i="419"/>
  <c r="L89" i="419"/>
  <c r="M89" i="419"/>
  <c r="N89" i="419"/>
  <c r="J89" i="419"/>
  <c r="J88" i="419"/>
  <c r="K86" i="419"/>
  <c r="L86" i="419"/>
  <c r="M86" i="419"/>
  <c r="N86" i="419"/>
  <c r="K87" i="419"/>
  <c r="L87" i="419"/>
  <c r="M87" i="419"/>
  <c r="N87" i="419"/>
  <c r="J86" i="419"/>
  <c r="J87" i="419"/>
  <c r="K71" i="419"/>
  <c r="L71" i="419"/>
  <c r="M71" i="419"/>
  <c r="N71" i="419"/>
  <c r="K72" i="419"/>
  <c r="L72" i="419"/>
  <c r="M72" i="419"/>
  <c r="N72" i="419"/>
  <c r="K73" i="419"/>
  <c r="L73" i="419"/>
  <c r="M73" i="419"/>
  <c r="N73" i="419"/>
  <c r="K74" i="419"/>
  <c r="L74" i="419"/>
  <c r="M74" i="419"/>
  <c r="N74" i="419"/>
  <c r="K75" i="419"/>
  <c r="L75" i="419"/>
  <c r="M75" i="419"/>
  <c r="N75" i="419"/>
  <c r="K76" i="419"/>
  <c r="L76" i="419"/>
  <c r="M76" i="419"/>
  <c r="N76" i="419"/>
  <c r="K77" i="419"/>
  <c r="L77" i="419"/>
  <c r="M77" i="419"/>
  <c r="N77" i="419"/>
  <c r="K78" i="419"/>
  <c r="L78" i="419"/>
  <c r="M78" i="419"/>
  <c r="N78" i="419"/>
  <c r="K79" i="419"/>
  <c r="L79" i="419"/>
  <c r="M79" i="419"/>
  <c r="N79" i="419"/>
  <c r="K80" i="419"/>
  <c r="L80" i="419"/>
  <c r="M80" i="419"/>
  <c r="N80" i="419"/>
  <c r="J79" i="419"/>
  <c r="J77" i="419"/>
  <c r="J76" i="419"/>
  <c r="J75" i="419"/>
  <c r="J74" i="419"/>
  <c r="J73" i="419"/>
  <c r="J72" i="419"/>
  <c r="J71" i="419"/>
  <c r="K67" i="419"/>
  <c r="L67" i="419"/>
  <c r="M67" i="419"/>
  <c r="N67" i="419"/>
  <c r="J67" i="419"/>
  <c r="K66" i="419"/>
  <c r="L66" i="419"/>
  <c r="M66" i="419"/>
  <c r="N66" i="419"/>
  <c r="J66" i="419"/>
  <c r="K60" i="419"/>
  <c r="L60" i="419"/>
  <c r="M60" i="419"/>
  <c r="N60" i="419"/>
  <c r="J60" i="419"/>
  <c r="K54" i="419"/>
  <c r="L54" i="419"/>
  <c r="M54" i="419"/>
  <c r="N54" i="419"/>
  <c r="J54" i="419"/>
  <c r="K51" i="419"/>
  <c r="L51" i="419"/>
  <c r="M51" i="419"/>
  <c r="N51" i="419"/>
  <c r="J51" i="419"/>
  <c r="K50" i="419"/>
  <c r="L50" i="419"/>
  <c r="M50" i="419"/>
  <c r="N50" i="419"/>
  <c r="J50" i="419"/>
  <c r="K49" i="419"/>
  <c r="L49" i="419"/>
  <c r="M49" i="419"/>
  <c r="N49" i="419"/>
  <c r="J49" i="419"/>
  <c r="K48" i="419"/>
  <c r="L48" i="419"/>
  <c r="M48" i="419"/>
  <c r="N48" i="419"/>
  <c r="J48" i="419"/>
  <c r="N340" i="420"/>
  <c r="M340" i="420"/>
  <c r="L340" i="420"/>
  <c r="K340" i="420"/>
  <c r="J340" i="420"/>
  <c r="N339" i="420"/>
  <c r="M339" i="420"/>
  <c r="L339" i="420"/>
  <c r="K339" i="420"/>
  <c r="J339" i="420"/>
  <c r="N338" i="420"/>
  <c r="M338" i="420"/>
  <c r="L338" i="420"/>
  <c r="K338" i="420"/>
  <c r="J338" i="420"/>
  <c r="N337" i="420"/>
  <c r="M337" i="420"/>
  <c r="L337" i="420"/>
  <c r="K337" i="420"/>
  <c r="J337" i="420"/>
  <c r="N332" i="420"/>
  <c r="M332" i="420"/>
  <c r="L332" i="420"/>
  <c r="K332" i="420"/>
  <c r="J332" i="420"/>
  <c r="N331" i="420"/>
  <c r="M331" i="420"/>
  <c r="L331" i="420"/>
  <c r="K331" i="420"/>
  <c r="J331" i="420"/>
  <c r="N330" i="420"/>
  <c r="M330" i="420"/>
  <c r="L330" i="420"/>
  <c r="K330" i="420"/>
  <c r="J330" i="420"/>
  <c r="N329" i="420"/>
  <c r="M329" i="420"/>
  <c r="L329" i="420"/>
  <c r="K329" i="420"/>
  <c r="J329" i="420"/>
  <c r="N318" i="420"/>
  <c r="M318" i="420"/>
  <c r="L318" i="420"/>
  <c r="K318" i="420"/>
  <c r="J318" i="420"/>
  <c r="N317" i="420"/>
  <c r="M317" i="420"/>
  <c r="M324" i="420" s="1"/>
  <c r="M319" i="420" s="1"/>
  <c r="M320" i="420" s="1"/>
  <c r="L317" i="420"/>
  <c r="K317" i="420"/>
  <c r="J317" i="420"/>
  <c r="N316" i="420"/>
  <c r="M316" i="420"/>
  <c r="L316" i="420"/>
  <c r="K316" i="420"/>
  <c r="K324" i="420" s="1"/>
  <c r="K319" i="420" s="1"/>
  <c r="K320" i="420" s="1"/>
  <c r="J316" i="420"/>
  <c r="N311" i="420"/>
  <c r="M311" i="420"/>
  <c r="L311" i="420"/>
  <c r="K311" i="420"/>
  <c r="J311" i="420"/>
  <c r="N308" i="420"/>
  <c r="M308" i="420"/>
  <c r="L308" i="420"/>
  <c r="K308" i="420"/>
  <c r="J308" i="420"/>
  <c r="N307" i="420"/>
  <c r="M307" i="420"/>
  <c r="L307" i="420"/>
  <c r="K307" i="420"/>
  <c r="J307" i="420"/>
  <c r="N306" i="420"/>
  <c r="M306" i="420"/>
  <c r="L306" i="420"/>
  <c r="K306" i="420"/>
  <c r="J306" i="420"/>
  <c r="N305" i="420"/>
  <c r="M305" i="420"/>
  <c r="L305" i="420"/>
  <c r="K305" i="420"/>
  <c r="J305" i="420"/>
  <c r="N300" i="420"/>
  <c r="M300" i="420"/>
  <c r="L300" i="420"/>
  <c r="K300" i="420"/>
  <c r="J300" i="420"/>
  <c r="N299" i="420"/>
  <c r="M299" i="420"/>
  <c r="L299" i="420"/>
  <c r="K299" i="420"/>
  <c r="J299" i="420"/>
  <c r="N298" i="420"/>
  <c r="M298" i="420"/>
  <c r="L298" i="420"/>
  <c r="K298" i="420"/>
  <c r="J298" i="420"/>
  <c r="N297" i="420"/>
  <c r="M297" i="420"/>
  <c r="L297" i="420"/>
  <c r="K297" i="420"/>
  <c r="J297" i="420"/>
  <c r="N296" i="420"/>
  <c r="M296" i="420"/>
  <c r="L296" i="420"/>
  <c r="K296" i="420"/>
  <c r="J296" i="420"/>
  <c r="N295" i="420"/>
  <c r="M295" i="420"/>
  <c r="L295" i="420"/>
  <c r="K295" i="420"/>
  <c r="J295" i="420"/>
  <c r="N294" i="420"/>
  <c r="M294" i="420"/>
  <c r="L294" i="420"/>
  <c r="K294" i="420"/>
  <c r="J294" i="420"/>
  <c r="N293" i="420"/>
  <c r="M293" i="420"/>
  <c r="L293" i="420"/>
  <c r="K293" i="420"/>
  <c r="J293" i="420"/>
  <c r="N292" i="420"/>
  <c r="M292" i="420"/>
  <c r="L292" i="420"/>
  <c r="K292" i="420"/>
  <c r="J292" i="420"/>
  <c r="N291" i="420"/>
  <c r="M291" i="420"/>
  <c r="L291" i="420"/>
  <c r="K291" i="420"/>
  <c r="J291" i="420"/>
  <c r="N290" i="420"/>
  <c r="M290" i="420"/>
  <c r="L290" i="420"/>
  <c r="K290" i="420"/>
  <c r="J290" i="420"/>
  <c r="N289" i="420"/>
  <c r="M289" i="420"/>
  <c r="L289" i="420"/>
  <c r="K289" i="420"/>
  <c r="J289" i="420"/>
  <c r="N288" i="420"/>
  <c r="M288" i="420"/>
  <c r="L288" i="420"/>
  <c r="K288" i="420"/>
  <c r="J288" i="420"/>
  <c r="N287" i="420"/>
  <c r="M287" i="420"/>
  <c r="L287" i="420"/>
  <c r="K287" i="420"/>
  <c r="J287" i="420"/>
  <c r="N286" i="420"/>
  <c r="M286" i="420"/>
  <c r="L286" i="420"/>
  <c r="K286" i="420"/>
  <c r="J286" i="420"/>
  <c r="N285" i="420"/>
  <c r="M285" i="420"/>
  <c r="L285" i="420"/>
  <c r="K285" i="420"/>
  <c r="J285" i="420"/>
  <c r="N284" i="420"/>
  <c r="M284" i="420"/>
  <c r="L284" i="420"/>
  <c r="K284" i="420"/>
  <c r="J284" i="420"/>
  <c r="N283" i="420"/>
  <c r="M283" i="420"/>
  <c r="L283" i="420"/>
  <c r="K283" i="420"/>
  <c r="J283" i="420"/>
  <c r="N282" i="420"/>
  <c r="M282" i="420"/>
  <c r="L282" i="420"/>
  <c r="K282" i="420"/>
  <c r="J282" i="420"/>
  <c r="N281" i="420"/>
  <c r="M281" i="420"/>
  <c r="L281" i="420"/>
  <c r="K281" i="420"/>
  <c r="J281" i="420"/>
  <c r="N280" i="420"/>
  <c r="M280" i="420"/>
  <c r="L280" i="420"/>
  <c r="K280" i="420"/>
  <c r="J280" i="420"/>
  <c r="N248" i="420"/>
  <c r="M248" i="420"/>
  <c r="L248" i="420"/>
  <c r="K248" i="420"/>
  <c r="J248" i="420"/>
  <c r="I248" i="420"/>
  <c r="H248" i="420"/>
  <c r="G248" i="420"/>
  <c r="F248" i="420"/>
  <c r="E248" i="420"/>
  <c r="D248" i="420"/>
  <c r="N247" i="420"/>
  <c r="M247" i="420"/>
  <c r="L247" i="420"/>
  <c r="K247" i="420"/>
  <c r="J247" i="420"/>
  <c r="I247" i="420"/>
  <c r="H247" i="420"/>
  <c r="G247" i="420"/>
  <c r="F247" i="420"/>
  <c r="E247" i="420"/>
  <c r="D247" i="420"/>
  <c r="N246" i="420"/>
  <c r="M246" i="420"/>
  <c r="L246" i="420"/>
  <c r="K246" i="420"/>
  <c r="J246" i="420"/>
  <c r="I246" i="420"/>
  <c r="H246" i="420"/>
  <c r="G246" i="420"/>
  <c r="F246" i="420"/>
  <c r="E246" i="420"/>
  <c r="D246" i="420"/>
  <c r="N243" i="420"/>
  <c r="M243" i="420"/>
  <c r="L243" i="420"/>
  <c r="K243" i="420"/>
  <c r="J243" i="420"/>
  <c r="J244" i="420" s="1"/>
  <c r="J245" i="420" s="1"/>
  <c r="I243" i="420"/>
  <c r="H243" i="420"/>
  <c r="G243" i="420"/>
  <c r="F243" i="420"/>
  <c r="E243" i="420"/>
  <c r="D243" i="420"/>
  <c r="N240" i="420"/>
  <c r="M240" i="420"/>
  <c r="L240" i="420"/>
  <c r="K240" i="420"/>
  <c r="J240" i="420"/>
  <c r="I240" i="420"/>
  <c r="H240" i="420"/>
  <c r="H241" i="420"/>
  <c r="G240" i="420"/>
  <c r="F240" i="420"/>
  <c r="E240" i="420"/>
  <c r="D240" i="420"/>
  <c r="D244" i="420" s="1"/>
  <c r="N238" i="420"/>
  <c r="M238" i="420"/>
  <c r="M239" i="420" s="1"/>
  <c r="M272" i="420" s="1"/>
  <c r="L238" i="420"/>
  <c r="K238" i="420"/>
  <c r="J238" i="420"/>
  <c r="J239" i="420" s="1"/>
  <c r="J272" i="420" s="1"/>
  <c r="I238" i="420"/>
  <c r="H238" i="420"/>
  <c r="I239" i="420" s="1"/>
  <c r="G238" i="420"/>
  <c r="G239" i="420" s="1"/>
  <c r="G272" i="420" s="1"/>
  <c r="F238" i="420"/>
  <c r="E238" i="420"/>
  <c r="D238" i="420"/>
  <c r="N237" i="420"/>
  <c r="M237" i="420"/>
  <c r="L237" i="420"/>
  <c r="K237" i="420"/>
  <c r="J237" i="420"/>
  <c r="I237" i="420"/>
  <c r="H237" i="420"/>
  <c r="G237" i="420"/>
  <c r="F237" i="420"/>
  <c r="E237" i="420"/>
  <c r="D237" i="420"/>
  <c r="N235" i="420"/>
  <c r="M235" i="420"/>
  <c r="L235" i="420"/>
  <c r="K235" i="420"/>
  <c r="L236" i="420" s="1"/>
  <c r="J235" i="420"/>
  <c r="I235" i="420"/>
  <c r="I236" i="420"/>
  <c r="H235" i="420"/>
  <c r="G235" i="420"/>
  <c r="F235" i="420"/>
  <c r="E235" i="420"/>
  <c r="E236" i="420" s="1"/>
  <c r="D235" i="420"/>
  <c r="N233" i="420"/>
  <c r="M233" i="420"/>
  <c r="L233" i="420"/>
  <c r="K233" i="420"/>
  <c r="K234" i="420" s="1"/>
  <c r="J233" i="420"/>
  <c r="I233" i="420"/>
  <c r="H233" i="420"/>
  <c r="H234" i="420" s="1"/>
  <c r="G233" i="420"/>
  <c r="F233" i="420"/>
  <c r="E233" i="420"/>
  <c r="D233" i="420"/>
  <c r="N231" i="420"/>
  <c r="N232" i="420" s="1"/>
  <c r="M231" i="420"/>
  <c r="M232" i="420" s="1"/>
  <c r="L231" i="420"/>
  <c r="K231" i="420"/>
  <c r="J231" i="420"/>
  <c r="K232" i="420" s="1"/>
  <c r="I231" i="420"/>
  <c r="H231" i="420"/>
  <c r="G231" i="420"/>
  <c r="F231" i="420"/>
  <c r="G232" i="420" s="1"/>
  <c r="E231" i="420"/>
  <c r="E232" i="420" s="1"/>
  <c r="D231" i="420"/>
  <c r="N228" i="420"/>
  <c r="O228" i="420"/>
  <c r="P228" i="420"/>
  <c r="Q228" i="420" s="1"/>
  <c r="R228" i="420" s="1"/>
  <c r="S228" i="420" s="1"/>
  <c r="T228" i="420" s="1"/>
  <c r="U228" i="420" s="1"/>
  <c r="V228" i="420" s="1"/>
  <c r="W228" i="420" s="1"/>
  <c r="X228" i="420"/>
  <c r="M228" i="420"/>
  <c r="L228" i="420"/>
  <c r="K228" i="420"/>
  <c r="J228" i="420"/>
  <c r="I228" i="420"/>
  <c r="H228" i="420"/>
  <c r="G228" i="420"/>
  <c r="F228" i="420"/>
  <c r="E228" i="420"/>
  <c r="D228" i="420"/>
  <c r="O226" i="420"/>
  <c r="P226" i="420"/>
  <c r="Q226" i="420" s="1"/>
  <c r="R226" i="420" s="1"/>
  <c r="S226" i="420" s="1"/>
  <c r="T226" i="420" s="1"/>
  <c r="U226" i="420" s="1"/>
  <c r="V226" i="420" s="1"/>
  <c r="W226" i="420"/>
  <c r="X226" i="420" s="1"/>
  <c r="N226" i="420"/>
  <c r="M226" i="420"/>
  <c r="L226" i="420"/>
  <c r="L227" i="420" s="1"/>
  <c r="L37" i="420" s="1"/>
  <c r="K226" i="420"/>
  <c r="J226" i="420"/>
  <c r="I226" i="420"/>
  <c r="H226" i="420"/>
  <c r="H227" i="420" s="1"/>
  <c r="H37" i="420" s="1"/>
  <c r="G226" i="420"/>
  <c r="F226" i="420"/>
  <c r="E226" i="420"/>
  <c r="D226" i="420"/>
  <c r="D227" i="420" s="1"/>
  <c r="D37" i="420" s="1"/>
  <c r="N225" i="420"/>
  <c r="M225" i="420"/>
  <c r="L225" i="420"/>
  <c r="K225" i="420"/>
  <c r="J225" i="420"/>
  <c r="I225" i="420"/>
  <c r="I215" i="420" s="1"/>
  <c r="H225" i="420"/>
  <c r="G225" i="420"/>
  <c r="G215" i="420"/>
  <c r="F225" i="420"/>
  <c r="E225" i="420"/>
  <c r="E215" i="420" s="1"/>
  <c r="D225" i="420"/>
  <c r="N223" i="420"/>
  <c r="M223" i="420"/>
  <c r="L223" i="420"/>
  <c r="K223" i="420"/>
  <c r="J223" i="420"/>
  <c r="I223" i="420"/>
  <c r="H223" i="420"/>
  <c r="G223" i="420"/>
  <c r="F223" i="420"/>
  <c r="E223" i="420"/>
  <c r="D223" i="420"/>
  <c r="D29" i="420" s="1"/>
  <c r="N222" i="420"/>
  <c r="M222" i="420"/>
  <c r="L222" i="420"/>
  <c r="L29" i="420"/>
  <c r="K222" i="420"/>
  <c r="J222" i="420"/>
  <c r="I222" i="420"/>
  <c r="H222" i="420"/>
  <c r="G222" i="420"/>
  <c r="F222" i="420"/>
  <c r="E222" i="420"/>
  <c r="D222" i="420"/>
  <c r="N217" i="420"/>
  <c r="M217" i="420"/>
  <c r="L217" i="420"/>
  <c r="K217" i="420"/>
  <c r="J217" i="420"/>
  <c r="I217" i="420"/>
  <c r="H217" i="420"/>
  <c r="G217" i="420"/>
  <c r="F217" i="420"/>
  <c r="E217" i="420"/>
  <c r="D217" i="420"/>
  <c r="O215" i="420"/>
  <c r="P215" i="420"/>
  <c r="Q215" i="420" s="1"/>
  <c r="M215" i="420"/>
  <c r="N212" i="420"/>
  <c r="M212" i="420"/>
  <c r="L212" i="420"/>
  <c r="K212" i="420"/>
  <c r="J212" i="420"/>
  <c r="I212" i="420"/>
  <c r="H212" i="420"/>
  <c r="G212" i="420"/>
  <c r="F212" i="420"/>
  <c r="E212" i="420"/>
  <c r="D212" i="420"/>
  <c r="N209" i="420"/>
  <c r="N121" i="420"/>
  <c r="M209" i="420"/>
  <c r="M121" i="420" s="1"/>
  <c r="L209" i="420"/>
  <c r="L121" i="420"/>
  <c r="K209" i="420"/>
  <c r="K121" i="420" s="1"/>
  <c r="J209" i="420"/>
  <c r="J121" i="420"/>
  <c r="I209" i="420"/>
  <c r="I121" i="420" s="1"/>
  <c r="H209" i="420"/>
  <c r="H121" i="420"/>
  <c r="G209" i="420"/>
  <c r="G121" i="420" s="1"/>
  <c r="G122" i="420" s="1"/>
  <c r="F209" i="420"/>
  <c r="F121" i="420" s="1"/>
  <c r="E209" i="420"/>
  <c r="E121" i="420"/>
  <c r="D209" i="420"/>
  <c r="D121" i="420" s="1"/>
  <c r="D122" i="420" s="1"/>
  <c r="N208" i="420"/>
  <c r="M208" i="420"/>
  <c r="L208" i="420"/>
  <c r="K208" i="420"/>
  <c r="J208" i="420"/>
  <c r="H208" i="420"/>
  <c r="G208" i="420"/>
  <c r="F208" i="420"/>
  <c r="E208" i="420"/>
  <c r="D208" i="420"/>
  <c r="N207" i="420"/>
  <c r="M207" i="420"/>
  <c r="L207" i="420"/>
  <c r="K207" i="420"/>
  <c r="J207" i="420"/>
  <c r="I207" i="420"/>
  <c r="H207" i="420"/>
  <c r="G207" i="420"/>
  <c r="F207" i="420"/>
  <c r="E207" i="420"/>
  <c r="D207" i="420"/>
  <c r="N206" i="420"/>
  <c r="M206" i="420"/>
  <c r="L206" i="420"/>
  <c r="K206" i="420"/>
  <c r="J206" i="420"/>
  <c r="I206" i="420"/>
  <c r="H206" i="420"/>
  <c r="G206" i="420"/>
  <c r="F206" i="420"/>
  <c r="E206" i="420"/>
  <c r="D206" i="420"/>
  <c r="O203" i="420"/>
  <c r="P203" i="420"/>
  <c r="Q203" i="420" s="1"/>
  <c r="R203" i="420" s="1"/>
  <c r="S203" i="420"/>
  <c r="T203" i="420" s="1"/>
  <c r="U203" i="420" s="1"/>
  <c r="V203" i="420" s="1"/>
  <c r="W203" i="420" s="1"/>
  <c r="X203" i="420"/>
  <c r="N199" i="420"/>
  <c r="M199" i="420"/>
  <c r="L199" i="420"/>
  <c r="K199" i="420"/>
  <c r="K201" i="420" s="1"/>
  <c r="J199" i="420"/>
  <c r="I199" i="420"/>
  <c r="H199" i="420"/>
  <c r="G199" i="420"/>
  <c r="G201" i="420" s="1"/>
  <c r="F199" i="420"/>
  <c r="E199" i="420"/>
  <c r="D199" i="420"/>
  <c r="N198" i="420"/>
  <c r="N201" i="420" s="1"/>
  <c r="M198" i="420"/>
  <c r="L198" i="420"/>
  <c r="K198" i="420"/>
  <c r="J198" i="420"/>
  <c r="J201" i="420" s="1"/>
  <c r="I198" i="420"/>
  <c r="H198" i="420"/>
  <c r="G198" i="420"/>
  <c r="F198" i="420"/>
  <c r="F201" i="420" s="1"/>
  <c r="E198" i="420"/>
  <c r="D198" i="420"/>
  <c r="N195" i="420"/>
  <c r="M195" i="420"/>
  <c r="L195" i="420"/>
  <c r="K195" i="420"/>
  <c r="J195" i="420"/>
  <c r="I195" i="420"/>
  <c r="H195" i="420"/>
  <c r="G195" i="420"/>
  <c r="F195" i="420"/>
  <c r="E195" i="420"/>
  <c r="D195" i="420"/>
  <c r="D194" i="420"/>
  <c r="I192" i="420"/>
  <c r="I191" i="420" s="1"/>
  <c r="H192" i="420"/>
  <c r="H191" i="420" s="1"/>
  <c r="G192" i="420"/>
  <c r="F192" i="420"/>
  <c r="E192" i="420"/>
  <c r="D192" i="420"/>
  <c r="I190" i="420"/>
  <c r="H190" i="420"/>
  <c r="G190" i="420"/>
  <c r="F190" i="420"/>
  <c r="E190" i="420"/>
  <c r="E191" i="420"/>
  <c r="D190" i="420"/>
  <c r="N186" i="420"/>
  <c r="M186" i="420"/>
  <c r="L186" i="420"/>
  <c r="K186" i="420"/>
  <c r="J186" i="420"/>
  <c r="I186" i="420"/>
  <c r="H186" i="420"/>
  <c r="G186" i="420"/>
  <c r="F186" i="420"/>
  <c r="E186" i="420"/>
  <c r="D186" i="420"/>
  <c r="N185" i="420"/>
  <c r="N105" i="420"/>
  <c r="M185" i="420"/>
  <c r="L185" i="420"/>
  <c r="K185" i="420"/>
  <c r="J185" i="420"/>
  <c r="I185" i="420"/>
  <c r="H185" i="420"/>
  <c r="G185" i="420"/>
  <c r="G105" i="420" s="1"/>
  <c r="F185" i="420"/>
  <c r="E185" i="420"/>
  <c r="D185" i="420"/>
  <c r="N184" i="420"/>
  <c r="O184" i="420" s="1"/>
  <c r="M184" i="420"/>
  <c r="L184" i="420"/>
  <c r="K184" i="420"/>
  <c r="K64" i="420" s="1"/>
  <c r="J184" i="420"/>
  <c r="I184" i="420"/>
  <c r="H184" i="420"/>
  <c r="G184" i="420"/>
  <c r="G64" i="420" s="1"/>
  <c r="G65" i="420" s="1"/>
  <c r="F184" i="420"/>
  <c r="E184" i="420"/>
  <c r="D184" i="420"/>
  <c r="N183" i="420"/>
  <c r="O183" i="420" s="1"/>
  <c r="P183" i="420" s="1"/>
  <c r="Q183" i="420" s="1"/>
  <c r="R183" i="420" s="1"/>
  <c r="S183" i="420" s="1"/>
  <c r="T183" i="420" s="1"/>
  <c r="U183" i="420" s="1"/>
  <c r="V183" i="420" s="1"/>
  <c r="W183" i="420" s="1"/>
  <c r="X183" i="420" s="1"/>
  <c r="M183" i="420"/>
  <c r="L183" i="420"/>
  <c r="K183" i="420"/>
  <c r="J183" i="420"/>
  <c r="I183" i="420"/>
  <c r="H183" i="420"/>
  <c r="G183" i="420"/>
  <c r="F183" i="420"/>
  <c r="E183" i="420"/>
  <c r="D183" i="420"/>
  <c r="N182" i="420"/>
  <c r="O182" i="420"/>
  <c r="P182" i="420"/>
  <c r="Q182" i="420"/>
  <c r="R182" i="420" s="1"/>
  <c r="S182" i="420" s="1"/>
  <c r="T182" i="420"/>
  <c r="U182" i="420" s="1"/>
  <c r="V182" i="420" s="1"/>
  <c r="W182" i="420" s="1"/>
  <c r="X182" i="420" s="1"/>
  <c r="M182" i="420"/>
  <c r="L182" i="420"/>
  <c r="L105" i="420"/>
  <c r="K182" i="420"/>
  <c r="J182" i="420"/>
  <c r="I182" i="420"/>
  <c r="H182" i="420"/>
  <c r="H105" i="420"/>
  <c r="G182" i="420"/>
  <c r="F182" i="420"/>
  <c r="E182" i="420"/>
  <c r="D182" i="420"/>
  <c r="D105" i="420"/>
  <c r="N181" i="420"/>
  <c r="O181" i="420"/>
  <c r="P181" i="420"/>
  <c r="Q181" i="420"/>
  <c r="R181" i="420" s="1"/>
  <c r="S181" i="420" s="1"/>
  <c r="T181" i="420"/>
  <c r="U181" i="420"/>
  <c r="V181" i="420" s="1"/>
  <c r="W181" i="420" s="1"/>
  <c r="X181" i="420" s="1"/>
  <c r="M181" i="420"/>
  <c r="L181" i="420"/>
  <c r="K181" i="420"/>
  <c r="J181" i="420"/>
  <c r="I181" i="420"/>
  <c r="H181" i="420"/>
  <c r="G181" i="420"/>
  <c r="F181" i="420"/>
  <c r="E181" i="420"/>
  <c r="D181" i="420"/>
  <c r="D180" i="420"/>
  <c r="N177" i="420"/>
  <c r="M177" i="420"/>
  <c r="L177" i="420"/>
  <c r="K177" i="420"/>
  <c r="J177" i="420"/>
  <c r="I177" i="420"/>
  <c r="H177" i="420"/>
  <c r="G177" i="420"/>
  <c r="F177" i="420"/>
  <c r="E177" i="420"/>
  <c r="D177" i="420"/>
  <c r="N174" i="420"/>
  <c r="M174" i="420"/>
  <c r="L174" i="420"/>
  <c r="K174" i="420"/>
  <c r="J174" i="420"/>
  <c r="I174" i="420"/>
  <c r="H174" i="420"/>
  <c r="G174" i="420"/>
  <c r="F174" i="420"/>
  <c r="E174" i="420"/>
  <c r="D174" i="420"/>
  <c r="N170" i="420"/>
  <c r="M170" i="420"/>
  <c r="L170" i="420"/>
  <c r="K170" i="420"/>
  <c r="J170" i="420"/>
  <c r="I170" i="420"/>
  <c r="H170" i="420"/>
  <c r="G170" i="420"/>
  <c r="F170" i="420"/>
  <c r="E170" i="420"/>
  <c r="D170" i="420"/>
  <c r="N169" i="420"/>
  <c r="M169" i="420"/>
  <c r="L169" i="420"/>
  <c r="K169" i="420"/>
  <c r="J169" i="420"/>
  <c r="I169" i="420"/>
  <c r="H169" i="420"/>
  <c r="G169" i="420"/>
  <c r="F169" i="420"/>
  <c r="E169" i="420"/>
  <c r="D169" i="420"/>
  <c r="N166" i="420"/>
  <c r="O166" i="420"/>
  <c r="P166" i="420" s="1"/>
  <c r="Q166" i="420" s="1"/>
  <c r="R166" i="420"/>
  <c r="S166" i="420"/>
  <c r="T166" i="420" s="1"/>
  <c r="U166" i="420" s="1"/>
  <c r="V166" i="420" s="1"/>
  <c r="W166" i="420" s="1"/>
  <c r="X166" i="420" s="1"/>
  <c r="M166" i="420"/>
  <c r="L166" i="420"/>
  <c r="K166" i="420"/>
  <c r="J166" i="420"/>
  <c r="I166" i="420"/>
  <c r="H166" i="420"/>
  <c r="G166" i="420"/>
  <c r="F166" i="420"/>
  <c r="E166" i="420"/>
  <c r="D166" i="420"/>
  <c r="N165" i="420"/>
  <c r="O165" i="420" s="1"/>
  <c r="P165" i="420" s="1"/>
  <c r="Q165" i="420"/>
  <c r="R165" i="420"/>
  <c r="S165" i="420" s="1"/>
  <c r="T165" i="420" s="1"/>
  <c r="U165" i="420" s="1"/>
  <c r="V165" i="420" s="1"/>
  <c r="W165" i="420" s="1"/>
  <c r="X165" i="420" s="1"/>
  <c r="M165" i="420"/>
  <c r="L165" i="420"/>
  <c r="K165" i="420"/>
  <c r="J165" i="420"/>
  <c r="I165" i="420"/>
  <c r="H165" i="420"/>
  <c r="G165" i="420"/>
  <c r="F165" i="420"/>
  <c r="E165" i="420"/>
  <c r="D165" i="420"/>
  <c r="N164" i="420"/>
  <c r="O164" i="420"/>
  <c r="P164" i="420"/>
  <c r="Q164" i="420"/>
  <c r="R164" i="420" s="1"/>
  <c r="S164" i="420" s="1"/>
  <c r="T164" i="420"/>
  <c r="U164" i="420" s="1"/>
  <c r="V164" i="420" s="1"/>
  <c r="W164" i="420" s="1"/>
  <c r="X164" i="420" s="1"/>
  <c r="M164" i="420"/>
  <c r="L164" i="420"/>
  <c r="K164" i="420"/>
  <c r="J164" i="420"/>
  <c r="I164" i="420"/>
  <c r="H164" i="420"/>
  <c r="G164" i="420"/>
  <c r="F164" i="420"/>
  <c r="E164" i="420"/>
  <c r="D164" i="420"/>
  <c r="N163" i="420"/>
  <c r="O163" i="420"/>
  <c r="P163" i="420"/>
  <c r="Q163" i="420" s="1"/>
  <c r="R163" i="420" s="1"/>
  <c r="S163" i="420"/>
  <c r="M163" i="420"/>
  <c r="L163" i="420"/>
  <c r="K163" i="420"/>
  <c r="J163" i="420"/>
  <c r="I163" i="420"/>
  <c r="H163" i="420"/>
  <c r="G163" i="420"/>
  <c r="F163" i="420"/>
  <c r="E163" i="420"/>
  <c r="D163" i="420"/>
  <c r="N162" i="420"/>
  <c r="O162" i="420"/>
  <c r="P162" i="420" s="1"/>
  <c r="Q162" i="420" s="1"/>
  <c r="R162" i="420"/>
  <c r="S162" i="420" s="1"/>
  <c r="M162" i="420"/>
  <c r="L162" i="420"/>
  <c r="K162" i="420"/>
  <c r="J162" i="420"/>
  <c r="I162" i="420"/>
  <c r="H162" i="420"/>
  <c r="G162" i="420"/>
  <c r="F162" i="420"/>
  <c r="E162" i="420"/>
  <c r="D162" i="420"/>
  <c r="P161" i="420"/>
  <c r="Q161" i="420"/>
  <c r="R161" i="420"/>
  <c r="S161" i="420" s="1"/>
  <c r="T161" i="420" s="1"/>
  <c r="U161" i="420" s="1"/>
  <c r="V161" i="420" s="1"/>
  <c r="W161" i="420"/>
  <c r="X161" i="420" s="1"/>
  <c r="O161" i="420"/>
  <c r="N161" i="420"/>
  <c r="M161" i="420"/>
  <c r="L161" i="420"/>
  <c r="K161" i="420"/>
  <c r="J161" i="420"/>
  <c r="I161" i="420"/>
  <c r="H161" i="420"/>
  <c r="G161" i="420"/>
  <c r="F161" i="420"/>
  <c r="E161" i="420"/>
  <c r="D161" i="420"/>
  <c r="D160" i="420"/>
  <c r="N157" i="420"/>
  <c r="M157" i="420"/>
  <c r="L157" i="420"/>
  <c r="K157" i="420"/>
  <c r="J157" i="420"/>
  <c r="I157" i="420"/>
  <c r="H157" i="420"/>
  <c r="G157" i="420"/>
  <c r="F157" i="420"/>
  <c r="E157" i="420"/>
  <c r="D157" i="420"/>
  <c r="N154" i="420"/>
  <c r="N153" i="420"/>
  <c r="M154" i="420"/>
  <c r="L154" i="420"/>
  <c r="L151" i="420" s="1"/>
  <c r="K154" i="420"/>
  <c r="J154" i="420"/>
  <c r="J152" i="420" s="1"/>
  <c r="I154" i="420"/>
  <c r="I155" i="420"/>
  <c r="H154" i="420"/>
  <c r="G154" i="420"/>
  <c r="F154" i="420"/>
  <c r="F153" i="420"/>
  <c r="E154" i="420"/>
  <c r="D154" i="420"/>
  <c r="D153" i="420" s="1"/>
  <c r="L153" i="420"/>
  <c r="H153" i="420"/>
  <c r="L152" i="420"/>
  <c r="D152" i="420"/>
  <c r="D151" i="420"/>
  <c r="M150" i="420"/>
  <c r="I150" i="420"/>
  <c r="G150" i="420"/>
  <c r="D150" i="420"/>
  <c r="N147" i="420"/>
  <c r="M147" i="420"/>
  <c r="L147" i="420"/>
  <c r="K147" i="420"/>
  <c r="J147" i="420"/>
  <c r="I147" i="420"/>
  <c r="H147" i="420"/>
  <c r="G147" i="420"/>
  <c r="F147" i="420"/>
  <c r="E147" i="420"/>
  <c r="D147" i="420"/>
  <c r="N146" i="420"/>
  <c r="M146" i="420"/>
  <c r="L146" i="420"/>
  <c r="K146" i="420"/>
  <c r="J146" i="420"/>
  <c r="I146" i="420"/>
  <c r="H146" i="420"/>
  <c r="G146" i="420"/>
  <c r="F146" i="420"/>
  <c r="E146" i="420"/>
  <c r="D146" i="420"/>
  <c r="N145" i="420"/>
  <c r="M145" i="420"/>
  <c r="L145" i="420"/>
  <c r="K145" i="420"/>
  <c r="J145" i="420"/>
  <c r="I145" i="420"/>
  <c r="H145" i="420"/>
  <c r="G145" i="420"/>
  <c r="F145" i="420"/>
  <c r="E145" i="420"/>
  <c r="D145" i="420"/>
  <c r="N144" i="420"/>
  <c r="M144" i="420"/>
  <c r="L144" i="420"/>
  <c r="K144" i="420"/>
  <c r="J144" i="420"/>
  <c r="I144" i="420"/>
  <c r="H144" i="420"/>
  <c r="G144" i="420"/>
  <c r="F144" i="420"/>
  <c r="E144" i="420"/>
  <c r="D144" i="420"/>
  <c r="N141" i="420"/>
  <c r="M141" i="420"/>
  <c r="L141" i="420"/>
  <c r="K141" i="420"/>
  <c r="J141" i="420"/>
  <c r="I141" i="420"/>
  <c r="H141" i="420"/>
  <c r="G141" i="420"/>
  <c r="G140" i="420" s="1"/>
  <c r="F141" i="420"/>
  <c r="E141" i="420"/>
  <c r="D141" i="420"/>
  <c r="N138" i="420"/>
  <c r="M138" i="420"/>
  <c r="L138" i="420"/>
  <c r="K138" i="420"/>
  <c r="J138" i="420"/>
  <c r="I138" i="420"/>
  <c r="H138" i="420"/>
  <c r="G138" i="420"/>
  <c r="F138" i="420"/>
  <c r="E138" i="420"/>
  <c r="D138" i="420"/>
  <c r="N137" i="420"/>
  <c r="M137" i="420"/>
  <c r="L137" i="420"/>
  <c r="K137" i="420"/>
  <c r="J137" i="420"/>
  <c r="I137" i="420"/>
  <c r="H137" i="420"/>
  <c r="G137" i="420"/>
  <c r="F137" i="420"/>
  <c r="E137" i="420"/>
  <c r="D137" i="420"/>
  <c r="I134" i="420"/>
  <c r="H134" i="420"/>
  <c r="G134" i="420"/>
  <c r="F134" i="420"/>
  <c r="E134" i="420"/>
  <c r="D134" i="420"/>
  <c r="I132" i="420"/>
  <c r="H132" i="420"/>
  <c r="G132" i="420"/>
  <c r="F132" i="420"/>
  <c r="E132" i="420"/>
  <c r="D132" i="420"/>
  <c r="I131" i="420"/>
  <c r="H131" i="420"/>
  <c r="G131" i="420"/>
  <c r="F131" i="420"/>
  <c r="E131" i="420"/>
  <c r="D131" i="420"/>
  <c r="I130" i="420"/>
  <c r="H130" i="420"/>
  <c r="G130" i="420"/>
  <c r="F130" i="420"/>
  <c r="E130" i="420"/>
  <c r="D130" i="420"/>
  <c r="I129" i="420"/>
  <c r="H129" i="420"/>
  <c r="G129" i="420"/>
  <c r="F129" i="420"/>
  <c r="F133" i="420" s="1"/>
  <c r="E129" i="420"/>
  <c r="D129" i="420"/>
  <c r="I128" i="420"/>
  <c r="I133" i="420" s="1"/>
  <c r="I275" i="420" s="1"/>
  <c r="H128" i="420"/>
  <c r="G128" i="420"/>
  <c r="F128" i="420"/>
  <c r="E128" i="420"/>
  <c r="D128" i="420"/>
  <c r="I127" i="420"/>
  <c r="H127" i="420"/>
  <c r="G127" i="420"/>
  <c r="G133" i="420" s="1"/>
  <c r="F127" i="420"/>
  <c r="E127" i="420"/>
  <c r="D127" i="420"/>
  <c r="D133" i="420" s="1"/>
  <c r="I124" i="420"/>
  <c r="H124" i="420"/>
  <c r="G124" i="420"/>
  <c r="F124" i="420"/>
  <c r="E124" i="420"/>
  <c r="D124" i="420"/>
  <c r="I123" i="420"/>
  <c r="H123" i="420"/>
  <c r="G123" i="420"/>
  <c r="F123" i="420"/>
  <c r="E123" i="420"/>
  <c r="D123" i="420"/>
  <c r="I118" i="420"/>
  <c r="H118" i="420"/>
  <c r="G118" i="420"/>
  <c r="F118" i="420"/>
  <c r="E118" i="420"/>
  <c r="D118" i="420"/>
  <c r="I117" i="420"/>
  <c r="H117" i="420"/>
  <c r="G117" i="420"/>
  <c r="G116" i="420" s="1"/>
  <c r="F117" i="420"/>
  <c r="E117" i="420"/>
  <c r="D117" i="420"/>
  <c r="S115" i="420"/>
  <c r="R115" i="420"/>
  <c r="Q115" i="420"/>
  <c r="P115" i="420"/>
  <c r="O115" i="420"/>
  <c r="N115" i="420"/>
  <c r="M115" i="420"/>
  <c r="L115" i="420"/>
  <c r="K115" i="420"/>
  <c r="J115" i="420"/>
  <c r="I115" i="420"/>
  <c r="I116" i="420"/>
  <c r="H115" i="420"/>
  <c r="H116" i="420" s="1"/>
  <c r="G115" i="420"/>
  <c r="F115" i="420"/>
  <c r="F116" i="420" s="1"/>
  <c r="E115" i="420"/>
  <c r="E116" i="420"/>
  <c r="D115" i="420"/>
  <c r="D116" i="420" s="1"/>
  <c r="N112" i="420"/>
  <c r="M112" i="420"/>
  <c r="L112" i="420"/>
  <c r="K112" i="420"/>
  <c r="J112" i="420"/>
  <c r="I112" i="420"/>
  <c r="H112" i="420"/>
  <c r="G112" i="420"/>
  <c r="F112" i="420"/>
  <c r="E112" i="420"/>
  <c r="D112" i="420"/>
  <c r="N111" i="420"/>
  <c r="M111" i="420"/>
  <c r="L111" i="420"/>
  <c r="K111" i="420"/>
  <c r="J111" i="420"/>
  <c r="I111" i="420"/>
  <c r="H111" i="420"/>
  <c r="G111" i="420"/>
  <c r="F111" i="420"/>
  <c r="E111" i="420"/>
  <c r="D111" i="420"/>
  <c r="I108" i="420"/>
  <c r="H108" i="420"/>
  <c r="G108" i="420"/>
  <c r="F108" i="420"/>
  <c r="E108" i="420"/>
  <c r="D108" i="420"/>
  <c r="I107" i="420"/>
  <c r="H107" i="420"/>
  <c r="G107" i="420"/>
  <c r="F107" i="420"/>
  <c r="E107" i="420"/>
  <c r="D107" i="420"/>
  <c r="F105" i="420"/>
  <c r="N104" i="420"/>
  <c r="M104" i="420"/>
  <c r="L104" i="420"/>
  <c r="K104" i="420"/>
  <c r="J104" i="420"/>
  <c r="I104" i="420"/>
  <c r="H104" i="420"/>
  <c r="G104" i="420"/>
  <c r="F104" i="420"/>
  <c r="E104" i="420"/>
  <c r="D104" i="420"/>
  <c r="I99" i="420"/>
  <c r="H99" i="420"/>
  <c r="G99" i="420"/>
  <c r="F99" i="420"/>
  <c r="E99" i="420"/>
  <c r="D99" i="420"/>
  <c r="I98" i="420"/>
  <c r="H98" i="420"/>
  <c r="G98" i="420"/>
  <c r="F98" i="420"/>
  <c r="E98" i="420"/>
  <c r="D98" i="420"/>
  <c r="N95" i="420"/>
  <c r="M95" i="420"/>
  <c r="L95" i="420"/>
  <c r="K95" i="420"/>
  <c r="J95" i="420"/>
  <c r="I95" i="420"/>
  <c r="H95" i="420"/>
  <c r="G95" i="420"/>
  <c r="F95" i="420"/>
  <c r="E95" i="420"/>
  <c r="D95" i="420"/>
  <c r="N94" i="420"/>
  <c r="O94" i="420" s="1"/>
  <c r="M94" i="420"/>
  <c r="L94" i="420"/>
  <c r="K94" i="420"/>
  <c r="J94" i="420"/>
  <c r="I94" i="420"/>
  <c r="H94" i="420"/>
  <c r="G94" i="420"/>
  <c r="F94" i="420"/>
  <c r="E94" i="420"/>
  <c r="D94" i="420"/>
  <c r="X91" i="420"/>
  <c r="W91" i="420"/>
  <c r="V91" i="420"/>
  <c r="U91" i="420"/>
  <c r="T91" i="420"/>
  <c r="S91" i="420"/>
  <c r="R91" i="420"/>
  <c r="Q91" i="420"/>
  <c r="P91" i="420"/>
  <c r="O91" i="420"/>
  <c r="N91" i="420"/>
  <c r="M91" i="420"/>
  <c r="L91" i="420"/>
  <c r="K91" i="420"/>
  <c r="J91" i="420"/>
  <c r="I91" i="420"/>
  <c r="H91" i="420"/>
  <c r="G91" i="420"/>
  <c r="F91" i="420"/>
  <c r="E91" i="420"/>
  <c r="D91" i="420"/>
  <c r="N90" i="420"/>
  <c r="M90" i="420"/>
  <c r="L90" i="420"/>
  <c r="K90" i="420"/>
  <c r="J90" i="420"/>
  <c r="I90" i="420"/>
  <c r="H90" i="420"/>
  <c r="G90" i="420"/>
  <c r="F90" i="420"/>
  <c r="E90" i="420"/>
  <c r="D90" i="420"/>
  <c r="N89" i="420"/>
  <c r="M89" i="420"/>
  <c r="L89" i="420"/>
  <c r="K89" i="420"/>
  <c r="J89" i="420"/>
  <c r="I89" i="420"/>
  <c r="H89" i="420"/>
  <c r="G89" i="420"/>
  <c r="F89" i="420"/>
  <c r="E89" i="420"/>
  <c r="D89" i="420"/>
  <c r="N88" i="420"/>
  <c r="M88" i="420"/>
  <c r="L88" i="420"/>
  <c r="K88" i="420"/>
  <c r="J88" i="420"/>
  <c r="I88" i="420"/>
  <c r="H88" i="420"/>
  <c r="G88" i="420"/>
  <c r="F88" i="420"/>
  <c r="E88" i="420"/>
  <c r="D88" i="420"/>
  <c r="N87" i="420"/>
  <c r="M87" i="420"/>
  <c r="L87" i="420"/>
  <c r="K87" i="420"/>
  <c r="J87" i="420"/>
  <c r="I87" i="420"/>
  <c r="H87" i="420"/>
  <c r="G87" i="420"/>
  <c r="F87" i="420"/>
  <c r="E87" i="420"/>
  <c r="D87" i="420"/>
  <c r="N86" i="420"/>
  <c r="M86" i="420"/>
  <c r="L86" i="420"/>
  <c r="K86" i="420"/>
  <c r="J86" i="420"/>
  <c r="I86" i="420"/>
  <c r="H86" i="420"/>
  <c r="G86" i="420"/>
  <c r="F86" i="420"/>
  <c r="E86" i="420"/>
  <c r="D86" i="420"/>
  <c r="I84" i="420"/>
  <c r="H84" i="420"/>
  <c r="G84" i="420"/>
  <c r="F84" i="420"/>
  <c r="E84" i="420"/>
  <c r="D84" i="420"/>
  <c r="I82" i="420"/>
  <c r="H82" i="420"/>
  <c r="G82" i="420"/>
  <c r="F82" i="420"/>
  <c r="E82" i="420"/>
  <c r="D82" i="420"/>
  <c r="D83" i="420" s="1"/>
  <c r="N79" i="420"/>
  <c r="M79" i="420"/>
  <c r="L79" i="420"/>
  <c r="K79" i="420"/>
  <c r="J79" i="420"/>
  <c r="I79" i="420"/>
  <c r="H79" i="420"/>
  <c r="G79" i="420"/>
  <c r="F79" i="420"/>
  <c r="E79" i="420"/>
  <c r="D79" i="420"/>
  <c r="N78" i="420"/>
  <c r="N80" i="420"/>
  <c r="M78" i="420"/>
  <c r="M80" i="420"/>
  <c r="L78" i="420"/>
  <c r="L80" i="420"/>
  <c r="K78" i="420"/>
  <c r="K80" i="420"/>
  <c r="J78" i="420"/>
  <c r="J80" i="420"/>
  <c r="I78" i="420"/>
  <c r="H78" i="420"/>
  <c r="G78" i="420"/>
  <c r="F78" i="420"/>
  <c r="E78" i="420"/>
  <c r="D78" i="420"/>
  <c r="N77" i="420"/>
  <c r="M77" i="420"/>
  <c r="L77" i="420"/>
  <c r="K77" i="420"/>
  <c r="J77" i="420"/>
  <c r="I77" i="420"/>
  <c r="H77" i="420"/>
  <c r="G77" i="420"/>
  <c r="F77" i="420"/>
  <c r="E77" i="420"/>
  <c r="D77" i="420"/>
  <c r="N76" i="420"/>
  <c r="M76" i="420"/>
  <c r="L76" i="420"/>
  <c r="K76" i="420"/>
  <c r="J76" i="420"/>
  <c r="I76" i="420"/>
  <c r="H76" i="420"/>
  <c r="G76" i="420"/>
  <c r="F76" i="420"/>
  <c r="E76" i="420"/>
  <c r="D76" i="420"/>
  <c r="N75" i="420"/>
  <c r="M75" i="420"/>
  <c r="L75" i="420"/>
  <c r="K75" i="420"/>
  <c r="J75" i="420"/>
  <c r="I75" i="420"/>
  <c r="H75" i="420"/>
  <c r="G75" i="420"/>
  <c r="F75" i="420"/>
  <c r="E75" i="420"/>
  <c r="D75" i="420"/>
  <c r="N74" i="420"/>
  <c r="M74" i="420"/>
  <c r="L74" i="420"/>
  <c r="K74" i="420"/>
  <c r="J74" i="420"/>
  <c r="I74" i="420"/>
  <c r="H74" i="420"/>
  <c r="G74" i="420"/>
  <c r="F74" i="420"/>
  <c r="E74" i="420"/>
  <c r="D74" i="420"/>
  <c r="N73" i="420"/>
  <c r="M73" i="420"/>
  <c r="L73" i="420"/>
  <c r="K73" i="420"/>
  <c r="J73" i="420"/>
  <c r="I73" i="420"/>
  <c r="H73" i="420"/>
  <c r="G73" i="420"/>
  <c r="F73" i="420"/>
  <c r="E73" i="420"/>
  <c r="D73" i="420"/>
  <c r="N72" i="420"/>
  <c r="M72" i="420"/>
  <c r="L72" i="420"/>
  <c r="K72" i="420"/>
  <c r="J72" i="420"/>
  <c r="I72" i="420"/>
  <c r="H72" i="420"/>
  <c r="G72" i="420"/>
  <c r="F72" i="420"/>
  <c r="E72" i="420"/>
  <c r="D72" i="420"/>
  <c r="N71" i="420"/>
  <c r="N255" i="420" s="1"/>
  <c r="M71" i="420"/>
  <c r="L71" i="420"/>
  <c r="K71" i="420"/>
  <c r="J71" i="420"/>
  <c r="I71" i="420"/>
  <c r="H71" i="420"/>
  <c r="G71" i="420"/>
  <c r="F71" i="420"/>
  <c r="E71" i="420"/>
  <c r="D71" i="420"/>
  <c r="N67" i="420"/>
  <c r="M67" i="420"/>
  <c r="L67" i="420"/>
  <c r="K67" i="420"/>
  <c r="J67" i="420"/>
  <c r="I67" i="420"/>
  <c r="H67" i="420"/>
  <c r="G67" i="420"/>
  <c r="F67" i="420"/>
  <c r="E67" i="420"/>
  <c r="D67" i="420"/>
  <c r="D68" i="420" s="1"/>
  <c r="N66" i="420"/>
  <c r="M66" i="420"/>
  <c r="L66" i="420"/>
  <c r="L68" i="420" s="1"/>
  <c r="K66" i="420"/>
  <c r="J66" i="420"/>
  <c r="I66" i="420"/>
  <c r="H66" i="420"/>
  <c r="G66" i="420"/>
  <c r="F66" i="420"/>
  <c r="E66" i="420"/>
  <c r="D66" i="420"/>
  <c r="N64" i="420"/>
  <c r="M64" i="420"/>
  <c r="L64" i="420"/>
  <c r="J64" i="420"/>
  <c r="I64" i="420"/>
  <c r="H64" i="420"/>
  <c r="H65" i="420" s="1"/>
  <c r="F64" i="420"/>
  <c r="E64" i="420"/>
  <c r="D64" i="420"/>
  <c r="D65" i="420" s="1"/>
  <c r="R63" i="420"/>
  <c r="N63" i="420"/>
  <c r="M63" i="420"/>
  <c r="L63" i="420"/>
  <c r="K63" i="420"/>
  <c r="J63" i="420"/>
  <c r="I63" i="420"/>
  <c r="H63" i="420"/>
  <c r="G63" i="420"/>
  <c r="F63" i="420"/>
  <c r="E63" i="420"/>
  <c r="D63" i="420"/>
  <c r="N60" i="420"/>
  <c r="M60" i="420"/>
  <c r="L60" i="420"/>
  <c r="K60" i="420"/>
  <c r="J60" i="420"/>
  <c r="I60" i="420"/>
  <c r="H60" i="420"/>
  <c r="G60" i="420"/>
  <c r="F60" i="420"/>
  <c r="E60" i="420"/>
  <c r="D60" i="420"/>
  <c r="N57" i="420"/>
  <c r="N58" i="420"/>
  <c r="M57" i="420"/>
  <c r="L57" i="420"/>
  <c r="L58" i="420" s="1"/>
  <c r="K57" i="420"/>
  <c r="J57" i="420"/>
  <c r="J58" i="420"/>
  <c r="H57" i="420"/>
  <c r="H58" i="420" s="1"/>
  <c r="G57" i="420"/>
  <c r="F57" i="420"/>
  <c r="F58" i="420" s="1"/>
  <c r="E57" i="420"/>
  <c r="D57" i="420"/>
  <c r="D58" i="420"/>
  <c r="N54" i="420"/>
  <c r="N17" i="420" s="1"/>
  <c r="M54" i="420"/>
  <c r="M17" i="420"/>
  <c r="L54" i="420"/>
  <c r="K54" i="420"/>
  <c r="K17" i="420"/>
  <c r="J54" i="420"/>
  <c r="I54" i="420"/>
  <c r="H54" i="420"/>
  <c r="H17" i="420" s="1"/>
  <c r="G54" i="420"/>
  <c r="G17" i="420"/>
  <c r="F54" i="420"/>
  <c r="F17" i="420" s="1"/>
  <c r="E54" i="420"/>
  <c r="E17" i="420" s="1"/>
  <c r="D54" i="420"/>
  <c r="N51" i="420"/>
  <c r="M51" i="420"/>
  <c r="L51" i="420"/>
  <c r="K51" i="420"/>
  <c r="J51" i="420"/>
  <c r="I51" i="420"/>
  <c r="N50" i="420"/>
  <c r="M50" i="420"/>
  <c r="L50" i="420"/>
  <c r="L52" i="420" s="1"/>
  <c r="L8" i="420" s="1"/>
  <c r="L9" i="420" s="1"/>
  <c r="K50" i="420"/>
  <c r="J50" i="420"/>
  <c r="I50" i="420"/>
  <c r="N49" i="420"/>
  <c r="M49" i="420"/>
  <c r="L49" i="420"/>
  <c r="K49" i="420"/>
  <c r="J49" i="420"/>
  <c r="J52" i="420" s="1"/>
  <c r="J8" i="420" s="1"/>
  <c r="I49" i="420"/>
  <c r="H49" i="420"/>
  <c r="G49" i="420"/>
  <c r="F49" i="420"/>
  <c r="E49" i="420"/>
  <c r="D49" i="420"/>
  <c r="N48" i="420"/>
  <c r="M48" i="420"/>
  <c r="M52" i="420" s="1"/>
  <c r="L48" i="420"/>
  <c r="K48" i="420"/>
  <c r="J48" i="420"/>
  <c r="I48" i="420"/>
  <c r="H48" i="420"/>
  <c r="G48" i="420"/>
  <c r="F48" i="420"/>
  <c r="E48" i="420"/>
  <c r="D48" i="420"/>
  <c r="N34" i="420"/>
  <c r="M34" i="420"/>
  <c r="L34" i="420"/>
  <c r="J34" i="420"/>
  <c r="I34" i="420"/>
  <c r="H34" i="420"/>
  <c r="G34" i="420"/>
  <c r="F34" i="420"/>
  <c r="E34" i="420"/>
  <c r="D34" i="420"/>
  <c r="N29" i="420"/>
  <c r="M29" i="420"/>
  <c r="K29" i="420"/>
  <c r="J29" i="420"/>
  <c r="I29" i="420"/>
  <c r="G29" i="420"/>
  <c r="F29" i="420"/>
  <c r="E29" i="420"/>
  <c r="N23" i="420"/>
  <c r="O23" i="420"/>
  <c r="P23" i="420"/>
  <c r="Q23" i="420" s="1"/>
  <c r="M23" i="420"/>
  <c r="L23" i="420"/>
  <c r="K23" i="420"/>
  <c r="J23" i="420"/>
  <c r="I23" i="420"/>
  <c r="H23" i="420"/>
  <c r="G23" i="420"/>
  <c r="N14" i="420"/>
  <c r="M14" i="420"/>
  <c r="L14" i="420"/>
  <c r="K14" i="420"/>
  <c r="J14" i="420"/>
  <c r="I14" i="420"/>
  <c r="H14" i="420"/>
  <c r="G14" i="420"/>
  <c r="F14" i="420"/>
  <c r="E14" i="420"/>
  <c r="D14" i="420"/>
  <c r="N12" i="420"/>
  <c r="M12" i="420"/>
  <c r="L12" i="420"/>
  <c r="K12" i="420"/>
  <c r="J12" i="420"/>
  <c r="I12" i="420"/>
  <c r="H12" i="420"/>
  <c r="G12" i="420"/>
  <c r="F12" i="420"/>
  <c r="E12" i="420"/>
  <c r="D12" i="420"/>
  <c r="X4" i="420"/>
  <c r="W4" i="420"/>
  <c r="V4" i="420"/>
  <c r="U4" i="420"/>
  <c r="T4" i="420"/>
  <c r="S4" i="420"/>
  <c r="R4" i="420"/>
  <c r="Q4" i="420"/>
  <c r="P4" i="420"/>
  <c r="P278" i="420" s="1"/>
  <c r="O4" i="420"/>
  <c r="N4" i="420"/>
  <c r="N278" i="420" s="1"/>
  <c r="M4" i="420"/>
  <c r="M278" i="420"/>
  <c r="L4" i="420"/>
  <c r="L278" i="420" s="1"/>
  <c r="K4" i="420"/>
  <c r="K278" i="420" s="1"/>
  <c r="J4" i="420"/>
  <c r="J278" i="420" s="1"/>
  <c r="I4" i="420"/>
  <c r="I278" i="420" s="1"/>
  <c r="H4" i="420"/>
  <c r="H278" i="420" s="1"/>
  <c r="G4" i="420"/>
  <c r="G278" i="420"/>
  <c r="F4" i="420"/>
  <c r="F278" i="420" s="1"/>
  <c r="E4" i="420"/>
  <c r="E278" i="420"/>
  <c r="D4" i="420"/>
  <c r="D278" i="420" s="1"/>
  <c r="C1" i="420"/>
  <c r="J124" i="420" s="1"/>
  <c r="Q63" i="420"/>
  <c r="F83" i="420"/>
  <c r="E133" i="420"/>
  <c r="F150" i="420"/>
  <c r="J150" i="420"/>
  <c r="N150" i="420"/>
  <c r="J151" i="420"/>
  <c r="F152" i="420"/>
  <c r="N152" i="420"/>
  <c r="J153" i="420"/>
  <c r="G191" i="420"/>
  <c r="M150" i="419"/>
  <c r="P63" i="420"/>
  <c r="H133" i="420"/>
  <c r="F191" i="420"/>
  <c r="O63" i="420"/>
  <c r="F151" i="420"/>
  <c r="N151" i="420"/>
  <c r="G155" i="420"/>
  <c r="K155" i="420"/>
  <c r="F234" i="420"/>
  <c r="J234" i="420"/>
  <c r="G236" i="420"/>
  <c r="E239" i="420"/>
  <c r="E272" i="420"/>
  <c r="I272" i="420"/>
  <c r="F241" i="420"/>
  <c r="J241" i="420"/>
  <c r="J150" i="419"/>
  <c r="K150" i="419"/>
  <c r="M152" i="419"/>
  <c r="E140" i="420"/>
  <c r="I140" i="420"/>
  <c r="M151" i="419"/>
  <c r="I52" i="420"/>
  <c r="I8" i="420" s="1"/>
  <c r="L65" i="420"/>
  <c r="N65" i="420"/>
  <c r="H68" i="420"/>
  <c r="G152" i="420"/>
  <c r="I152" i="420"/>
  <c r="M152" i="420"/>
  <c r="D213" i="420"/>
  <c r="F213" i="420"/>
  <c r="H213" i="420"/>
  <c r="J213" i="420"/>
  <c r="J214" i="420" s="1"/>
  <c r="L213" i="420"/>
  <c r="N213" i="420"/>
  <c r="E224" i="420"/>
  <c r="G224" i="420"/>
  <c r="I224" i="420"/>
  <c r="M224" i="420"/>
  <c r="F227" i="420"/>
  <c r="F37" i="420" s="1"/>
  <c r="E244" i="420"/>
  <c r="G244" i="420"/>
  <c r="I244" i="420"/>
  <c r="J152" i="419"/>
  <c r="K152" i="419"/>
  <c r="F140" i="420"/>
  <c r="G20" i="420" s="1"/>
  <c r="G19" i="420" s="1"/>
  <c r="G21" i="420" s="1"/>
  <c r="M124" i="420"/>
  <c r="K124" i="420"/>
  <c r="K123" i="420"/>
  <c r="K122" i="420" s="1"/>
  <c r="M132" i="420"/>
  <c r="J134" i="420"/>
  <c r="K134" i="420"/>
  <c r="L124" i="420"/>
  <c r="N123" i="420"/>
  <c r="N122" i="420" s="1"/>
  <c r="L123" i="420"/>
  <c r="L122" i="420" s="1"/>
  <c r="E122" i="420"/>
  <c r="I122" i="420"/>
  <c r="D140" i="420"/>
  <c r="H140" i="420"/>
  <c r="D187" i="420"/>
  <c r="E180" i="420" s="1"/>
  <c r="E105" i="420"/>
  <c r="E106" i="420" s="1"/>
  <c r="I105" i="420"/>
  <c r="K105" i="420"/>
  <c r="M105" i="420"/>
  <c r="J227" i="420"/>
  <c r="J37" i="420" s="1"/>
  <c r="F20" i="420"/>
  <c r="F19" i="420" s="1"/>
  <c r="F21" i="420" s="1"/>
  <c r="E11" i="420"/>
  <c r="E10" i="420"/>
  <c r="G68" i="420"/>
  <c r="K68" i="420"/>
  <c r="D106" i="420"/>
  <c r="F106" i="420"/>
  <c r="H106" i="420"/>
  <c r="F122" i="420"/>
  <c r="H122" i="420"/>
  <c r="E151" i="420"/>
  <c r="G151" i="420"/>
  <c r="I151" i="420"/>
  <c r="K151" i="420"/>
  <c r="M151" i="420"/>
  <c r="E153" i="420"/>
  <c r="G153" i="420"/>
  <c r="I153" i="420"/>
  <c r="K153" i="420"/>
  <c r="M153" i="420"/>
  <c r="D156" i="420"/>
  <c r="F156" i="420"/>
  <c r="H156" i="420"/>
  <c r="J156" i="420"/>
  <c r="H194" i="420"/>
  <c r="D201" i="420"/>
  <c r="H201" i="420"/>
  <c r="L201" i="420"/>
  <c r="E213" i="420"/>
  <c r="E214" i="420"/>
  <c r="E216" i="420" s="1"/>
  <c r="G213" i="420"/>
  <c r="I213" i="420"/>
  <c r="K213" i="420"/>
  <c r="M213" i="420"/>
  <c r="M214" i="420"/>
  <c r="D215" i="420"/>
  <c r="F215" i="420"/>
  <c r="H215" i="420"/>
  <c r="J215" i="420"/>
  <c r="J216" i="420"/>
  <c r="L215" i="420"/>
  <c r="D224" i="420"/>
  <c r="F224" i="420"/>
  <c r="H224" i="420"/>
  <c r="J224" i="420"/>
  <c r="L224" i="420"/>
  <c r="E227" i="420"/>
  <c r="E37" i="420"/>
  <c r="G227" i="420"/>
  <c r="G37" i="420" s="1"/>
  <c r="I227" i="420"/>
  <c r="I37" i="420"/>
  <c r="M227" i="420"/>
  <c r="M37" i="420" s="1"/>
  <c r="I106" i="420"/>
  <c r="L156" i="420"/>
  <c r="N156" i="420"/>
  <c r="G194" i="420"/>
  <c r="I232" i="420"/>
  <c r="D167" i="420"/>
  <c r="E160" i="420"/>
  <c r="E167" i="420"/>
  <c r="F160" i="420" s="1"/>
  <c r="F167" i="420" s="1"/>
  <c r="G160" i="420" s="1"/>
  <c r="G167" i="420" s="1"/>
  <c r="H160" i="420" s="1"/>
  <c r="H167" i="420" s="1"/>
  <c r="I160" i="420" s="1"/>
  <c r="I167" i="420" s="1"/>
  <c r="J160" i="420" s="1"/>
  <c r="J167" i="420" s="1"/>
  <c r="K160" i="420" s="1"/>
  <c r="K167" i="420" s="1"/>
  <c r="L160" i="420" s="1"/>
  <c r="L167" i="420" s="1"/>
  <c r="M160" i="420" s="1"/>
  <c r="M167" i="420"/>
  <c r="N160" i="420" s="1"/>
  <c r="N167" i="420" s="1"/>
  <c r="O160" i="420" s="1"/>
  <c r="O167" i="420" s="1"/>
  <c r="E201" i="420"/>
  <c r="I201" i="420"/>
  <c r="F232" i="420"/>
  <c r="H232" i="420"/>
  <c r="E234" i="420"/>
  <c r="G234" i="420"/>
  <c r="I234" i="420"/>
  <c r="F236" i="420"/>
  <c r="H236" i="420"/>
  <c r="J236" i="420"/>
  <c r="J273" i="420" s="1"/>
  <c r="F239" i="420"/>
  <c r="F272" i="420" s="1"/>
  <c r="H239" i="420"/>
  <c r="H272" i="420"/>
  <c r="N152" i="419"/>
  <c r="E245" i="420"/>
  <c r="M201" i="420"/>
  <c r="J151" i="419"/>
  <c r="L241" i="420"/>
  <c r="N234" i="420"/>
  <c r="K239" i="420"/>
  <c r="K272" i="420" s="1"/>
  <c r="M236" i="420"/>
  <c r="M268" i="420" s="1"/>
  <c r="L232" i="420"/>
  <c r="N236" i="420"/>
  <c r="N268" i="420" s="1"/>
  <c r="L239" i="420"/>
  <c r="L272" i="420"/>
  <c r="K244" i="420"/>
  <c r="L324" i="420"/>
  <c r="L319" i="420" s="1"/>
  <c r="L320" i="420" s="1"/>
  <c r="V248" i="420"/>
  <c r="T248" i="420"/>
  <c r="R248" i="420"/>
  <c r="L194" i="420"/>
  <c r="M192" i="420"/>
  <c r="M190" i="420"/>
  <c r="K190" i="420"/>
  <c r="W248" i="420"/>
  <c r="S248" i="420"/>
  <c r="Q248" i="420"/>
  <c r="K194" i="420"/>
  <c r="N192" i="420"/>
  <c r="L192" i="420"/>
  <c r="N190" i="420"/>
  <c r="L190" i="420"/>
  <c r="L191" i="420" s="1"/>
  <c r="J190" i="420"/>
  <c r="L140" i="420"/>
  <c r="J140" i="420"/>
  <c r="N131" i="420"/>
  <c r="O131" i="420" s="1"/>
  <c r="P131" i="420" s="1"/>
  <c r="Q131" i="420" s="1"/>
  <c r="R131" i="420" s="1"/>
  <c r="S131" i="420" s="1"/>
  <c r="T131" i="420" s="1"/>
  <c r="U131" i="420" s="1"/>
  <c r="V131" i="420" s="1"/>
  <c r="W131" i="420" s="1"/>
  <c r="X131" i="420" s="1"/>
  <c r="J131" i="420"/>
  <c r="M130" i="420"/>
  <c r="K130" i="420"/>
  <c r="L129" i="420"/>
  <c r="J129" i="420"/>
  <c r="M128" i="420"/>
  <c r="N127" i="420"/>
  <c r="L127" i="420"/>
  <c r="J127" i="420"/>
  <c r="M118" i="420"/>
  <c r="K118" i="420"/>
  <c r="L117" i="420"/>
  <c r="L116" i="420" s="1"/>
  <c r="M108" i="420"/>
  <c r="K108" i="420"/>
  <c r="L107" i="420"/>
  <c r="J107" i="420"/>
  <c r="N99" i="420"/>
  <c r="J99" i="420"/>
  <c r="M98" i="420"/>
  <c r="K98" i="420"/>
  <c r="L84" i="420"/>
  <c r="J84" i="420"/>
  <c r="J83" i="420" s="1"/>
  <c r="N82" i="420"/>
  <c r="J82" i="420"/>
  <c r="M140" i="420"/>
  <c r="K140" i="420"/>
  <c r="K131" i="420"/>
  <c r="N130" i="420"/>
  <c r="L130" i="420"/>
  <c r="M129" i="420"/>
  <c r="K129" i="420"/>
  <c r="N128" i="420"/>
  <c r="J128" i="420"/>
  <c r="M127" i="420"/>
  <c r="K127" i="420"/>
  <c r="L118" i="420"/>
  <c r="J118" i="420"/>
  <c r="M117" i="420"/>
  <c r="M116" i="420" s="1"/>
  <c r="K117" i="420"/>
  <c r="K116" i="420" s="1"/>
  <c r="N108" i="420"/>
  <c r="J108" i="420"/>
  <c r="M107" i="420"/>
  <c r="M270" i="420" s="1"/>
  <c r="K107" i="420"/>
  <c r="K99" i="420"/>
  <c r="N98" i="420"/>
  <c r="L98" i="420"/>
  <c r="M84" i="420"/>
  <c r="K84" i="420"/>
  <c r="M82" i="420"/>
  <c r="K82" i="420"/>
  <c r="E58" i="420"/>
  <c r="E59" i="420" s="1"/>
  <c r="M58" i="420"/>
  <c r="M59" i="420" s="1"/>
  <c r="O95" i="420"/>
  <c r="P94" i="420"/>
  <c r="Q94" i="420" s="1"/>
  <c r="R94" i="420"/>
  <c r="S94" i="420" s="1"/>
  <c r="T94" i="420" s="1"/>
  <c r="U94" i="420" s="1"/>
  <c r="V94" i="420" s="1"/>
  <c r="W94" i="420" s="1"/>
  <c r="X94" i="420" s="1"/>
  <c r="G275" i="420"/>
  <c r="H275" i="420"/>
  <c r="F255" i="420"/>
  <c r="F265" i="420"/>
  <c r="H265" i="420"/>
  <c r="E270" i="420"/>
  <c r="G270" i="420"/>
  <c r="I270" i="420"/>
  <c r="F268" i="420"/>
  <c r="F263" i="420"/>
  <c r="F253" i="420"/>
  <c r="H273" i="420"/>
  <c r="H268" i="420"/>
  <c r="H263" i="420"/>
  <c r="H258" i="420"/>
  <c r="H253" i="420"/>
  <c r="D59" i="420"/>
  <c r="F59" i="420"/>
  <c r="F18" i="420" s="1"/>
  <c r="F25" i="420" s="1"/>
  <c r="H59" i="420"/>
  <c r="J59" i="420"/>
  <c r="L59" i="420"/>
  <c r="N59" i="420"/>
  <c r="N18" i="420" s="1"/>
  <c r="D155" i="420"/>
  <c r="F155" i="420"/>
  <c r="H155" i="420"/>
  <c r="J155" i="420"/>
  <c r="L155" i="420"/>
  <c r="N155" i="420"/>
  <c r="E156" i="420"/>
  <c r="G156" i="420"/>
  <c r="I156" i="420"/>
  <c r="K156" i="420"/>
  <c r="M156" i="420"/>
  <c r="D214" i="420"/>
  <c r="H214" i="420"/>
  <c r="L214" i="420"/>
  <c r="N214" i="420"/>
  <c r="E255" i="420"/>
  <c r="I255" i="420"/>
  <c r="M255" i="420"/>
  <c r="E265" i="420"/>
  <c r="G265" i="420"/>
  <c r="I265" i="420"/>
  <c r="F270" i="420"/>
  <c r="H270" i="420"/>
  <c r="E187" i="420"/>
  <c r="D175" i="420"/>
  <c r="D173" i="420"/>
  <c r="D176" i="420" s="1"/>
  <c r="D33" i="420"/>
  <c r="E258" i="420"/>
  <c r="G273" i="420"/>
  <c r="G274" i="420"/>
  <c r="G268" i="420"/>
  <c r="G263" i="420"/>
  <c r="G258" i="420"/>
  <c r="G253" i="420"/>
  <c r="I273" i="420"/>
  <c r="I274" i="420" s="1"/>
  <c r="I268" i="420"/>
  <c r="I263" i="420"/>
  <c r="I258" i="420"/>
  <c r="I253" i="420"/>
  <c r="O169" i="420"/>
  <c r="P169" i="420" s="1"/>
  <c r="Q169" i="420" s="1"/>
  <c r="R169" i="420" s="1"/>
  <c r="S169" i="420" s="1"/>
  <c r="T169" i="420" s="1"/>
  <c r="U169" i="420" s="1"/>
  <c r="V169" i="420" s="1"/>
  <c r="W169" i="420" s="1"/>
  <c r="X169" i="420" s="1"/>
  <c r="G214" i="420"/>
  <c r="G216" i="420"/>
  <c r="I214" i="420"/>
  <c r="I216" i="420" s="1"/>
  <c r="K214" i="420"/>
  <c r="H216" i="420"/>
  <c r="L216" i="420"/>
  <c r="O237" i="420"/>
  <c r="O246" i="420"/>
  <c r="P246" i="420"/>
  <c r="Q246" i="420" s="1"/>
  <c r="R246" i="420" s="1"/>
  <c r="S246" i="420" s="1"/>
  <c r="T246" i="420" s="1"/>
  <c r="U246" i="420" s="1"/>
  <c r="V246" i="420" s="1"/>
  <c r="W246" i="420" s="1"/>
  <c r="X246" i="420" s="1"/>
  <c r="O206" i="420"/>
  <c r="N227" i="420"/>
  <c r="N37" i="420" s="1"/>
  <c r="E241" i="420"/>
  <c r="G241" i="420"/>
  <c r="I241" i="420"/>
  <c r="K241" i="420"/>
  <c r="D242" i="420"/>
  <c r="F242" i="420"/>
  <c r="H242" i="420"/>
  <c r="J242" i="420"/>
  <c r="L242" i="420"/>
  <c r="N242" i="420"/>
  <c r="F244" i="420"/>
  <c r="F245" i="420" s="1"/>
  <c r="H244" i="420"/>
  <c r="H245" i="420"/>
  <c r="L244" i="420"/>
  <c r="J321" i="420"/>
  <c r="J335" i="420"/>
  <c r="J303" i="420"/>
  <c r="E242" i="420"/>
  <c r="G242" i="420"/>
  <c r="I242" i="420"/>
  <c r="K242" i="420"/>
  <c r="E233" i="419"/>
  <c r="F233" i="419"/>
  <c r="G233" i="419"/>
  <c r="H233" i="419"/>
  <c r="H234" i="419" s="1"/>
  <c r="I233" i="419"/>
  <c r="D233" i="419"/>
  <c r="W267" i="419"/>
  <c r="I248" i="419"/>
  <c r="H248" i="419"/>
  <c r="G248" i="419"/>
  <c r="F248" i="419"/>
  <c r="E248" i="419"/>
  <c r="D248" i="419"/>
  <c r="I247" i="419"/>
  <c r="H247" i="419"/>
  <c r="G247" i="419"/>
  <c r="F247" i="419"/>
  <c r="E247" i="419"/>
  <c r="D247" i="419"/>
  <c r="I246" i="419"/>
  <c r="H246" i="419"/>
  <c r="G246" i="419"/>
  <c r="F246" i="419"/>
  <c r="E246" i="419"/>
  <c r="D246" i="419"/>
  <c r="I243" i="419"/>
  <c r="H243" i="419"/>
  <c r="G243" i="419"/>
  <c r="F243" i="419"/>
  <c r="F244" i="419" s="1"/>
  <c r="E243" i="419"/>
  <c r="D243" i="419"/>
  <c r="I240" i="419"/>
  <c r="H240" i="419"/>
  <c r="G240" i="419"/>
  <c r="F240" i="419"/>
  <c r="E240" i="419"/>
  <c r="D240" i="419"/>
  <c r="I238" i="419"/>
  <c r="H238" i="419"/>
  <c r="G238" i="419"/>
  <c r="F238" i="419"/>
  <c r="E238" i="419"/>
  <c r="D238" i="419"/>
  <c r="I237" i="419"/>
  <c r="H237" i="419"/>
  <c r="G237" i="419"/>
  <c r="F237" i="419"/>
  <c r="E237" i="419"/>
  <c r="D237" i="419"/>
  <c r="I235" i="419"/>
  <c r="H235" i="419"/>
  <c r="G235" i="419"/>
  <c r="F235" i="419"/>
  <c r="E235" i="419"/>
  <c r="D235" i="419"/>
  <c r="J234" i="419"/>
  <c r="I231" i="419"/>
  <c r="H231" i="419"/>
  <c r="G231" i="419"/>
  <c r="F231" i="419"/>
  <c r="E231" i="419"/>
  <c r="D231" i="419"/>
  <c r="N228" i="419"/>
  <c r="O228" i="419"/>
  <c r="P228" i="419" s="1"/>
  <c r="Q228" i="419" s="1"/>
  <c r="R228" i="419"/>
  <c r="S228" i="419" s="1"/>
  <c r="T228" i="419" s="1"/>
  <c r="U228" i="419" s="1"/>
  <c r="V228" i="419" s="1"/>
  <c r="W228" i="419"/>
  <c r="X228" i="419" s="1"/>
  <c r="M228" i="419"/>
  <c r="L228" i="419"/>
  <c r="K228" i="419"/>
  <c r="J228" i="419"/>
  <c r="I228" i="419"/>
  <c r="H228" i="419"/>
  <c r="G228" i="419"/>
  <c r="F228" i="419"/>
  <c r="E228" i="419"/>
  <c r="D228" i="419"/>
  <c r="O226" i="419"/>
  <c r="P226" i="419" s="1"/>
  <c r="Q226" i="419" s="1"/>
  <c r="R226" i="419"/>
  <c r="S226" i="419" s="1"/>
  <c r="T226" i="419" s="1"/>
  <c r="U226" i="419" s="1"/>
  <c r="V226" i="419" s="1"/>
  <c r="W226" i="419" s="1"/>
  <c r="X226" i="419" s="1"/>
  <c r="N226" i="419"/>
  <c r="M226" i="419"/>
  <c r="L226" i="419"/>
  <c r="K226" i="419"/>
  <c r="J226" i="419"/>
  <c r="I226" i="419"/>
  <c r="H226" i="419"/>
  <c r="G226" i="419"/>
  <c r="F226" i="419"/>
  <c r="E226" i="419"/>
  <c r="D226" i="419"/>
  <c r="M34" i="419"/>
  <c r="I225" i="419"/>
  <c r="I34" i="419"/>
  <c r="H225" i="419"/>
  <c r="H34" i="419" s="1"/>
  <c r="G225" i="419"/>
  <c r="G215" i="419"/>
  <c r="F225" i="419"/>
  <c r="F34" i="419" s="1"/>
  <c r="E225" i="419"/>
  <c r="E34" i="419" s="1"/>
  <c r="D225" i="419"/>
  <c r="D34" i="419"/>
  <c r="I223" i="419"/>
  <c r="H223" i="419"/>
  <c r="G223" i="419"/>
  <c r="F223" i="419"/>
  <c r="F29" i="419" s="1"/>
  <c r="E223" i="419"/>
  <c r="D223" i="419"/>
  <c r="N222" i="419"/>
  <c r="M222" i="419"/>
  <c r="M29" i="419" s="1"/>
  <c r="L222" i="419"/>
  <c r="L29" i="419" s="1"/>
  <c r="K222" i="419"/>
  <c r="J222" i="419"/>
  <c r="J29" i="419" s="1"/>
  <c r="I222" i="419"/>
  <c r="I29" i="419"/>
  <c r="H222" i="419"/>
  <c r="G222" i="419"/>
  <c r="F222" i="419"/>
  <c r="E222" i="419"/>
  <c r="E29" i="419" s="1"/>
  <c r="D222" i="419"/>
  <c r="N217" i="419"/>
  <c r="M217" i="419"/>
  <c r="L217" i="419"/>
  <c r="K217" i="419"/>
  <c r="J217" i="419"/>
  <c r="I217" i="419"/>
  <c r="H217" i="419"/>
  <c r="G217" i="419"/>
  <c r="F217" i="419"/>
  <c r="E217" i="419"/>
  <c r="D217" i="419"/>
  <c r="O215" i="419"/>
  <c r="N212" i="419"/>
  <c r="M212" i="419"/>
  <c r="L212" i="419"/>
  <c r="K212" i="419"/>
  <c r="J212" i="419"/>
  <c r="I212" i="419"/>
  <c r="H212" i="419"/>
  <c r="G212" i="419"/>
  <c r="F212" i="419"/>
  <c r="E212" i="419"/>
  <c r="D212" i="419"/>
  <c r="N209" i="419"/>
  <c r="M209" i="419"/>
  <c r="M121" i="419" s="1"/>
  <c r="L209" i="419"/>
  <c r="L121" i="419"/>
  <c r="K209" i="419"/>
  <c r="K121" i="419" s="1"/>
  <c r="J209" i="419"/>
  <c r="I209" i="419"/>
  <c r="I121" i="419" s="1"/>
  <c r="H209" i="419"/>
  <c r="H121" i="419"/>
  <c r="G209" i="419"/>
  <c r="G121" i="419" s="1"/>
  <c r="F209" i="419"/>
  <c r="E209" i="419"/>
  <c r="E121" i="419" s="1"/>
  <c r="D209" i="419"/>
  <c r="D121" i="419" s="1"/>
  <c r="N208" i="419"/>
  <c r="N57" i="419" s="1"/>
  <c r="N58" i="419" s="1"/>
  <c r="M208" i="419"/>
  <c r="M57" i="419"/>
  <c r="M58" i="419"/>
  <c r="L208" i="419"/>
  <c r="K208" i="419"/>
  <c r="K57" i="419"/>
  <c r="K58" i="419"/>
  <c r="J208" i="419"/>
  <c r="J57" i="419" s="1"/>
  <c r="J58" i="419" s="1"/>
  <c r="H208" i="419"/>
  <c r="G208" i="419"/>
  <c r="G57" i="419" s="1"/>
  <c r="F208" i="419"/>
  <c r="E208" i="419"/>
  <c r="E57" i="419" s="1"/>
  <c r="E58" i="419"/>
  <c r="E59" i="419" s="1"/>
  <c r="D208" i="419"/>
  <c r="D57" i="419" s="1"/>
  <c r="N207" i="419"/>
  <c r="M207" i="419"/>
  <c r="L207" i="419"/>
  <c r="L213" i="419" s="1"/>
  <c r="K207" i="419"/>
  <c r="J207" i="419"/>
  <c r="I207" i="419"/>
  <c r="H207" i="419"/>
  <c r="G207" i="419"/>
  <c r="F207" i="419"/>
  <c r="E207" i="419"/>
  <c r="D207" i="419"/>
  <c r="D213" i="419" s="1"/>
  <c r="D214" i="419" s="1"/>
  <c r="N206" i="419"/>
  <c r="M206" i="419"/>
  <c r="L206" i="419"/>
  <c r="K206" i="419"/>
  <c r="J206" i="419"/>
  <c r="I206" i="419"/>
  <c r="H206" i="419"/>
  <c r="G206" i="419"/>
  <c r="F206" i="419"/>
  <c r="E206" i="419"/>
  <c r="D206" i="419"/>
  <c r="O203" i="419"/>
  <c r="P203" i="419" s="1"/>
  <c r="Q203" i="419" s="1"/>
  <c r="R203" i="419" s="1"/>
  <c r="S203" i="419" s="1"/>
  <c r="T203" i="419" s="1"/>
  <c r="U203" i="419" s="1"/>
  <c r="V203" i="419" s="1"/>
  <c r="W203" i="419" s="1"/>
  <c r="X203" i="419" s="1"/>
  <c r="N199" i="419"/>
  <c r="N201" i="419" s="1"/>
  <c r="M199" i="419"/>
  <c r="L199" i="419"/>
  <c r="K199" i="419"/>
  <c r="J199" i="419"/>
  <c r="I199" i="419"/>
  <c r="H199" i="419"/>
  <c r="G199" i="419"/>
  <c r="F199" i="419"/>
  <c r="F201" i="419" s="1"/>
  <c r="E199" i="419"/>
  <c r="D199" i="419"/>
  <c r="N198" i="419"/>
  <c r="M198" i="419"/>
  <c r="M201" i="419" s="1"/>
  <c r="L198" i="419"/>
  <c r="K198" i="419"/>
  <c r="J198" i="419"/>
  <c r="I198" i="419"/>
  <c r="I201" i="419" s="1"/>
  <c r="H198" i="419"/>
  <c r="G198" i="419"/>
  <c r="F198" i="419"/>
  <c r="E198" i="419"/>
  <c r="E201" i="419" s="1"/>
  <c r="D198" i="419"/>
  <c r="I195" i="419"/>
  <c r="H195" i="419"/>
  <c r="G195" i="419"/>
  <c r="F195" i="419"/>
  <c r="E195" i="419"/>
  <c r="D195" i="419"/>
  <c r="I192" i="419"/>
  <c r="I191" i="419" s="1"/>
  <c r="H192" i="419"/>
  <c r="G192" i="419"/>
  <c r="F192" i="419"/>
  <c r="E192" i="419"/>
  <c r="E191" i="419" s="1"/>
  <c r="D192" i="419"/>
  <c r="I190" i="419"/>
  <c r="H190" i="419"/>
  <c r="H191" i="419" s="1"/>
  <c r="G190" i="419"/>
  <c r="G191" i="419" s="1"/>
  <c r="F190" i="419"/>
  <c r="E190" i="419"/>
  <c r="D190" i="419"/>
  <c r="D191" i="419"/>
  <c r="N186" i="419"/>
  <c r="M186" i="419"/>
  <c r="L186" i="419"/>
  <c r="K186" i="419"/>
  <c r="J186" i="419"/>
  <c r="I186" i="419"/>
  <c r="H186" i="419"/>
  <c r="G186" i="419"/>
  <c r="F186" i="419"/>
  <c r="E186" i="419"/>
  <c r="D186" i="419"/>
  <c r="N185" i="419"/>
  <c r="M185" i="419"/>
  <c r="L185" i="419"/>
  <c r="K185" i="419"/>
  <c r="J185" i="419"/>
  <c r="J105" i="419" s="1"/>
  <c r="I185" i="419"/>
  <c r="H185" i="419"/>
  <c r="G185" i="419"/>
  <c r="F185" i="419"/>
  <c r="F105" i="419" s="1"/>
  <c r="E185" i="419"/>
  <c r="D185" i="419"/>
  <c r="N184" i="419"/>
  <c r="O184" i="419"/>
  <c r="M184" i="419"/>
  <c r="M64" i="419" s="1"/>
  <c r="M65" i="419" s="1"/>
  <c r="L184" i="419"/>
  <c r="L64" i="419" s="1"/>
  <c r="K184" i="419"/>
  <c r="J184" i="419"/>
  <c r="J64" i="419" s="1"/>
  <c r="I184" i="419"/>
  <c r="I64" i="419" s="1"/>
  <c r="H184" i="419"/>
  <c r="H64" i="419" s="1"/>
  <c r="H65" i="419" s="1"/>
  <c r="G184" i="419"/>
  <c r="F184" i="419"/>
  <c r="F64" i="419"/>
  <c r="E184" i="419"/>
  <c r="D184" i="419"/>
  <c r="D64" i="419" s="1"/>
  <c r="N183" i="419"/>
  <c r="O183" i="419"/>
  <c r="P183" i="419" s="1"/>
  <c r="Q183" i="419" s="1"/>
  <c r="R183" i="419" s="1"/>
  <c r="S183" i="419" s="1"/>
  <c r="T183" i="419" s="1"/>
  <c r="U183" i="419" s="1"/>
  <c r="V183" i="419" s="1"/>
  <c r="W183" i="419" s="1"/>
  <c r="X183" i="419" s="1"/>
  <c r="M183" i="419"/>
  <c r="L183" i="419"/>
  <c r="K183" i="419"/>
  <c r="J183" i="419"/>
  <c r="I183" i="419"/>
  <c r="H183" i="419"/>
  <c r="G183" i="419"/>
  <c r="F183" i="419"/>
  <c r="E183" i="419"/>
  <c r="D183" i="419"/>
  <c r="N182" i="419"/>
  <c r="O182" i="419" s="1"/>
  <c r="P182" i="419" s="1"/>
  <c r="Q182" i="419"/>
  <c r="R182" i="419" s="1"/>
  <c r="S182" i="419" s="1"/>
  <c r="T182" i="419" s="1"/>
  <c r="U182" i="419" s="1"/>
  <c r="V182" i="419" s="1"/>
  <c r="W182" i="419" s="1"/>
  <c r="X182" i="419" s="1"/>
  <c r="M182" i="419"/>
  <c r="L182" i="419"/>
  <c r="K182" i="419"/>
  <c r="J182" i="419"/>
  <c r="I182" i="419"/>
  <c r="H182" i="419"/>
  <c r="G182" i="419"/>
  <c r="F182" i="419"/>
  <c r="E182" i="419"/>
  <c r="D182" i="419"/>
  <c r="N181" i="419"/>
  <c r="O181" i="419" s="1"/>
  <c r="P181" i="419"/>
  <c r="Q181" i="419" s="1"/>
  <c r="R181" i="419" s="1"/>
  <c r="S181" i="419" s="1"/>
  <c r="T181" i="419"/>
  <c r="U181" i="419" s="1"/>
  <c r="V181" i="419" s="1"/>
  <c r="W181" i="419" s="1"/>
  <c r="X181" i="419" s="1"/>
  <c r="M181" i="419"/>
  <c r="L181" i="419"/>
  <c r="K181" i="419"/>
  <c r="J181" i="419"/>
  <c r="I181" i="419"/>
  <c r="H181" i="419"/>
  <c r="G181" i="419"/>
  <c r="F181" i="419"/>
  <c r="E181" i="419"/>
  <c r="D181" i="419"/>
  <c r="D180" i="419"/>
  <c r="N177" i="419"/>
  <c r="M177" i="419"/>
  <c r="L177" i="419"/>
  <c r="K177" i="419"/>
  <c r="J177" i="419"/>
  <c r="I177" i="419"/>
  <c r="H177" i="419"/>
  <c r="G177" i="419"/>
  <c r="F177" i="419"/>
  <c r="E177" i="419"/>
  <c r="D177" i="419"/>
  <c r="N174" i="419"/>
  <c r="M174" i="419"/>
  <c r="L174" i="419"/>
  <c r="K174" i="419"/>
  <c r="J174" i="419"/>
  <c r="I174" i="419"/>
  <c r="H174" i="419"/>
  <c r="G174" i="419"/>
  <c r="F174" i="419"/>
  <c r="E174" i="419"/>
  <c r="D174" i="419"/>
  <c r="I170" i="419"/>
  <c r="H170" i="419"/>
  <c r="G170" i="419"/>
  <c r="F170" i="419"/>
  <c r="E170" i="419"/>
  <c r="D170" i="419"/>
  <c r="I169" i="419"/>
  <c r="H169" i="419"/>
  <c r="G169" i="419"/>
  <c r="F169" i="419"/>
  <c r="E169" i="419"/>
  <c r="D169" i="419"/>
  <c r="I166" i="419"/>
  <c r="H166" i="419"/>
  <c r="G166" i="419"/>
  <c r="F166" i="419"/>
  <c r="E166" i="419"/>
  <c r="D166" i="419"/>
  <c r="I165" i="419"/>
  <c r="H165" i="419"/>
  <c r="G165" i="419"/>
  <c r="F165" i="419"/>
  <c r="E165" i="419"/>
  <c r="D165" i="419"/>
  <c r="I164" i="419"/>
  <c r="H164" i="419"/>
  <c r="G164" i="419"/>
  <c r="F164" i="419"/>
  <c r="E164" i="419"/>
  <c r="D164" i="419"/>
  <c r="I163" i="419"/>
  <c r="H163" i="419"/>
  <c r="G163" i="419"/>
  <c r="F163" i="419"/>
  <c r="E163" i="419"/>
  <c r="D163" i="419"/>
  <c r="X63" i="419"/>
  <c r="M63" i="419"/>
  <c r="K63" i="419"/>
  <c r="I162" i="419"/>
  <c r="I63" i="419"/>
  <c r="H162" i="419"/>
  <c r="G162" i="419"/>
  <c r="G63" i="419"/>
  <c r="F162" i="419"/>
  <c r="F63" i="419" s="1"/>
  <c r="E162" i="419"/>
  <c r="E63" i="419" s="1"/>
  <c r="E65" i="419" s="1"/>
  <c r="D162" i="419"/>
  <c r="I161" i="419"/>
  <c r="H161" i="419"/>
  <c r="G161" i="419"/>
  <c r="F161" i="419"/>
  <c r="E161" i="419"/>
  <c r="D161" i="419"/>
  <c r="D160" i="419"/>
  <c r="I157" i="419"/>
  <c r="H157" i="419"/>
  <c r="G157" i="419"/>
  <c r="F157" i="419"/>
  <c r="E157" i="419"/>
  <c r="D157" i="419"/>
  <c r="I154" i="419"/>
  <c r="I153" i="419" s="1"/>
  <c r="H154" i="419"/>
  <c r="G154" i="419"/>
  <c r="G153" i="419"/>
  <c r="F154" i="419"/>
  <c r="F150" i="419"/>
  <c r="E154" i="419"/>
  <c r="E153" i="419"/>
  <c r="D154" i="419"/>
  <c r="D152" i="419"/>
  <c r="G152" i="419"/>
  <c r="D150" i="419"/>
  <c r="N147" i="419"/>
  <c r="M147" i="419"/>
  <c r="L147" i="419"/>
  <c r="K147" i="419"/>
  <c r="J147" i="419"/>
  <c r="I147" i="419"/>
  <c r="H147" i="419"/>
  <c r="G147" i="419"/>
  <c r="F147" i="419"/>
  <c r="E147" i="419"/>
  <c r="D147" i="419"/>
  <c r="N146" i="419"/>
  <c r="M146" i="419"/>
  <c r="L146" i="419"/>
  <c r="K146" i="419"/>
  <c r="J146" i="419"/>
  <c r="I146" i="419"/>
  <c r="H146" i="419"/>
  <c r="G146" i="419"/>
  <c r="F146" i="419"/>
  <c r="E146" i="419"/>
  <c r="D146" i="419"/>
  <c r="N145" i="419"/>
  <c r="M145" i="419"/>
  <c r="L145" i="419"/>
  <c r="K145" i="419"/>
  <c r="J145" i="419"/>
  <c r="I145" i="419"/>
  <c r="H145" i="419"/>
  <c r="G145" i="419"/>
  <c r="F145" i="419"/>
  <c r="E145" i="419"/>
  <c r="D145" i="419"/>
  <c r="N144" i="419"/>
  <c r="M144" i="419"/>
  <c r="L144" i="419"/>
  <c r="K144" i="419"/>
  <c r="J144" i="419"/>
  <c r="I144" i="419"/>
  <c r="H144" i="419"/>
  <c r="G144" i="419"/>
  <c r="F144" i="419"/>
  <c r="E144" i="419"/>
  <c r="D144" i="419"/>
  <c r="I141" i="419"/>
  <c r="H141" i="419"/>
  <c r="G141" i="419"/>
  <c r="F141" i="419"/>
  <c r="E141" i="419"/>
  <c r="D141" i="419"/>
  <c r="I138" i="419"/>
  <c r="H138" i="419"/>
  <c r="G138" i="419"/>
  <c r="F138" i="419"/>
  <c r="E138" i="419"/>
  <c r="D138" i="419"/>
  <c r="I137" i="419"/>
  <c r="H137" i="419"/>
  <c r="G137" i="419"/>
  <c r="F137" i="419"/>
  <c r="E137" i="419"/>
  <c r="D137" i="419"/>
  <c r="I134" i="419"/>
  <c r="H134" i="419"/>
  <c r="G134" i="419"/>
  <c r="F134" i="419"/>
  <c r="E134" i="419"/>
  <c r="D134" i="419"/>
  <c r="I132" i="419"/>
  <c r="H132" i="419"/>
  <c r="G132" i="419"/>
  <c r="F132" i="419"/>
  <c r="E132" i="419"/>
  <c r="D132" i="419"/>
  <c r="I131" i="419"/>
  <c r="H131" i="419"/>
  <c r="G131" i="419"/>
  <c r="F131" i="419"/>
  <c r="E131" i="419"/>
  <c r="D131" i="419"/>
  <c r="I130" i="419"/>
  <c r="H130" i="419"/>
  <c r="G130" i="419"/>
  <c r="F130" i="419"/>
  <c r="E130" i="419"/>
  <c r="D130" i="419"/>
  <c r="I129" i="419"/>
  <c r="H129" i="419"/>
  <c r="G129" i="419"/>
  <c r="G133" i="419" s="1"/>
  <c r="F129" i="419"/>
  <c r="E129" i="419"/>
  <c r="D129" i="419"/>
  <c r="I128" i="419"/>
  <c r="I133" i="419" s="1"/>
  <c r="H128" i="419"/>
  <c r="G128" i="419"/>
  <c r="F128" i="419"/>
  <c r="E128" i="419"/>
  <c r="D128" i="419"/>
  <c r="I127" i="419"/>
  <c r="H127" i="419"/>
  <c r="H133" i="419" s="1"/>
  <c r="G127" i="419"/>
  <c r="F127" i="419"/>
  <c r="E127" i="419"/>
  <c r="D127" i="419"/>
  <c r="D133" i="419"/>
  <c r="I124" i="419"/>
  <c r="H124" i="419"/>
  <c r="G124" i="419"/>
  <c r="F124" i="419"/>
  <c r="E124" i="419"/>
  <c r="D124" i="419"/>
  <c r="I123" i="419"/>
  <c r="H123" i="419"/>
  <c r="G123" i="419"/>
  <c r="F123" i="419"/>
  <c r="E123" i="419"/>
  <c r="D123" i="419"/>
  <c r="D122" i="419" s="1"/>
  <c r="N121" i="419"/>
  <c r="J121" i="419"/>
  <c r="F121" i="419"/>
  <c r="I118" i="419"/>
  <c r="H118" i="419"/>
  <c r="G118" i="419"/>
  <c r="F118" i="419"/>
  <c r="E118" i="419"/>
  <c r="D118" i="419"/>
  <c r="I117" i="419"/>
  <c r="H117" i="419"/>
  <c r="G117" i="419"/>
  <c r="F117" i="419"/>
  <c r="E117" i="419"/>
  <c r="D117" i="419"/>
  <c r="S115" i="419"/>
  <c r="R115" i="419"/>
  <c r="Q115" i="419"/>
  <c r="P115" i="419"/>
  <c r="O115" i="419"/>
  <c r="I115" i="419"/>
  <c r="I116" i="419" s="1"/>
  <c r="H115" i="419"/>
  <c r="G115" i="419"/>
  <c r="F115" i="419"/>
  <c r="E115" i="419"/>
  <c r="D115" i="419"/>
  <c r="N112" i="419"/>
  <c r="M112" i="419"/>
  <c r="L112" i="419"/>
  <c r="K112" i="419"/>
  <c r="J112" i="419"/>
  <c r="I112" i="419"/>
  <c r="H112" i="419"/>
  <c r="G112" i="419"/>
  <c r="F112" i="419"/>
  <c r="E112" i="419"/>
  <c r="D112" i="419"/>
  <c r="N111" i="419"/>
  <c r="M111" i="419"/>
  <c r="L111" i="419"/>
  <c r="K111" i="419"/>
  <c r="J111" i="419"/>
  <c r="I111" i="419"/>
  <c r="H111" i="419"/>
  <c r="G111" i="419"/>
  <c r="F111" i="419"/>
  <c r="E111" i="419"/>
  <c r="D111" i="419"/>
  <c r="I108" i="419"/>
  <c r="H108" i="419"/>
  <c r="G108" i="419"/>
  <c r="F108" i="419"/>
  <c r="E108" i="419"/>
  <c r="D108" i="419"/>
  <c r="I107" i="419"/>
  <c r="H107" i="419"/>
  <c r="G107" i="419"/>
  <c r="F107" i="419"/>
  <c r="E107" i="419"/>
  <c r="D107" i="419"/>
  <c r="M105" i="419"/>
  <c r="E105" i="419"/>
  <c r="I104" i="419"/>
  <c r="H104" i="419"/>
  <c r="G104" i="419"/>
  <c r="F104" i="419"/>
  <c r="E104" i="419"/>
  <c r="D104" i="419"/>
  <c r="I99" i="419"/>
  <c r="H99" i="419"/>
  <c r="G99" i="419"/>
  <c r="F99" i="419"/>
  <c r="E99" i="419"/>
  <c r="D99" i="419"/>
  <c r="I98" i="419"/>
  <c r="H98" i="419"/>
  <c r="G98" i="419"/>
  <c r="F98" i="419"/>
  <c r="E98" i="419"/>
  <c r="D98" i="419"/>
  <c r="N95" i="419"/>
  <c r="M95" i="419"/>
  <c r="L95" i="419"/>
  <c r="K95" i="419"/>
  <c r="J95" i="419"/>
  <c r="I95" i="419"/>
  <c r="H95" i="419"/>
  <c r="G95" i="419"/>
  <c r="F95" i="419"/>
  <c r="E95" i="419"/>
  <c r="D95" i="419"/>
  <c r="N94" i="419"/>
  <c r="O94" i="419"/>
  <c r="M94" i="419"/>
  <c r="L94" i="419"/>
  <c r="K94" i="419"/>
  <c r="J94" i="419"/>
  <c r="I94" i="419"/>
  <c r="H94" i="419"/>
  <c r="G94" i="419"/>
  <c r="F94" i="419"/>
  <c r="E94" i="419"/>
  <c r="D94" i="419"/>
  <c r="X91" i="419"/>
  <c r="W91" i="419"/>
  <c r="V91" i="419"/>
  <c r="U91" i="419"/>
  <c r="T91" i="419"/>
  <c r="S91" i="419"/>
  <c r="R91" i="419"/>
  <c r="Q91" i="419"/>
  <c r="P91" i="419"/>
  <c r="O91" i="419"/>
  <c r="N91" i="419"/>
  <c r="M91" i="419"/>
  <c r="L91" i="419"/>
  <c r="K91" i="419"/>
  <c r="J91" i="419"/>
  <c r="I91" i="419"/>
  <c r="H91" i="419"/>
  <c r="G91" i="419"/>
  <c r="F91" i="419"/>
  <c r="E91" i="419"/>
  <c r="D91" i="419"/>
  <c r="I90" i="419"/>
  <c r="H90" i="419"/>
  <c r="G90" i="419"/>
  <c r="F90" i="419"/>
  <c r="E90" i="419"/>
  <c r="D90" i="419"/>
  <c r="I89" i="419"/>
  <c r="H89" i="419"/>
  <c r="G89" i="419"/>
  <c r="F89" i="419"/>
  <c r="E89" i="419"/>
  <c r="D89" i="419"/>
  <c r="I88" i="419"/>
  <c r="H88" i="419"/>
  <c r="G88" i="419"/>
  <c r="F88" i="419"/>
  <c r="E88" i="419"/>
  <c r="D88" i="419"/>
  <c r="I87" i="419"/>
  <c r="H87" i="419"/>
  <c r="G87" i="419"/>
  <c r="F87" i="419"/>
  <c r="E87" i="419"/>
  <c r="D87" i="419"/>
  <c r="I86" i="419"/>
  <c r="H86" i="419"/>
  <c r="G86" i="419"/>
  <c r="F86" i="419"/>
  <c r="E86" i="419"/>
  <c r="D86" i="419"/>
  <c r="I84" i="419"/>
  <c r="H84" i="419"/>
  <c r="G84" i="419"/>
  <c r="G83" i="419" s="1"/>
  <c r="F84" i="419"/>
  <c r="E84" i="419"/>
  <c r="D84" i="419"/>
  <c r="I82" i="419"/>
  <c r="I83" i="419" s="1"/>
  <c r="H82" i="419"/>
  <c r="G82" i="419"/>
  <c r="F82" i="419"/>
  <c r="E82" i="419"/>
  <c r="E83" i="419" s="1"/>
  <c r="D82" i="419"/>
  <c r="D83" i="419"/>
  <c r="I79" i="419"/>
  <c r="H79" i="419"/>
  <c r="G79" i="419"/>
  <c r="F79" i="419"/>
  <c r="E79" i="419"/>
  <c r="D79" i="419"/>
  <c r="J78" i="419"/>
  <c r="J80" i="419"/>
  <c r="I78" i="419"/>
  <c r="H78" i="419"/>
  <c r="G78" i="419"/>
  <c r="F78" i="419"/>
  <c r="E78" i="419"/>
  <c r="D78" i="419"/>
  <c r="I77" i="419"/>
  <c r="H77" i="419"/>
  <c r="G77" i="419"/>
  <c r="F77" i="419"/>
  <c r="E77" i="419"/>
  <c r="D77" i="419"/>
  <c r="I76" i="419"/>
  <c r="H76" i="419"/>
  <c r="G76" i="419"/>
  <c r="F76" i="419"/>
  <c r="E76" i="419"/>
  <c r="D76" i="419"/>
  <c r="I75" i="419"/>
  <c r="H75" i="419"/>
  <c r="G75" i="419"/>
  <c r="F75" i="419"/>
  <c r="E75" i="419"/>
  <c r="D75" i="419"/>
  <c r="I74" i="419"/>
  <c r="H74" i="419"/>
  <c r="G74" i="419"/>
  <c r="F74" i="419"/>
  <c r="E74" i="419"/>
  <c r="D74" i="419"/>
  <c r="I73" i="419"/>
  <c r="H73" i="419"/>
  <c r="G73" i="419"/>
  <c r="F73" i="419"/>
  <c r="E73" i="419"/>
  <c r="D73" i="419"/>
  <c r="I72" i="419"/>
  <c r="H72" i="419"/>
  <c r="G72" i="419"/>
  <c r="F72" i="419"/>
  <c r="E72" i="419"/>
  <c r="D72" i="419"/>
  <c r="I71" i="419"/>
  <c r="H71" i="419"/>
  <c r="G71" i="419"/>
  <c r="F71" i="419"/>
  <c r="E71" i="419"/>
  <c r="D71" i="419"/>
  <c r="I67" i="419"/>
  <c r="H67" i="419"/>
  <c r="G67" i="419"/>
  <c r="F67" i="419"/>
  <c r="E67" i="419"/>
  <c r="D67" i="419"/>
  <c r="I66" i="419"/>
  <c r="H66" i="419"/>
  <c r="G66" i="419"/>
  <c r="F66" i="419"/>
  <c r="E66" i="419"/>
  <c r="D66" i="419"/>
  <c r="K64" i="419"/>
  <c r="G64" i="419"/>
  <c r="E64" i="419"/>
  <c r="W63" i="419"/>
  <c r="O63" i="419"/>
  <c r="N63" i="419"/>
  <c r="L63" i="419"/>
  <c r="J63" i="419"/>
  <c r="H63" i="419"/>
  <c r="D63" i="419"/>
  <c r="I60" i="419"/>
  <c r="H60" i="419"/>
  <c r="G60" i="419"/>
  <c r="F60" i="419"/>
  <c r="E60" i="419"/>
  <c r="D60" i="419"/>
  <c r="L57" i="419"/>
  <c r="L58" i="419"/>
  <c r="H57" i="419"/>
  <c r="F57" i="419"/>
  <c r="N17" i="419"/>
  <c r="M17" i="419"/>
  <c r="L17" i="419"/>
  <c r="K17" i="419"/>
  <c r="J17" i="419"/>
  <c r="I54" i="419"/>
  <c r="I17" i="419" s="1"/>
  <c r="H54" i="419"/>
  <c r="H17" i="419"/>
  <c r="G54" i="419"/>
  <c r="G17" i="419" s="1"/>
  <c r="F54" i="419"/>
  <c r="F17" i="419"/>
  <c r="E54" i="419"/>
  <c r="E17" i="419" s="1"/>
  <c r="E18" i="419" s="1"/>
  <c r="D54" i="419"/>
  <c r="D17" i="419"/>
  <c r="I51" i="419"/>
  <c r="I50" i="419"/>
  <c r="I49" i="419"/>
  <c r="H49" i="419"/>
  <c r="G49" i="419"/>
  <c r="F49" i="419"/>
  <c r="E49" i="419"/>
  <c r="D49" i="419"/>
  <c r="I48" i="419"/>
  <c r="H48" i="419"/>
  <c r="G48" i="419"/>
  <c r="F48" i="419"/>
  <c r="E48" i="419"/>
  <c r="D48" i="419"/>
  <c r="N34" i="419"/>
  <c r="L34" i="419"/>
  <c r="J34" i="419"/>
  <c r="K29" i="419"/>
  <c r="G29" i="419"/>
  <c r="O23" i="419"/>
  <c r="P23" i="419"/>
  <c r="Q23" i="419"/>
  <c r="R23" i="419" s="1"/>
  <c r="S23" i="419" s="1"/>
  <c r="T23" i="419" s="1"/>
  <c r="U23" i="419" s="1"/>
  <c r="V23" i="419" s="1"/>
  <c r="W23" i="419" s="1"/>
  <c r="X23" i="419" s="1"/>
  <c r="I23" i="419"/>
  <c r="H23" i="419"/>
  <c r="G23" i="419"/>
  <c r="I14" i="419"/>
  <c r="H14" i="419"/>
  <c r="G14" i="419"/>
  <c r="F14" i="419"/>
  <c r="E14" i="419"/>
  <c r="D14" i="419"/>
  <c r="N12" i="419"/>
  <c r="M12" i="419"/>
  <c r="L12" i="419"/>
  <c r="K12" i="419"/>
  <c r="J12" i="419"/>
  <c r="I12" i="419"/>
  <c r="H12" i="419"/>
  <c r="G12" i="419"/>
  <c r="F12" i="419"/>
  <c r="E12" i="419"/>
  <c r="D12" i="419"/>
  <c r="X4" i="419"/>
  <c r="W4" i="419"/>
  <c r="V4" i="419"/>
  <c r="U4" i="419"/>
  <c r="T4" i="419"/>
  <c r="S4" i="419"/>
  <c r="R4" i="419"/>
  <c r="Q4" i="419"/>
  <c r="Q248" i="419" s="1"/>
  <c r="P4" i="419"/>
  <c r="O4" i="419"/>
  <c r="N4" i="419"/>
  <c r="M4" i="419"/>
  <c r="L4" i="419"/>
  <c r="K4" i="419"/>
  <c r="J4" i="419"/>
  <c r="I4" i="419"/>
  <c r="H4" i="419"/>
  <c r="G4" i="419"/>
  <c r="F4" i="419"/>
  <c r="E4" i="419"/>
  <c r="D4" i="419"/>
  <c r="C1" i="419"/>
  <c r="V110" i="418"/>
  <c r="V109" i="418"/>
  <c r="U109" i="418"/>
  <c r="U108" i="418"/>
  <c r="V108" i="418"/>
  <c r="T108" i="418"/>
  <c r="T107" i="418"/>
  <c r="U107" i="418"/>
  <c r="V107" i="418"/>
  <c r="S107" i="418"/>
  <c r="F152" i="419"/>
  <c r="D244" i="419"/>
  <c r="H244" i="419"/>
  <c r="F133" i="419"/>
  <c r="I151" i="419"/>
  <c r="I152" i="419"/>
  <c r="F191" i="419"/>
  <c r="J268" i="420"/>
  <c r="F11" i="420"/>
  <c r="F10" i="420" s="1"/>
  <c r="L134" i="419"/>
  <c r="N134" i="419"/>
  <c r="K132" i="419"/>
  <c r="M132" i="419"/>
  <c r="J132" i="419"/>
  <c r="L123" i="419"/>
  <c r="N123" i="419"/>
  <c r="N122" i="419"/>
  <c r="L124" i="419"/>
  <c r="N124" i="419"/>
  <c r="J123" i="419"/>
  <c r="J122" i="419"/>
  <c r="K134" i="419"/>
  <c r="M134" i="419"/>
  <c r="J134" i="419"/>
  <c r="L132" i="419"/>
  <c r="N132" i="419"/>
  <c r="O132" i="419" s="1"/>
  <c r="P132" i="419" s="1"/>
  <c r="Q132" i="419" s="1"/>
  <c r="R132" i="419" s="1"/>
  <c r="S132" i="419" s="1"/>
  <c r="T132" i="419" s="1"/>
  <c r="U132" i="419" s="1"/>
  <c r="V132" i="419" s="1"/>
  <c r="W132" i="419" s="1"/>
  <c r="X132" i="419" s="1"/>
  <c r="K123" i="419"/>
  <c r="K122" i="419" s="1"/>
  <c r="M123" i="419"/>
  <c r="M122" i="419" s="1"/>
  <c r="K124" i="419"/>
  <c r="M124" i="419"/>
  <c r="J124" i="419"/>
  <c r="D203" i="420"/>
  <c r="D38" i="420"/>
  <c r="J258" i="420"/>
  <c r="O122" i="420"/>
  <c r="P122" i="420"/>
  <c r="Q122" i="420" s="1"/>
  <c r="R122" i="420" s="1"/>
  <c r="S122" i="420"/>
  <c r="T122" i="420" s="1"/>
  <c r="U122" i="420" s="1"/>
  <c r="V122" i="420" s="1"/>
  <c r="W122" i="420" s="1"/>
  <c r="X122" i="420" s="1"/>
  <c r="O128" i="420"/>
  <c r="P128" i="420" s="1"/>
  <c r="Q128" i="420"/>
  <c r="R128" i="420" s="1"/>
  <c r="S128" i="420" s="1"/>
  <c r="T128" i="420" s="1"/>
  <c r="U128" i="420" s="1"/>
  <c r="V128" i="420" s="1"/>
  <c r="W128" i="420" s="1"/>
  <c r="X128" i="420" s="1"/>
  <c r="O130" i="420"/>
  <c r="P130" i="420"/>
  <c r="Q130" i="420" s="1"/>
  <c r="R130" i="420" s="1"/>
  <c r="S130" i="420" s="1"/>
  <c r="T130" i="420" s="1"/>
  <c r="U130" i="420" s="1"/>
  <c r="V130" i="420" s="1"/>
  <c r="W130" i="420" s="1"/>
  <c r="X130" i="420" s="1"/>
  <c r="J253" i="420"/>
  <c r="J263" i="420"/>
  <c r="D11" i="420"/>
  <c r="D10" i="420" s="1"/>
  <c r="D20" i="420"/>
  <c r="D19" i="420"/>
  <c r="D21" i="420" s="1"/>
  <c r="Q63" i="419"/>
  <c r="U63" i="419"/>
  <c r="E150" i="419"/>
  <c r="G150" i="419"/>
  <c r="I150" i="419"/>
  <c r="E116" i="419"/>
  <c r="F122" i="419"/>
  <c r="I105" i="419"/>
  <c r="F234" i="419"/>
  <c r="L192" i="419"/>
  <c r="N192" i="419"/>
  <c r="K190" i="419"/>
  <c r="M190" i="419"/>
  <c r="J190" i="419"/>
  <c r="L127" i="419"/>
  <c r="N127" i="419"/>
  <c r="L128" i="419"/>
  <c r="N128" i="419"/>
  <c r="L129" i="419"/>
  <c r="N129" i="419"/>
  <c r="O129" i="419" s="1"/>
  <c r="P129" i="419" s="1"/>
  <c r="Q129" i="419"/>
  <c r="R129" i="419" s="1"/>
  <c r="S129" i="419" s="1"/>
  <c r="T129" i="419" s="1"/>
  <c r="U129" i="419" s="1"/>
  <c r="V129" i="419" s="1"/>
  <c r="W129" i="419" s="1"/>
  <c r="X129" i="419" s="1"/>
  <c r="L130" i="419"/>
  <c r="N130" i="419"/>
  <c r="O130" i="419" s="1"/>
  <c r="P130" i="419" s="1"/>
  <c r="Q130" i="419" s="1"/>
  <c r="R130" i="419" s="1"/>
  <c r="S130" i="419" s="1"/>
  <c r="T130" i="419" s="1"/>
  <c r="U130" i="419" s="1"/>
  <c r="V130" i="419" s="1"/>
  <c r="W130" i="419" s="1"/>
  <c r="X130" i="419" s="1"/>
  <c r="L131" i="419"/>
  <c r="N131" i="419"/>
  <c r="O131" i="419" s="1"/>
  <c r="P131" i="419" s="1"/>
  <c r="Q131" i="419"/>
  <c r="R131" i="419"/>
  <c r="S131" i="419" s="1"/>
  <c r="T131" i="419" s="1"/>
  <c r="U131" i="419" s="1"/>
  <c r="V131" i="419" s="1"/>
  <c r="W131" i="419" s="1"/>
  <c r="X131" i="419" s="1"/>
  <c r="J131" i="419"/>
  <c r="J129" i="419"/>
  <c r="J127" i="419"/>
  <c r="L117" i="419"/>
  <c r="L116" i="419"/>
  <c r="N117" i="419"/>
  <c r="L118" i="419"/>
  <c r="N118" i="419"/>
  <c r="J117" i="419"/>
  <c r="J116" i="419" s="1"/>
  <c r="K98" i="419"/>
  <c r="M98" i="419"/>
  <c r="K99" i="419"/>
  <c r="M99" i="419"/>
  <c r="J99" i="419"/>
  <c r="K84" i="419"/>
  <c r="M84" i="419"/>
  <c r="J84" i="419"/>
  <c r="L82" i="419"/>
  <c r="N82" i="419"/>
  <c r="N81" i="419" s="1"/>
  <c r="O81" i="419" s="1"/>
  <c r="P81" i="419" s="1"/>
  <c r="Q81" i="419" s="1"/>
  <c r="R81" i="419" s="1"/>
  <c r="S81" i="419" s="1"/>
  <c r="T81" i="419" s="1"/>
  <c r="U81" i="419" s="1"/>
  <c r="V81" i="419" s="1"/>
  <c r="W81" i="419" s="1"/>
  <c r="X81" i="419" s="1"/>
  <c r="J107" i="419"/>
  <c r="L107" i="419"/>
  <c r="N107" i="419"/>
  <c r="M108" i="419"/>
  <c r="K108" i="419"/>
  <c r="K192" i="419"/>
  <c r="M192" i="419"/>
  <c r="J192" i="419"/>
  <c r="J191" i="419" s="1"/>
  <c r="L190" i="419"/>
  <c r="L191" i="419" s="1"/>
  <c r="N190" i="419"/>
  <c r="K127" i="419"/>
  <c r="M127" i="419"/>
  <c r="K128" i="419"/>
  <c r="M128" i="419"/>
  <c r="K129" i="419"/>
  <c r="M129" i="419"/>
  <c r="K130" i="419"/>
  <c r="M130" i="419"/>
  <c r="K131" i="419"/>
  <c r="M131" i="419"/>
  <c r="J130" i="419"/>
  <c r="J128" i="419"/>
  <c r="K117" i="419"/>
  <c r="K116" i="419"/>
  <c r="M117" i="419"/>
  <c r="M116" i="419" s="1"/>
  <c r="K118" i="419"/>
  <c r="M118" i="419"/>
  <c r="J118" i="419"/>
  <c r="L98" i="419"/>
  <c r="N98" i="419"/>
  <c r="L99" i="419"/>
  <c r="N99" i="419"/>
  <c r="J98" i="419"/>
  <c r="L84" i="419"/>
  <c r="N84" i="419"/>
  <c r="K82" i="419"/>
  <c r="K260" i="419" s="1"/>
  <c r="M82" i="419"/>
  <c r="M260" i="419" s="1"/>
  <c r="J82" i="419"/>
  <c r="J108" i="419"/>
  <c r="M107" i="419"/>
  <c r="M106" i="419" s="1"/>
  <c r="L108" i="419"/>
  <c r="N108" i="419"/>
  <c r="K107" i="419"/>
  <c r="E152" i="419"/>
  <c r="P63" i="419"/>
  <c r="R63" i="419"/>
  <c r="T63" i="419"/>
  <c r="V63" i="419"/>
  <c r="D116" i="419"/>
  <c r="H116" i="419"/>
  <c r="E151" i="419"/>
  <c r="E215" i="419"/>
  <c r="D29" i="419"/>
  <c r="H29" i="419"/>
  <c r="M253" i="420"/>
  <c r="M273" i="420"/>
  <c r="N273" i="420"/>
  <c r="M263" i="420"/>
  <c r="L245" i="420"/>
  <c r="M258" i="420"/>
  <c r="L263" i="420"/>
  <c r="N253" i="420"/>
  <c r="N263" i="420"/>
  <c r="O236" i="420"/>
  <c r="N258" i="420"/>
  <c r="G218" i="420"/>
  <c r="G219" i="420"/>
  <c r="G30" i="420" s="1"/>
  <c r="G35" i="420"/>
  <c r="I218" i="420"/>
  <c r="I219" i="420"/>
  <c r="I30" i="420"/>
  <c r="I35" i="420"/>
  <c r="F22" i="420"/>
  <c r="P237" i="420"/>
  <c r="Q237" i="420"/>
  <c r="R237" i="420"/>
  <c r="S237" i="420" s="1"/>
  <c r="T237" i="420" s="1"/>
  <c r="U237" i="420"/>
  <c r="V237" i="420" s="1"/>
  <c r="W237" i="420" s="1"/>
  <c r="X237" i="420" s="1"/>
  <c r="O138" i="420"/>
  <c r="O137" i="420"/>
  <c r="L218" i="420"/>
  <c r="L219" i="420"/>
  <c r="L30" i="420"/>
  <c r="L35" i="420"/>
  <c r="H218" i="420"/>
  <c r="H219" i="420"/>
  <c r="H30" i="420"/>
  <c r="H35" i="420"/>
  <c r="M106" i="420"/>
  <c r="L270" i="420"/>
  <c r="O127" i="420"/>
  <c r="P127" i="420" s="1"/>
  <c r="Q127" i="420" s="1"/>
  <c r="N191" i="420"/>
  <c r="I245" i="420"/>
  <c r="P95" i="420"/>
  <c r="Q95" i="420"/>
  <c r="R95" i="420"/>
  <c r="S95" i="420" s="1"/>
  <c r="T95" i="420" s="1"/>
  <c r="U95" i="420" s="1"/>
  <c r="V95" i="420" s="1"/>
  <c r="W95" i="420" s="1"/>
  <c r="X95" i="420" s="1"/>
  <c r="R215" i="420"/>
  <c r="S215" i="420" s="1"/>
  <c r="P206" i="420"/>
  <c r="J35" i="420"/>
  <c r="F180" i="420"/>
  <c r="F187" i="420" s="1"/>
  <c r="F175" i="420" s="1"/>
  <c r="F173" i="420" s="1"/>
  <c r="E175" i="420"/>
  <c r="E173" i="420"/>
  <c r="E176" i="420"/>
  <c r="L265" i="420"/>
  <c r="K270" i="420"/>
  <c r="K106" i="420"/>
  <c r="J270" i="420"/>
  <c r="M191" i="420"/>
  <c r="G245" i="420"/>
  <c r="N29" i="419"/>
  <c r="G65" i="419"/>
  <c r="I65" i="419"/>
  <c r="G105" i="419"/>
  <c r="G106" i="419" s="1"/>
  <c r="K105" i="419"/>
  <c r="H122" i="419"/>
  <c r="K65" i="419"/>
  <c r="I215" i="419"/>
  <c r="G34" i="419"/>
  <c r="K34" i="419"/>
  <c r="N64" i="419"/>
  <c r="N65" i="419"/>
  <c r="E68" i="419"/>
  <c r="G68" i="419"/>
  <c r="I68" i="419"/>
  <c r="K68" i="419"/>
  <c r="M68" i="419"/>
  <c r="G151" i="419"/>
  <c r="E194" i="419"/>
  <c r="I194" i="419"/>
  <c r="G201" i="419"/>
  <c r="K201" i="419"/>
  <c r="F213" i="419"/>
  <c r="F216" i="419" s="1"/>
  <c r="F218" i="419" s="1"/>
  <c r="H213" i="419"/>
  <c r="J213" i="419"/>
  <c r="J214" i="419"/>
  <c r="J216" i="419"/>
  <c r="J35" i="419" s="1"/>
  <c r="J218" i="419"/>
  <c r="J219" i="419" s="1"/>
  <c r="J30" i="419" s="1"/>
  <c r="N213" i="419"/>
  <c r="N214" i="419"/>
  <c r="E224" i="419"/>
  <c r="G224" i="419"/>
  <c r="I224" i="419"/>
  <c r="K224" i="419"/>
  <c r="M224" i="419"/>
  <c r="D227" i="419"/>
  <c r="D37" i="419" s="1"/>
  <c r="F227" i="419"/>
  <c r="F37" i="419"/>
  <c r="H227" i="419"/>
  <c r="H37" i="419" s="1"/>
  <c r="J227" i="419"/>
  <c r="J37" i="419"/>
  <c r="L227" i="419"/>
  <c r="L37" i="419" s="1"/>
  <c r="N227" i="419"/>
  <c r="N37" i="419"/>
  <c r="E232" i="419"/>
  <c r="G232" i="419"/>
  <c r="I232" i="419"/>
  <c r="E236" i="419"/>
  <c r="G236" i="419"/>
  <c r="I236" i="419"/>
  <c r="E239" i="419"/>
  <c r="E272" i="419"/>
  <c r="G239" i="419"/>
  <c r="G272" i="419" s="1"/>
  <c r="I239" i="419"/>
  <c r="I272" i="419"/>
  <c r="F140" i="419"/>
  <c r="D156" i="419"/>
  <c r="F156" i="419"/>
  <c r="H156" i="419"/>
  <c r="J156" i="419"/>
  <c r="F194" i="419"/>
  <c r="D167" i="419"/>
  <c r="E160" i="419"/>
  <c r="E167" i="419"/>
  <c r="F160" i="419"/>
  <c r="F167" i="419" s="1"/>
  <c r="G160" i="419" s="1"/>
  <c r="G167" i="419" s="1"/>
  <c r="H160" i="419" s="1"/>
  <c r="H167" i="419" s="1"/>
  <c r="I160" i="419" s="1"/>
  <c r="I167" i="419" s="1"/>
  <c r="J160" i="419" s="1"/>
  <c r="D105" i="419"/>
  <c r="F106" i="419"/>
  <c r="H105" i="419"/>
  <c r="L105" i="419"/>
  <c r="N105" i="419"/>
  <c r="N106" i="419" s="1"/>
  <c r="O106" i="419" s="1"/>
  <c r="P106" i="419" s="1"/>
  <c r="Q106" i="419" s="1"/>
  <c r="R106" i="419" s="1"/>
  <c r="S106" i="419" s="1"/>
  <c r="T106" i="419" s="1"/>
  <c r="U106" i="419" s="1"/>
  <c r="V106" i="419" s="1"/>
  <c r="W106" i="419" s="1"/>
  <c r="X106" i="419" s="1"/>
  <c r="D194" i="419"/>
  <c r="D28" i="419"/>
  <c r="G140" i="419"/>
  <c r="E122" i="419"/>
  <c r="G122" i="419"/>
  <c r="I122" i="419"/>
  <c r="I52" i="419"/>
  <c r="I53" i="419" s="1"/>
  <c r="K52" i="419"/>
  <c r="K53" i="419" s="1"/>
  <c r="M52" i="419"/>
  <c r="M53" i="419"/>
  <c r="D65" i="419"/>
  <c r="F65" i="419"/>
  <c r="J65" i="419"/>
  <c r="L65" i="419"/>
  <c r="D68" i="419"/>
  <c r="F68" i="419"/>
  <c r="H68" i="419"/>
  <c r="J68" i="419"/>
  <c r="J9" i="419" s="1"/>
  <c r="L68" i="419"/>
  <c r="N68" i="419"/>
  <c r="E106" i="419"/>
  <c r="I106" i="419"/>
  <c r="D151" i="419"/>
  <c r="F151" i="419"/>
  <c r="D153" i="419"/>
  <c r="F153" i="419"/>
  <c r="E155" i="419"/>
  <c r="G155" i="419"/>
  <c r="I155" i="419"/>
  <c r="K155" i="419"/>
  <c r="M155" i="419"/>
  <c r="D187" i="419"/>
  <c r="D201" i="419"/>
  <c r="H201" i="419"/>
  <c r="J201" i="419"/>
  <c r="L201" i="419"/>
  <c r="E213" i="419"/>
  <c r="G213" i="419"/>
  <c r="I213" i="419"/>
  <c r="I214" i="419"/>
  <c r="I216" i="419"/>
  <c r="I219" i="419" s="1"/>
  <c r="I30" i="419" s="1"/>
  <c r="K213" i="419"/>
  <c r="M213" i="419"/>
  <c r="D215" i="419"/>
  <c r="D216" i="419" s="1"/>
  <c r="D219" i="419" s="1"/>
  <c r="D30" i="419" s="1"/>
  <c r="D31" i="419" s="1"/>
  <c r="F215" i="419"/>
  <c r="H215" i="419"/>
  <c r="D224" i="419"/>
  <c r="F224" i="419"/>
  <c r="H224" i="419"/>
  <c r="J224" i="419"/>
  <c r="L224" i="419"/>
  <c r="N224" i="419"/>
  <c r="E227" i="419"/>
  <c r="E37" i="419"/>
  <c r="G227" i="419"/>
  <c r="G37" i="419"/>
  <c r="I227" i="419"/>
  <c r="I37" i="419"/>
  <c r="K227" i="419"/>
  <c r="K37" i="419"/>
  <c r="M227" i="419"/>
  <c r="M37" i="419"/>
  <c r="F232" i="419"/>
  <c r="H232" i="419"/>
  <c r="J232" i="419"/>
  <c r="E234" i="419"/>
  <c r="G234" i="419"/>
  <c r="I234" i="419"/>
  <c r="F236" i="419"/>
  <c r="H236" i="419"/>
  <c r="H273" i="419" s="1"/>
  <c r="H263" i="419"/>
  <c r="J236" i="419"/>
  <c r="J273" i="419"/>
  <c r="F239" i="419"/>
  <c r="F272" i="419"/>
  <c r="H239" i="419"/>
  <c r="H272" i="419"/>
  <c r="J239" i="419"/>
  <c r="J272" i="419"/>
  <c r="E241" i="419"/>
  <c r="G241" i="419"/>
  <c r="I241" i="419"/>
  <c r="J52" i="419"/>
  <c r="L52" i="419"/>
  <c r="N52" i="419"/>
  <c r="K232" i="419"/>
  <c r="M232" i="419"/>
  <c r="L234" i="419"/>
  <c r="N234" i="419"/>
  <c r="K236" i="419"/>
  <c r="K268" i="419"/>
  <c r="M236" i="419"/>
  <c r="M258" i="419" s="1"/>
  <c r="M273" i="419"/>
  <c r="K239" i="419"/>
  <c r="K272" i="419"/>
  <c r="M239" i="419"/>
  <c r="M272" i="419"/>
  <c r="J244" i="419"/>
  <c r="L244" i="419"/>
  <c r="N244" i="419"/>
  <c r="L232" i="419"/>
  <c r="N232" i="419"/>
  <c r="K234" i="419"/>
  <c r="M234" i="419"/>
  <c r="L236" i="419"/>
  <c r="N236" i="419"/>
  <c r="N268" i="419"/>
  <c r="L239" i="419"/>
  <c r="L272" i="419" s="1"/>
  <c r="N239" i="419"/>
  <c r="N272" i="419"/>
  <c r="K241" i="419"/>
  <c r="M241" i="419"/>
  <c r="W248" i="419"/>
  <c r="U248" i="419"/>
  <c r="S248" i="419"/>
  <c r="O246" i="419"/>
  <c r="P246" i="419"/>
  <c r="Q246" i="419" s="1"/>
  <c r="R246" i="419" s="1"/>
  <c r="S246" i="419" s="1"/>
  <c r="T246" i="419" s="1"/>
  <c r="U246" i="419" s="1"/>
  <c r="V246" i="419" s="1"/>
  <c r="W246" i="419" s="1"/>
  <c r="X246" i="419" s="1"/>
  <c r="O243" i="419"/>
  <c r="P243" i="419" s="1"/>
  <c r="Q243" i="419" s="1"/>
  <c r="R243" i="419" s="1"/>
  <c r="S243" i="419" s="1"/>
  <c r="T243" i="419" s="1"/>
  <c r="U243" i="419" s="1"/>
  <c r="V243" i="419" s="1"/>
  <c r="W243" i="419" s="1"/>
  <c r="X243" i="419" s="1"/>
  <c r="O237" i="419"/>
  <c r="V248" i="419"/>
  <c r="R248" i="419"/>
  <c r="N194" i="419"/>
  <c r="L194" i="419"/>
  <c r="J194" i="419"/>
  <c r="N140" i="419"/>
  <c r="L140" i="419"/>
  <c r="J140" i="419"/>
  <c r="M194" i="419"/>
  <c r="K194" i="419"/>
  <c r="M140" i="419"/>
  <c r="K140" i="419"/>
  <c r="O95" i="419"/>
  <c r="P95" i="419" s="1"/>
  <c r="Q95" i="419" s="1"/>
  <c r="P94" i="419"/>
  <c r="Q94" i="419" s="1"/>
  <c r="R94" i="419" s="1"/>
  <c r="S94" i="419" s="1"/>
  <c r="T94" i="419"/>
  <c r="U94" i="419" s="1"/>
  <c r="V94" i="419" s="1"/>
  <c r="W94" i="419" s="1"/>
  <c r="X94" i="419"/>
  <c r="E255" i="419"/>
  <c r="G255" i="419"/>
  <c r="I255" i="419"/>
  <c r="K255" i="419"/>
  <c r="M255" i="419"/>
  <c r="F260" i="419"/>
  <c r="H260" i="419"/>
  <c r="E265" i="419"/>
  <c r="G265" i="419"/>
  <c r="I265" i="419"/>
  <c r="F270" i="419"/>
  <c r="H270" i="419"/>
  <c r="D58" i="419"/>
  <c r="D59" i="419" s="1"/>
  <c r="D18" i="419" s="1"/>
  <c r="F58" i="419"/>
  <c r="F59" i="419"/>
  <c r="F18" i="419" s="1"/>
  <c r="H58" i="419"/>
  <c r="H59" i="419"/>
  <c r="H18" i="419"/>
  <c r="J59" i="419"/>
  <c r="J18" i="419"/>
  <c r="L59" i="419"/>
  <c r="L18" i="419"/>
  <c r="K59" i="419"/>
  <c r="K18" i="419"/>
  <c r="M59" i="419"/>
  <c r="M18" i="419"/>
  <c r="O169" i="419"/>
  <c r="P169" i="419"/>
  <c r="Q169" i="419"/>
  <c r="R169" i="419"/>
  <c r="S169" i="419" s="1"/>
  <c r="T169" i="419" s="1"/>
  <c r="U169" i="419" s="1"/>
  <c r="V169" i="419" s="1"/>
  <c r="W169" i="419" s="1"/>
  <c r="X169" i="419" s="1"/>
  <c r="E214" i="419"/>
  <c r="E216" i="419"/>
  <c r="F255" i="419"/>
  <c r="H255" i="419"/>
  <c r="J255" i="419"/>
  <c r="L255" i="419"/>
  <c r="N255" i="419"/>
  <c r="E260" i="419"/>
  <c r="G260" i="419"/>
  <c r="I260" i="419"/>
  <c r="F265" i="419"/>
  <c r="H265" i="419"/>
  <c r="G270" i="419"/>
  <c r="F83" i="419"/>
  <c r="H83" i="419"/>
  <c r="F214" i="419"/>
  <c r="F273" i="419"/>
  <c r="F268" i="419"/>
  <c r="F263" i="419"/>
  <c r="F258" i="419"/>
  <c r="F253" i="419"/>
  <c r="H258" i="419"/>
  <c r="D155" i="419"/>
  <c r="F155" i="419"/>
  <c r="H155" i="419"/>
  <c r="J155" i="419"/>
  <c r="E156" i="419"/>
  <c r="G156" i="419"/>
  <c r="I156" i="419"/>
  <c r="K156" i="419"/>
  <c r="M156" i="419"/>
  <c r="O206" i="419"/>
  <c r="E273" i="419"/>
  <c r="E268" i="419"/>
  <c r="E263" i="419"/>
  <c r="E258" i="419"/>
  <c r="E253" i="419"/>
  <c r="G268" i="419"/>
  <c r="G258" i="419"/>
  <c r="G253" i="419"/>
  <c r="I273" i="419"/>
  <c r="I268" i="419"/>
  <c r="I263" i="419"/>
  <c r="I258" i="419"/>
  <c r="I253" i="419"/>
  <c r="F241" i="419"/>
  <c r="H241" i="419"/>
  <c r="J241" i="419"/>
  <c r="L241" i="419"/>
  <c r="N241" i="419"/>
  <c r="E242" i="419"/>
  <c r="G242" i="419"/>
  <c r="I242" i="419"/>
  <c r="K242" i="419"/>
  <c r="M242" i="419"/>
  <c r="E244" i="419"/>
  <c r="E245" i="419" s="1"/>
  <c r="G244" i="419"/>
  <c r="G245" i="419"/>
  <c r="I244" i="419"/>
  <c r="J245" i="419" s="1"/>
  <c r="K244" i="419"/>
  <c r="M244" i="419"/>
  <c r="P215" i="419"/>
  <c r="D242" i="419"/>
  <c r="F242" i="419"/>
  <c r="H242" i="419"/>
  <c r="J242" i="419"/>
  <c r="L242" i="419"/>
  <c r="N242" i="419"/>
  <c r="H253" i="419"/>
  <c r="H268" i="419"/>
  <c r="L106" i="419"/>
  <c r="O122" i="419"/>
  <c r="K106" i="419"/>
  <c r="O147" i="420"/>
  <c r="J83" i="419"/>
  <c r="J268" i="419"/>
  <c r="O146" i="420"/>
  <c r="K263" i="419"/>
  <c r="O268" i="420"/>
  <c r="P236" i="420"/>
  <c r="P268" i="420" s="1"/>
  <c r="O273" i="420"/>
  <c r="O185" i="420"/>
  <c r="O105" i="420" s="1"/>
  <c r="O200" i="420"/>
  <c r="P200" i="420" s="1"/>
  <c r="G180" i="420"/>
  <c r="G187" i="420"/>
  <c r="F176" i="420"/>
  <c r="Q206" i="420"/>
  <c r="M8" i="419"/>
  <c r="E203" i="420"/>
  <c r="E38" i="420" s="1"/>
  <c r="L273" i="419"/>
  <c r="M245" i="419"/>
  <c r="L253" i="419"/>
  <c r="J258" i="419"/>
  <c r="N263" i="419"/>
  <c r="N253" i="419"/>
  <c r="N273" i="419"/>
  <c r="K245" i="419"/>
  <c r="K253" i="419"/>
  <c r="K273" i="419"/>
  <c r="O236" i="419"/>
  <c r="O144" i="419" s="1"/>
  <c r="N258" i="419"/>
  <c r="M253" i="419"/>
  <c r="M263" i="419"/>
  <c r="L263" i="419"/>
  <c r="J253" i="419"/>
  <c r="J263" i="419"/>
  <c r="I8" i="419"/>
  <c r="I9" i="419"/>
  <c r="R95" i="419"/>
  <c r="S95" i="419" s="1"/>
  <c r="T95" i="419" s="1"/>
  <c r="U95" i="419" s="1"/>
  <c r="V95" i="419" s="1"/>
  <c r="W95" i="419"/>
  <c r="X95" i="419" s="1"/>
  <c r="L53" i="419"/>
  <c r="L8" i="419"/>
  <c r="L9" i="419"/>
  <c r="J53" i="419"/>
  <c r="J8" i="419"/>
  <c r="K258" i="419"/>
  <c r="Q215" i="419"/>
  <c r="R215" i="419" s="1"/>
  <c r="I218" i="419"/>
  <c r="I35" i="419"/>
  <c r="F219" i="419"/>
  <c r="F30" i="419" s="1"/>
  <c r="F35" i="419"/>
  <c r="L81" i="419"/>
  <c r="N83" i="419"/>
  <c r="L270" i="419"/>
  <c r="M81" i="419"/>
  <c r="N265" i="419"/>
  <c r="O98" i="419"/>
  <c r="N191" i="419"/>
  <c r="O127" i="419"/>
  <c r="P127" i="419" s="1"/>
  <c r="Q127" i="419" s="1"/>
  <c r="R127" i="419" s="1"/>
  <c r="S127" i="419" s="1"/>
  <c r="T127" i="419" s="1"/>
  <c r="M191" i="419"/>
  <c r="N245" i="419"/>
  <c r="F245" i="419"/>
  <c r="N216" i="419"/>
  <c r="N35" i="419" s="1"/>
  <c r="N218" i="419"/>
  <c r="O218" i="419" s="1"/>
  <c r="D218" i="419"/>
  <c r="D42" i="419"/>
  <c r="D35" i="419"/>
  <c r="P206" i="419"/>
  <c r="J260" i="419"/>
  <c r="J81" i="419"/>
  <c r="N260" i="419"/>
  <c r="L83" i="419"/>
  <c r="M265" i="419"/>
  <c r="K83" i="419"/>
  <c r="L265" i="419"/>
  <c r="K191" i="419"/>
  <c r="O138" i="419"/>
  <c r="L245" i="419"/>
  <c r="H245" i="419"/>
  <c r="N59" i="419"/>
  <c r="N18" i="419" s="1"/>
  <c r="J18" i="415"/>
  <c r="K18" i="415"/>
  <c r="L18" i="415"/>
  <c r="M18" i="415"/>
  <c r="I18" i="415"/>
  <c r="D18" i="415"/>
  <c r="E18" i="415"/>
  <c r="F18" i="415"/>
  <c r="G18" i="415"/>
  <c r="H18" i="415"/>
  <c r="C18" i="415"/>
  <c r="P122" i="419"/>
  <c r="Q122" i="419" s="1"/>
  <c r="R122" i="419" s="1"/>
  <c r="S122" i="419" s="1"/>
  <c r="T122" i="419"/>
  <c r="U122" i="419" s="1"/>
  <c r="V122" i="419" s="1"/>
  <c r="W122" i="419" s="1"/>
  <c r="X122" i="419" s="1"/>
  <c r="T215" i="420"/>
  <c r="R206" i="420"/>
  <c r="F203" i="420"/>
  <c r="F38" i="420" s="1"/>
  <c r="O253" i="419"/>
  <c r="O58" i="419"/>
  <c r="Q206" i="419"/>
  <c r="F44" i="420"/>
  <c r="F5" i="420"/>
  <c r="S206" i="420"/>
  <c r="T206" i="420" s="1"/>
  <c r="U206" i="420" s="1"/>
  <c r="U215" i="420"/>
  <c r="V215" i="420" s="1"/>
  <c r="N219" i="419"/>
  <c r="N30" i="419" s="1"/>
  <c r="S215" i="419"/>
  <c r="T215" i="419" s="1"/>
  <c r="U215" i="419" s="1"/>
  <c r="R206" i="419"/>
  <c r="S206" i="419"/>
  <c r="T206" i="419" s="1"/>
  <c r="W215" i="420"/>
  <c r="R111" i="418"/>
  <c r="Q111" i="418"/>
  <c r="P111" i="418"/>
  <c r="O111" i="418"/>
  <c r="N111" i="418"/>
  <c r="G96" i="418"/>
  <c r="F96" i="418"/>
  <c r="E96" i="418"/>
  <c r="D96" i="418"/>
  <c r="C96" i="418"/>
  <c r="B96" i="418"/>
  <c r="G95" i="418"/>
  <c r="F95" i="418"/>
  <c r="E95" i="418"/>
  <c r="D95" i="418"/>
  <c r="C95" i="418"/>
  <c r="B95" i="418"/>
  <c r="G94" i="418"/>
  <c r="F94" i="418"/>
  <c r="E94" i="418"/>
  <c r="D94" i="418"/>
  <c r="C94" i="418"/>
  <c r="B94" i="418"/>
  <c r="G93" i="418"/>
  <c r="F93" i="418"/>
  <c r="E93" i="418"/>
  <c r="D93" i="418"/>
  <c r="C93" i="418"/>
  <c r="B93" i="418"/>
  <c r="G92" i="418"/>
  <c r="F92" i="418"/>
  <c r="E92" i="418"/>
  <c r="D92" i="418"/>
  <c r="C92" i="418"/>
  <c r="B92" i="418"/>
  <c r="G91" i="418"/>
  <c r="F91" i="418"/>
  <c r="E91" i="418"/>
  <c r="D91" i="418"/>
  <c r="C91" i="418"/>
  <c r="B91" i="418"/>
  <c r="G90" i="418"/>
  <c r="F90" i="418"/>
  <c r="E90" i="418"/>
  <c r="D90" i="418"/>
  <c r="C90" i="418"/>
  <c r="B90" i="418"/>
  <c r="G89" i="418"/>
  <c r="F89" i="418"/>
  <c r="E89" i="418"/>
  <c r="D89" i="418"/>
  <c r="C89" i="418"/>
  <c r="B89" i="418"/>
  <c r="G88" i="418"/>
  <c r="F88" i="418"/>
  <c r="E88" i="418"/>
  <c r="D88" i="418"/>
  <c r="C88" i="418"/>
  <c r="B88" i="418"/>
  <c r="G87" i="418"/>
  <c r="F87" i="418"/>
  <c r="E87" i="418"/>
  <c r="D87" i="418"/>
  <c r="C87" i="418"/>
  <c r="B87" i="418"/>
  <c r="G86" i="418"/>
  <c r="F86" i="418"/>
  <c r="E86" i="418"/>
  <c r="D86" i="418"/>
  <c r="C86" i="418"/>
  <c r="B86" i="418"/>
  <c r="H84" i="418"/>
  <c r="F84" i="418"/>
  <c r="D84" i="418"/>
  <c r="B84" i="418"/>
  <c r="G83" i="418"/>
  <c r="F83" i="418"/>
  <c r="E83" i="418"/>
  <c r="D83" i="418"/>
  <c r="C83" i="418"/>
  <c r="B83" i="418"/>
  <c r="I82" i="418"/>
  <c r="H82" i="418"/>
  <c r="I81" i="418"/>
  <c r="H81" i="418"/>
  <c r="H95" i="418" s="1"/>
  <c r="I80" i="418"/>
  <c r="H80" i="418"/>
  <c r="I79" i="418"/>
  <c r="H79" i="418"/>
  <c r="I78" i="418"/>
  <c r="H78" i="418"/>
  <c r="I77" i="418"/>
  <c r="H77" i="418"/>
  <c r="H91" i="418" s="1"/>
  <c r="I76" i="418"/>
  <c r="H76" i="418"/>
  <c r="I75" i="418"/>
  <c r="H75" i="418"/>
  <c r="I74" i="418"/>
  <c r="H74" i="418"/>
  <c r="I73" i="418"/>
  <c r="H73" i="418"/>
  <c r="I72" i="418"/>
  <c r="H72" i="418"/>
  <c r="I71" i="418"/>
  <c r="H71" i="418"/>
  <c r="I96" i="418" s="1"/>
  <c r="I70" i="418"/>
  <c r="H70" i="418"/>
  <c r="K65" i="418"/>
  <c r="J65" i="418"/>
  <c r="I65" i="418"/>
  <c r="H65" i="418"/>
  <c r="G65" i="418"/>
  <c r="F65" i="418"/>
  <c r="E65" i="418"/>
  <c r="D65" i="418"/>
  <c r="C65" i="418"/>
  <c r="B65" i="418"/>
  <c r="M64" i="418"/>
  <c r="L64" i="418"/>
  <c r="M63" i="418"/>
  <c r="L63" i="418"/>
  <c r="M62" i="418"/>
  <c r="L62" i="418"/>
  <c r="M61" i="418"/>
  <c r="L61" i="418"/>
  <c r="M60" i="418"/>
  <c r="L60" i="418"/>
  <c r="M59" i="418"/>
  <c r="L59" i="418"/>
  <c r="M58" i="418"/>
  <c r="L58" i="418"/>
  <c r="M57" i="418"/>
  <c r="L57" i="418"/>
  <c r="M56" i="418"/>
  <c r="L56" i="418"/>
  <c r="M55" i="418"/>
  <c r="L55" i="418"/>
  <c r="M54" i="418"/>
  <c r="L54" i="418"/>
  <c r="M53" i="418"/>
  <c r="L53" i="418"/>
  <c r="M52" i="418"/>
  <c r="L52" i="418"/>
  <c r="M51" i="418"/>
  <c r="L51" i="418"/>
  <c r="M50" i="418"/>
  <c r="L50" i="418"/>
  <c r="M49" i="418"/>
  <c r="L49" i="418"/>
  <c r="M48" i="418"/>
  <c r="N100" i="419" s="1"/>
  <c r="L48" i="418"/>
  <c r="M47" i="418"/>
  <c r="L47" i="418"/>
  <c r="BQ15" i="418"/>
  <c r="BP15" i="418"/>
  <c r="BO15" i="418"/>
  <c r="BN15" i="418"/>
  <c r="BM15" i="418"/>
  <c r="BL15" i="418"/>
  <c r="BK15" i="418"/>
  <c r="BJ15" i="418"/>
  <c r="BI15" i="418"/>
  <c r="BH15" i="418"/>
  <c r="BG15" i="418"/>
  <c r="BF15" i="418"/>
  <c r="BE15" i="418"/>
  <c r="BD15" i="418"/>
  <c r="BC15" i="418"/>
  <c r="BB15" i="418"/>
  <c r="BA15" i="418"/>
  <c r="AZ15" i="418"/>
  <c r="AY15" i="418"/>
  <c r="AX15" i="418"/>
  <c r="AW15" i="418"/>
  <c r="AV15" i="418"/>
  <c r="AU15" i="418"/>
  <c r="AT15" i="418"/>
  <c r="AS15" i="418"/>
  <c r="AR15" i="418"/>
  <c r="AQ15" i="418"/>
  <c r="AP15" i="418"/>
  <c r="AO15" i="418"/>
  <c r="AN15" i="418"/>
  <c r="AM15" i="418"/>
  <c r="AL15" i="418"/>
  <c r="AK15" i="418"/>
  <c r="AJ15" i="418"/>
  <c r="AI15" i="418"/>
  <c r="AH15" i="418"/>
  <c r="AG15" i="418"/>
  <c r="AF15" i="418"/>
  <c r="AE15" i="418"/>
  <c r="AD15" i="418"/>
  <c r="AC15" i="418"/>
  <c r="AB15" i="418"/>
  <c r="AA15" i="418"/>
  <c r="Z15" i="418"/>
  <c r="Y15" i="418"/>
  <c r="X15" i="418"/>
  <c r="W15" i="418"/>
  <c r="V15" i="418"/>
  <c r="U15" i="418"/>
  <c r="T15" i="418"/>
  <c r="S15" i="418"/>
  <c r="R15" i="418"/>
  <c r="Q15" i="418"/>
  <c r="P15" i="418"/>
  <c r="O15" i="418"/>
  <c r="N15" i="418"/>
  <c r="M15" i="418"/>
  <c r="L15" i="418"/>
  <c r="K15" i="418"/>
  <c r="J15" i="418"/>
  <c r="I15" i="418"/>
  <c r="H15" i="418"/>
  <c r="K4" i="417"/>
  <c r="L4" i="417"/>
  <c r="L6" i="417" s="1"/>
  <c r="M4" i="417"/>
  <c r="N4" i="417"/>
  <c r="O4" i="417"/>
  <c r="K5" i="417"/>
  <c r="K6" i="417" s="1"/>
  <c r="L5" i="417"/>
  <c r="M5" i="417"/>
  <c r="N5" i="417"/>
  <c r="J5" i="417"/>
  <c r="J4" i="417"/>
  <c r="BF147" i="417"/>
  <c r="BE147" i="417"/>
  <c r="BD147" i="417"/>
  <c r="BC147" i="417"/>
  <c r="BB147" i="417"/>
  <c r="BA147" i="417"/>
  <c r="AZ147" i="417"/>
  <c r="AY147" i="417"/>
  <c r="AX147" i="417"/>
  <c r="AW147" i="417"/>
  <c r="AV147" i="417"/>
  <c r="AU147" i="417"/>
  <c r="AT147" i="417"/>
  <c r="AS147" i="417"/>
  <c r="AR147" i="417"/>
  <c r="AQ147" i="417"/>
  <c r="AP147" i="417"/>
  <c r="AO147" i="417"/>
  <c r="AN147" i="417"/>
  <c r="AM147" i="417"/>
  <c r="AL147" i="417"/>
  <c r="AK147" i="417"/>
  <c r="AJ147" i="417"/>
  <c r="AI147" i="417"/>
  <c r="AH147" i="417"/>
  <c r="AG147" i="417"/>
  <c r="AF147" i="417"/>
  <c r="AE147" i="417"/>
  <c r="AD147" i="417"/>
  <c r="AC147" i="417"/>
  <c r="AB147" i="417"/>
  <c r="AA147" i="417"/>
  <c r="Z147" i="417"/>
  <c r="Y147" i="417"/>
  <c r="X147" i="417"/>
  <c r="W147" i="417"/>
  <c r="V147" i="417"/>
  <c r="U147" i="417"/>
  <c r="T147" i="417"/>
  <c r="S147" i="417"/>
  <c r="R147" i="417"/>
  <c r="Q147" i="417"/>
  <c r="P147" i="417"/>
  <c r="O147" i="417"/>
  <c r="N147" i="417"/>
  <c r="M147" i="417"/>
  <c r="L147" i="417"/>
  <c r="K147" i="417"/>
  <c r="J147" i="417"/>
  <c r="I147" i="417"/>
  <c r="H147" i="417"/>
  <c r="G147" i="417"/>
  <c r="F147" i="417"/>
  <c r="E147" i="417"/>
  <c r="D147" i="417"/>
  <c r="C147" i="417"/>
  <c r="BF145" i="417"/>
  <c r="BE145" i="417"/>
  <c r="BD145" i="417"/>
  <c r="BC145" i="417"/>
  <c r="BB145" i="417"/>
  <c r="BA145" i="417"/>
  <c r="AZ145" i="417"/>
  <c r="AY145" i="417"/>
  <c r="AX145" i="417"/>
  <c r="AW145" i="417"/>
  <c r="AV145" i="417"/>
  <c r="AU145" i="417"/>
  <c r="AT145" i="417"/>
  <c r="AS145" i="417"/>
  <c r="AR145" i="417"/>
  <c r="AQ145" i="417"/>
  <c r="AP145" i="417"/>
  <c r="AO145" i="417"/>
  <c r="AN145" i="417"/>
  <c r="AM145" i="417"/>
  <c r="AL145" i="417"/>
  <c r="AK145" i="417"/>
  <c r="AJ145" i="417"/>
  <c r="AI145" i="417"/>
  <c r="AH145" i="417"/>
  <c r="AG145" i="417"/>
  <c r="AF145" i="417"/>
  <c r="AE145" i="417"/>
  <c r="AD145" i="417"/>
  <c r="AC145" i="417"/>
  <c r="AB145" i="417"/>
  <c r="AA145" i="417"/>
  <c r="Z145" i="417"/>
  <c r="Y145" i="417"/>
  <c r="X145" i="417"/>
  <c r="W145" i="417"/>
  <c r="V145" i="417"/>
  <c r="U145" i="417"/>
  <c r="T145" i="417"/>
  <c r="S145" i="417"/>
  <c r="R145" i="417"/>
  <c r="Q145" i="417"/>
  <c r="P145" i="417"/>
  <c r="O145" i="417"/>
  <c r="N145" i="417"/>
  <c r="M145" i="417"/>
  <c r="L145" i="417"/>
  <c r="K145" i="417"/>
  <c r="J145" i="417"/>
  <c r="I145" i="417"/>
  <c r="H145" i="417"/>
  <c r="G145" i="417"/>
  <c r="F145" i="417"/>
  <c r="E145" i="417"/>
  <c r="D145" i="417"/>
  <c r="C145" i="417"/>
  <c r="BF76" i="417"/>
  <c r="BE76" i="417"/>
  <c r="BD76" i="417"/>
  <c r="BC76" i="417"/>
  <c r="BB76" i="417"/>
  <c r="BA76" i="417"/>
  <c r="AZ76" i="417"/>
  <c r="AY76" i="417"/>
  <c r="AX76" i="417"/>
  <c r="AW76" i="417"/>
  <c r="AV76" i="417"/>
  <c r="AU76" i="417"/>
  <c r="AT76" i="417"/>
  <c r="AS76" i="417"/>
  <c r="AR76" i="417"/>
  <c r="AQ76" i="417"/>
  <c r="AP76" i="417"/>
  <c r="AO76" i="417"/>
  <c r="AN76" i="417"/>
  <c r="AM76" i="417"/>
  <c r="AL76" i="417"/>
  <c r="AK76" i="417"/>
  <c r="AJ76" i="417"/>
  <c r="AI76" i="417"/>
  <c r="AH76" i="417"/>
  <c r="AG76" i="417"/>
  <c r="AF76" i="417"/>
  <c r="AE76" i="417"/>
  <c r="AD76" i="417"/>
  <c r="AC76" i="417"/>
  <c r="AB76" i="417"/>
  <c r="AA76" i="417"/>
  <c r="Z76" i="417"/>
  <c r="Y76" i="417"/>
  <c r="X76" i="417"/>
  <c r="W76" i="417"/>
  <c r="V76" i="417"/>
  <c r="U76" i="417"/>
  <c r="T76" i="417"/>
  <c r="S76" i="417"/>
  <c r="R76" i="417"/>
  <c r="Q76" i="417"/>
  <c r="P76" i="417"/>
  <c r="O76" i="417"/>
  <c r="N76" i="417"/>
  <c r="M76" i="417"/>
  <c r="L76" i="417"/>
  <c r="K76" i="417"/>
  <c r="J76" i="417"/>
  <c r="I76" i="417"/>
  <c r="H76" i="417"/>
  <c r="G76" i="417"/>
  <c r="F76" i="417"/>
  <c r="E76" i="417"/>
  <c r="D76" i="417"/>
  <c r="C76" i="417"/>
  <c r="I6" i="417"/>
  <c r="H6" i="417"/>
  <c r="G6" i="417"/>
  <c r="F6" i="417"/>
  <c r="E6" i="417"/>
  <c r="D6" i="417"/>
  <c r="C6" i="417"/>
  <c r="M6" i="417"/>
  <c r="O238" i="419"/>
  <c r="O239" i="419"/>
  <c r="O272" i="419" s="1"/>
  <c r="O238" i="420"/>
  <c r="X215" i="420"/>
  <c r="V215" i="419"/>
  <c r="U206" i="419"/>
  <c r="M65" i="418"/>
  <c r="P4" i="417"/>
  <c r="J6" i="417"/>
  <c r="S111" i="418"/>
  <c r="H87" i="418"/>
  <c r="I88" i="418"/>
  <c r="I92" i="418"/>
  <c r="V111" i="418"/>
  <c r="I83" i="418"/>
  <c r="P238" i="419"/>
  <c r="P239" i="419"/>
  <c r="P272" i="419" s="1"/>
  <c r="P238" i="420"/>
  <c r="P239" i="420"/>
  <c r="P272" i="420" s="1"/>
  <c r="O239" i="420"/>
  <c r="O272" i="420" s="1"/>
  <c r="V206" i="419"/>
  <c r="U127" i="419"/>
  <c r="V127" i="419" s="1"/>
  <c r="W215" i="419"/>
  <c r="U111" i="418"/>
  <c r="Q4" i="417"/>
  <c r="R4" i="417" s="1"/>
  <c r="T111" i="418"/>
  <c r="P194" i="420" s="1"/>
  <c r="X215" i="419"/>
  <c r="W206" i="419"/>
  <c r="W127" i="419"/>
  <c r="X127" i="419" s="1"/>
  <c r="X206" i="419"/>
  <c r="P226" i="415"/>
  <c r="Q226" i="415"/>
  <c r="O231" i="419" s="1"/>
  <c r="O233" i="419" s="1"/>
  <c r="P225" i="415"/>
  <c r="Q225" i="415" s="1"/>
  <c r="R225" i="415" s="1"/>
  <c r="M218" i="415"/>
  <c r="L218" i="415"/>
  <c r="K218" i="415"/>
  <c r="J218" i="415"/>
  <c r="I218" i="415"/>
  <c r="H218" i="415"/>
  <c r="G218" i="415"/>
  <c r="E218" i="415"/>
  <c r="C218" i="415"/>
  <c r="O217" i="415"/>
  <c r="F216" i="415"/>
  <c r="F218" i="415" s="1"/>
  <c r="D216" i="415"/>
  <c r="D218" i="415"/>
  <c r="G214" i="415"/>
  <c r="F214" i="415"/>
  <c r="E214" i="415"/>
  <c r="D214" i="415"/>
  <c r="C214" i="415"/>
  <c r="O213" i="415"/>
  <c r="O212" i="415"/>
  <c r="H212" i="415"/>
  <c r="O211" i="415"/>
  <c r="O210" i="415"/>
  <c r="M208" i="415"/>
  <c r="L208" i="415"/>
  <c r="K208" i="415"/>
  <c r="J208" i="415"/>
  <c r="I208" i="415"/>
  <c r="H208" i="415"/>
  <c r="F208" i="415"/>
  <c r="E208" i="415"/>
  <c r="D208" i="415"/>
  <c r="C208" i="415"/>
  <c r="G207" i="415"/>
  <c r="G208" i="415"/>
  <c r="O206" i="415"/>
  <c r="O203" i="415"/>
  <c r="O201" i="415"/>
  <c r="M200" i="415"/>
  <c r="L200" i="415"/>
  <c r="K200" i="415"/>
  <c r="J200" i="415"/>
  <c r="I200" i="415"/>
  <c r="H200" i="415"/>
  <c r="G200" i="415"/>
  <c r="F200" i="415"/>
  <c r="E200" i="415"/>
  <c r="D200" i="415"/>
  <c r="C200" i="415"/>
  <c r="O199" i="415"/>
  <c r="O198" i="415"/>
  <c r="O197" i="415"/>
  <c r="O195" i="415"/>
  <c r="O194" i="415"/>
  <c r="O193" i="415"/>
  <c r="O192" i="415"/>
  <c r="M190" i="415"/>
  <c r="L190" i="415"/>
  <c r="K190" i="415"/>
  <c r="J190" i="415"/>
  <c r="I190" i="415"/>
  <c r="H190" i="415"/>
  <c r="G190" i="415"/>
  <c r="F190" i="415"/>
  <c r="E190" i="415"/>
  <c r="D190" i="415"/>
  <c r="C190" i="415"/>
  <c r="O188" i="415"/>
  <c r="O187" i="415"/>
  <c r="O186" i="415"/>
  <c r="O185" i="415"/>
  <c r="O184" i="415"/>
  <c r="O183" i="415"/>
  <c r="O181" i="415"/>
  <c r="M179" i="415"/>
  <c r="L179" i="415"/>
  <c r="K179" i="415"/>
  <c r="J179" i="415"/>
  <c r="I179" i="415"/>
  <c r="H179" i="415"/>
  <c r="G179" i="415"/>
  <c r="F179" i="415"/>
  <c r="E179" i="415"/>
  <c r="D179" i="415"/>
  <c r="C179" i="415"/>
  <c r="O178" i="415"/>
  <c r="O177" i="415"/>
  <c r="O176" i="415"/>
  <c r="O175" i="415"/>
  <c r="O174" i="415"/>
  <c r="O172" i="415"/>
  <c r="O171" i="415"/>
  <c r="O170" i="415"/>
  <c r="M166" i="415"/>
  <c r="L166" i="415"/>
  <c r="K166" i="415"/>
  <c r="J166" i="415"/>
  <c r="I166" i="415"/>
  <c r="H166" i="415"/>
  <c r="G166" i="415"/>
  <c r="F166" i="415"/>
  <c r="E166" i="415"/>
  <c r="D166" i="415"/>
  <c r="C166" i="415"/>
  <c r="O165" i="415"/>
  <c r="O164" i="415"/>
  <c r="O163" i="415"/>
  <c r="O162" i="415"/>
  <c r="O161" i="415"/>
  <c r="M158" i="415"/>
  <c r="L158" i="415"/>
  <c r="K158" i="415"/>
  <c r="J158" i="415"/>
  <c r="I158" i="415"/>
  <c r="H158" i="415"/>
  <c r="G158" i="415"/>
  <c r="F158" i="415"/>
  <c r="E158" i="415"/>
  <c r="D158" i="415"/>
  <c r="C158" i="415"/>
  <c r="O157" i="415"/>
  <c r="O156" i="415"/>
  <c r="O155" i="415"/>
  <c r="O154" i="415"/>
  <c r="O150" i="415"/>
  <c r="O149" i="415"/>
  <c r="O148" i="415"/>
  <c r="H148" i="415"/>
  <c r="I80" i="420" s="1"/>
  <c r="G148" i="415"/>
  <c r="H80" i="420" s="1"/>
  <c r="H80" i="419"/>
  <c r="H81" i="419" s="1"/>
  <c r="F148" i="415"/>
  <c r="G80" i="420" s="1"/>
  <c r="E148" i="415"/>
  <c r="F80" i="420" s="1"/>
  <c r="F80" i="419"/>
  <c r="D148" i="415"/>
  <c r="E80" i="420" s="1"/>
  <c r="C148" i="415"/>
  <c r="D80" i="420" s="1"/>
  <c r="D80" i="419"/>
  <c r="O146" i="415"/>
  <c r="O145" i="415"/>
  <c r="O144" i="415"/>
  <c r="O143" i="415"/>
  <c r="O142" i="415"/>
  <c r="O141" i="415"/>
  <c r="O140" i="415"/>
  <c r="M138" i="415"/>
  <c r="L138" i="415"/>
  <c r="K138" i="415"/>
  <c r="J138" i="415"/>
  <c r="I138" i="415"/>
  <c r="H138" i="415"/>
  <c r="G138" i="415"/>
  <c r="F138" i="415"/>
  <c r="E138" i="415"/>
  <c r="D138" i="415"/>
  <c r="C138" i="415"/>
  <c r="O137" i="415"/>
  <c r="O136" i="415"/>
  <c r="M133" i="415"/>
  <c r="L133" i="415"/>
  <c r="K133" i="415"/>
  <c r="J133" i="415"/>
  <c r="I133" i="415"/>
  <c r="H133" i="415"/>
  <c r="O132" i="415"/>
  <c r="G132" i="415"/>
  <c r="F132" i="415"/>
  <c r="G51" i="420" s="1"/>
  <c r="G51" i="419"/>
  <c r="E132" i="415"/>
  <c r="D132" i="415"/>
  <c r="E51" i="420" s="1"/>
  <c r="E51" i="419"/>
  <c r="C132" i="415"/>
  <c r="C133" i="415" s="1"/>
  <c r="O131" i="415"/>
  <c r="G131" i="415"/>
  <c r="H50" i="420" s="1"/>
  <c r="H50" i="419"/>
  <c r="F131" i="415"/>
  <c r="G50" i="420" s="1"/>
  <c r="E131" i="415"/>
  <c r="F50" i="420" s="1"/>
  <c r="D131" i="415"/>
  <c r="E50" i="420" s="1"/>
  <c r="E52" i="420" s="1"/>
  <c r="E50" i="419"/>
  <c r="E52" i="419" s="1"/>
  <c r="C131" i="415"/>
  <c r="D50" i="420" s="1"/>
  <c r="D50" i="419"/>
  <c r="O130" i="415"/>
  <c r="O129" i="415"/>
  <c r="O128" i="415"/>
  <c r="O127" i="415"/>
  <c r="O126" i="415"/>
  <c r="O124" i="415"/>
  <c r="M122" i="415"/>
  <c r="L122" i="415"/>
  <c r="K122" i="415"/>
  <c r="J122" i="415"/>
  <c r="I122" i="415"/>
  <c r="H122" i="415"/>
  <c r="G122" i="415"/>
  <c r="F122" i="415"/>
  <c r="E122" i="415"/>
  <c r="D122" i="415"/>
  <c r="C122" i="415"/>
  <c r="M120" i="415"/>
  <c r="L120" i="415"/>
  <c r="K120" i="415"/>
  <c r="J120" i="415"/>
  <c r="I120" i="415"/>
  <c r="H120" i="415"/>
  <c r="G120" i="415"/>
  <c r="F120" i="415"/>
  <c r="E120" i="415"/>
  <c r="D120" i="415"/>
  <c r="C120" i="415"/>
  <c r="M117" i="415"/>
  <c r="L117" i="415"/>
  <c r="K117" i="415"/>
  <c r="J117" i="415"/>
  <c r="I117" i="415"/>
  <c r="H117" i="415"/>
  <c r="G117" i="415"/>
  <c r="F117" i="415"/>
  <c r="E117" i="415"/>
  <c r="D117" i="415"/>
  <c r="C117" i="415"/>
  <c r="O115" i="415"/>
  <c r="O114" i="415"/>
  <c r="O113" i="415"/>
  <c r="O111" i="415"/>
  <c r="O110" i="415"/>
  <c r="M109" i="415"/>
  <c r="L109" i="415"/>
  <c r="K109" i="415"/>
  <c r="J109" i="415"/>
  <c r="I109" i="415"/>
  <c r="H109" i="415"/>
  <c r="G109" i="415"/>
  <c r="F109" i="415"/>
  <c r="O108" i="415"/>
  <c r="O107" i="415"/>
  <c r="E107" i="415"/>
  <c r="F23" i="420" s="1"/>
  <c r="F24" i="420" s="1"/>
  <c r="F41" i="420" s="1"/>
  <c r="D107" i="415"/>
  <c r="C107" i="415"/>
  <c r="D23" i="420" s="1"/>
  <c r="M105" i="415"/>
  <c r="L105" i="415"/>
  <c r="K105" i="415"/>
  <c r="J105" i="415"/>
  <c r="I105" i="415"/>
  <c r="H105" i="415"/>
  <c r="G105" i="415"/>
  <c r="F105" i="415"/>
  <c r="E105" i="415"/>
  <c r="D105" i="415"/>
  <c r="C105" i="415"/>
  <c r="O104" i="415"/>
  <c r="O103" i="415"/>
  <c r="O102" i="415"/>
  <c r="O100" i="415"/>
  <c r="M98" i="415"/>
  <c r="L98" i="415"/>
  <c r="K98" i="415"/>
  <c r="J98" i="415"/>
  <c r="I98" i="415"/>
  <c r="H98" i="415"/>
  <c r="G98" i="415"/>
  <c r="F98" i="415"/>
  <c r="E98" i="415"/>
  <c r="D98" i="415"/>
  <c r="C98" i="415"/>
  <c r="O96" i="415"/>
  <c r="M94" i="415"/>
  <c r="L94" i="415"/>
  <c r="K94" i="415"/>
  <c r="J94" i="415"/>
  <c r="I94" i="415"/>
  <c r="H94" i="415"/>
  <c r="G94" i="415"/>
  <c r="F94" i="415"/>
  <c r="E94" i="415"/>
  <c r="D94" i="415"/>
  <c r="C94" i="415"/>
  <c r="O92" i="415"/>
  <c r="O90" i="415"/>
  <c r="M89" i="415"/>
  <c r="L89" i="415"/>
  <c r="K89" i="415"/>
  <c r="J89" i="415"/>
  <c r="I89" i="415"/>
  <c r="H89" i="415"/>
  <c r="G89" i="415"/>
  <c r="F89" i="415"/>
  <c r="E89" i="415"/>
  <c r="D89" i="415"/>
  <c r="C89" i="415"/>
  <c r="M87" i="415"/>
  <c r="L87" i="415"/>
  <c r="K87" i="415"/>
  <c r="J87" i="415"/>
  <c r="I87" i="415"/>
  <c r="H87" i="415"/>
  <c r="G87" i="415"/>
  <c r="F87" i="415"/>
  <c r="E87" i="415"/>
  <c r="D87" i="415"/>
  <c r="C87" i="415"/>
  <c r="O86" i="415"/>
  <c r="O85" i="415"/>
  <c r="M84" i="415"/>
  <c r="L84" i="415"/>
  <c r="K84" i="415"/>
  <c r="J84" i="415"/>
  <c r="I84" i="415"/>
  <c r="H84" i="415"/>
  <c r="G84" i="415"/>
  <c r="F84" i="415"/>
  <c r="E84" i="415"/>
  <c r="D84" i="415"/>
  <c r="C84" i="415"/>
  <c r="O83" i="415"/>
  <c r="O82" i="415"/>
  <c r="M80" i="415"/>
  <c r="L80" i="415"/>
  <c r="K80" i="415"/>
  <c r="J80" i="415"/>
  <c r="I80" i="415"/>
  <c r="H80" i="415"/>
  <c r="G80" i="415"/>
  <c r="F80" i="415"/>
  <c r="E80" i="415"/>
  <c r="D80" i="415"/>
  <c r="C80" i="415"/>
  <c r="M78" i="415"/>
  <c r="L78" i="415"/>
  <c r="K78" i="415"/>
  <c r="J78" i="415"/>
  <c r="I78" i="415"/>
  <c r="H78" i="415"/>
  <c r="G78" i="415"/>
  <c r="F78" i="415"/>
  <c r="E78" i="415"/>
  <c r="D78" i="415"/>
  <c r="C78" i="415"/>
  <c r="O77" i="415"/>
  <c r="O75" i="415"/>
  <c r="O73" i="415"/>
  <c r="O72" i="415"/>
  <c r="M70" i="415"/>
  <c r="L70" i="415"/>
  <c r="K70" i="415"/>
  <c r="J70" i="415"/>
  <c r="I70" i="415"/>
  <c r="H70" i="415"/>
  <c r="G70" i="415"/>
  <c r="F70" i="415"/>
  <c r="E70" i="415"/>
  <c r="D70" i="415"/>
  <c r="C70" i="415"/>
  <c r="O69" i="415"/>
  <c r="O67" i="415"/>
  <c r="O66" i="415"/>
  <c r="O65" i="415"/>
  <c r="O64" i="415"/>
  <c r="O62" i="415"/>
  <c r="O61" i="415"/>
  <c r="O59" i="415"/>
  <c r="O58" i="415"/>
  <c r="M56" i="415"/>
  <c r="L56" i="415"/>
  <c r="K56" i="415"/>
  <c r="J56" i="415"/>
  <c r="I56" i="415"/>
  <c r="H56" i="415"/>
  <c r="G56" i="415"/>
  <c r="F56" i="415"/>
  <c r="E56" i="415"/>
  <c r="D56" i="415"/>
  <c r="C56" i="415"/>
  <c r="O55" i="415"/>
  <c r="O54" i="415"/>
  <c r="O53" i="415"/>
  <c r="O52" i="415"/>
  <c r="O49" i="415"/>
  <c r="O48" i="415"/>
  <c r="O47" i="415"/>
  <c r="O46" i="415"/>
  <c r="O45" i="415"/>
  <c r="O44" i="415"/>
  <c r="O43" i="415"/>
  <c r="O42" i="415"/>
  <c r="O41" i="415"/>
  <c r="O40" i="415"/>
  <c r="O39" i="415"/>
  <c r="M37" i="415"/>
  <c r="L37" i="415"/>
  <c r="K37" i="415"/>
  <c r="J37" i="415"/>
  <c r="I37" i="415"/>
  <c r="H37" i="415"/>
  <c r="G37" i="415"/>
  <c r="F37" i="415"/>
  <c r="E37" i="415"/>
  <c r="D37" i="415"/>
  <c r="C37" i="415"/>
  <c r="O36" i="415"/>
  <c r="O34" i="415"/>
  <c r="O33" i="415"/>
  <c r="O32" i="415"/>
  <c r="O31" i="415"/>
  <c r="O29" i="415"/>
  <c r="O28" i="415"/>
  <c r="O27" i="415"/>
  <c r="O26" i="415"/>
  <c r="O25" i="415"/>
  <c r="O23" i="415"/>
  <c r="O22" i="415"/>
  <c r="O21" i="415"/>
  <c r="O20" i="415"/>
  <c r="O16" i="415"/>
  <c r="O15" i="415"/>
  <c r="O14" i="415"/>
  <c r="D12" i="415"/>
  <c r="O11" i="415"/>
  <c r="M10" i="415"/>
  <c r="L10" i="415"/>
  <c r="K10" i="415"/>
  <c r="J10" i="415"/>
  <c r="I10" i="415"/>
  <c r="H10" i="415"/>
  <c r="G10" i="415"/>
  <c r="F10" i="415"/>
  <c r="E10" i="415"/>
  <c r="D10" i="415"/>
  <c r="C10" i="415"/>
  <c r="O9" i="415"/>
  <c r="O7" i="415"/>
  <c r="D81" i="419"/>
  <c r="F81" i="419"/>
  <c r="O232" i="419"/>
  <c r="E133" i="415"/>
  <c r="G133" i="415"/>
  <c r="E109" i="415"/>
  <c r="D133" i="415"/>
  <c r="F133" i="415"/>
  <c r="M214" i="415"/>
  <c r="R226" i="415"/>
  <c r="P231" i="420" s="1"/>
  <c r="H214" i="415"/>
  <c r="J214" i="415"/>
  <c r="L214" i="415"/>
  <c r="I214" i="415"/>
  <c r="K214" i="415"/>
  <c r="O230" i="414"/>
  <c r="P230" i="414" s="1"/>
  <c r="Q230" i="414" s="1"/>
  <c r="R230" i="414"/>
  <c r="S230" i="414" s="1"/>
  <c r="T230" i="414" s="1"/>
  <c r="U230" i="414" s="1"/>
  <c r="V230" i="414" s="1"/>
  <c r="W230" i="414" s="1"/>
  <c r="X230" i="414" s="1"/>
  <c r="K82" i="414"/>
  <c r="L82" i="414"/>
  <c r="M82" i="414"/>
  <c r="N82" i="414"/>
  <c r="J82" i="414"/>
  <c r="E82" i="414"/>
  <c r="F82" i="414"/>
  <c r="G82" i="414"/>
  <c r="H82" i="414"/>
  <c r="I82" i="414"/>
  <c r="D82" i="414"/>
  <c r="K221" i="414"/>
  <c r="L221" i="414"/>
  <c r="M221" i="414"/>
  <c r="N221" i="414"/>
  <c r="E221" i="414"/>
  <c r="F221" i="414"/>
  <c r="G221" i="414"/>
  <c r="I221" i="414"/>
  <c r="K220" i="414"/>
  <c r="L220" i="414"/>
  <c r="M220" i="414"/>
  <c r="N220" i="414"/>
  <c r="O220" i="414" s="1"/>
  <c r="P220" i="414" s="1"/>
  <c r="Q220" i="414"/>
  <c r="R220" i="414" s="1"/>
  <c r="S220" i="414" s="1"/>
  <c r="T220" i="414" s="1"/>
  <c r="U220" i="414" s="1"/>
  <c r="V220" i="414" s="1"/>
  <c r="W220" i="414" s="1"/>
  <c r="X220" i="414" s="1"/>
  <c r="J220" i="414"/>
  <c r="J221" i="414"/>
  <c r="E220" i="414"/>
  <c r="F220" i="414"/>
  <c r="G220" i="414"/>
  <c r="H220" i="414"/>
  <c r="I220" i="414"/>
  <c r="D221" i="414"/>
  <c r="D220" i="414"/>
  <c r="K60" i="414"/>
  <c r="L60" i="414"/>
  <c r="M60" i="414"/>
  <c r="N60" i="414"/>
  <c r="O60" i="414" s="1"/>
  <c r="P60" i="414" s="1"/>
  <c r="Q60" i="414" s="1"/>
  <c r="R60" i="414" s="1"/>
  <c r="S60" i="414" s="1"/>
  <c r="T60" i="414" s="1"/>
  <c r="U60" i="414" s="1"/>
  <c r="V60" i="414" s="1"/>
  <c r="W60" i="414" s="1"/>
  <c r="X60" i="414" s="1"/>
  <c r="K61" i="414"/>
  <c r="L61" i="414"/>
  <c r="M61" i="414"/>
  <c r="N61" i="414"/>
  <c r="K62" i="414"/>
  <c r="L62" i="414"/>
  <c r="M62" i="414"/>
  <c r="N62" i="414"/>
  <c r="K63" i="414"/>
  <c r="L63" i="414"/>
  <c r="M63" i="414"/>
  <c r="N63" i="414"/>
  <c r="J60" i="414"/>
  <c r="J61" i="414"/>
  <c r="J62" i="414"/>
  <c r="J63" i="414"/>
  <c r="E60" i="414"/>
  <c r="F60" i="414"/>
  <c r="G60" i="414"/>
  <c r="H60" i="414"/>
  <c r="I60" i="414"/>
  <c r="E61" i="414"/>
  <c r="F61" i="414"/>
  <c r="G61" i="414"/>
  <c r="H61" i="414"/>
  <c r="I61" i="414"/>
  <c r="E62" i="414"/>
  <c r="F62" i="414"/>
  <c r="G62" i="414"/>
  <c r="H62" i="414"/>
  <c r="I62" i="414"/>
  <c r="E63" i="414"/>
  <c r="F63" i="414"/>
  <c r="G63" i="414"/>
  <c r="H63" i="414"/>
  <c r="I63" i="414"/>
  <c r="D63" i="414"/>
  <c r="D62" i="414"/>
  <c r="D61" i="414"/>
  <c r="D60" i="414"/>
  <c r="N344" i="414"/>
  <c r="M344" i="414"/>
  <c r="L344" i="414"/>
  <c r="K344" i="414"/>
  <c r="J344" i="414"/>
  <c r="N343" i="414"/>
  <c r="M343" i="414"/>
  <c r="L343" i="414"/>
  <c r="K343" i="414"/>
  <c r="J343" i="414"/>
  <c r="N342" i="414"/>
  <c r="M342" i="414"/>
  <c r="L342" i="414"/>
  <c r="K342" i="414"/>
  <c r="J342" i="414"/>
  <c r="N341" i="414"/>
  <c r="M341" i="414"/>
  <c r="L341" i="414"/>
  <c r="K341" i="414"/>
  <c r="J341" i="414"/>
  <c r="N336" i="414"/>
  <c r="M336" i="414"/>
  <c r="L336" i="414"/>
  <c r="K336" i="414"/>
  <c r="J336" i="414"/>
  <c r="N335" i="414"/>
  <c r="M335" i="414"/>
  <c r="L335" i="414"/>
  <c r="K335" i="414"/>
  <c r="J335" i="414"/>
  <c r="N334" i="414"/>
  <c r="M334" i="414"/>
  <c r="L334" i="414"/>
  <c r="K334" i="414"/>
  <c r="J334" i="414"/>
  <c r="N333" i="414"/>
  <c r="M333" i="414"/>
  <c r="L333" i="414"/>
  <c r="K333" i="414"/>
  <c r="J333" i="414"/>
  <c r="N322" i="414"/>
  <c r="M322" i="414"/>
  <c r="L322" i="414"/>
  <c r="K322" i="414"/>
  <c r="J322" i="414"/>
  <c r="N321" i="414"/>
  <c r="M321" i="414"/>
  <c r="L321" i="414"/>
  <c r="K321" i="414"/>
  <c r="J321" i="414"/>
  <c r="N320" i="414"/>
  <c r="M320" i="414"/>
  <c r="L320" i="414"/>
  <c r="K320" i="414"/>
  <c r="J320" i="414"/>
  <c r="N315" i="414"/>
  <c r="M315" i="414"/>
  <c r="L315" i="414"/>
  <c r="K315" i="414"/>
  <c r="J315" i="414"/>
  <c r="N312" i="414"/>
  <c r="M312" i="414"/>
  <c r="L312" i="414"/>
  <c r="K312" i="414"/>
  <c r="J312" i="414"/>
  <c r="N311" i="414"/>
  <c r="M311" i="414"/>
  <c r="L311" i="414"/>
  <c r="K311" i="414"/>
  <c r="J311" i="414"/>
  <c r="N310" i="414"/>
  <c r="M310" i="414"/>
  <c r="L310" i="414"/>
  <c r="K310" i="414"/>
  <c r="J310" i="414"/>
  <c r="N309" i="414"/>
  <c r="M309" i="414"/>
  <c r="L309" i="414"/>
  <c r="K309" i="414"/>
  <c r="J309" i="414"/>
  <c r="N304" i="414"/>
  <c r="M304" i="414"/>
  <c r="L304" i="414"/>
  <c r="K304" i="414"/>
  <c r="J304" i="414"/>
  <c r="N303" i="414"/>
  <c r="M303" i="414"/>
  <c r="L303" i="414"/>
  <c r="K303" i="414"/>
  <c r="J303" i="414"/>
  <c r="N302" i="414"/>
  <c r="M302" i="414"/>
  <c r="L302" i="414"/>
  <c r="K302" i="414"/>
  <c r="J302" i="414"/>
  <c r="N301" i="414"/>
  <c r="M301" i="414"/>
  <c r="L301" i="414"/>
  <c r="K301" i="414"/>
  <c r="J301" i="414"/>
  <c r="N300" i="414"/>
  <c r="M300" i="414"/>
  <c r="L300" i="414"/>
  <c r="K300" i="414"/>
  <c r="J300" i="414"/>
  <c r="N299" i="414"/>
  <c r="M299" i="414"/>
  <c r="L299" i="414"/>
  <c r="K299" i="414"/>
  <c r="J299" i="414"/>
  <c r="N298" i="414"/>
  <c r="M298" i="414"/>
  <c r="L298" i="414"/>
  <c r="K298" i="414"/>
  <c r="J298" i="414"/>
  <c r="N297" i="414"/>
  <c r="M297" i="414"/>
  <c r="L297" i="414"/>
  <c r="K297" i="414"/>
  <c r="J297" i="414"/>
  <c r="N296" i="414"/>
  <c r="M296" i="414"/>
  <c r="L296" i="414"/>
  <c r="K296" i="414"/>
  <c r="J296" i="414"/>
  <c r="N295" i="414"/>
  <c r="M295" i="414"/>
  <c r="L295" i="414"/>
  <c r="K295" i="414"/>
  <c r="J295" i="414"/>
  <c r="N294" i="414"/>
  <c r="M294" i="414"/>
  <c r="L294" i="414"/>
  <c r="K294" i="414"/>
  <c r="J294" i="414"/>
  <c r="N293" i="414"/>
  <c r="M293" i="414"/>
  <c r="L293" i="414"/>
  <c r="K293" i="414"/>
  <c r="J293" i="414"/>
  <c r="N292" i="414"/>
  <c r="M292" i="414"/>
  <c r="L292" i="414"/>
  <c r="K292" i="414"/>
  <c r="J292" i="414"/>
  <c r="N291" i="414"/>
  <c r="M291" i="414"/>
  <c r="L291" i="414"/>
  <c r="K291" i="414"/>
  <c r="J291" i="414"/>
  <c r="N290" i="414"/>
  <c r="M290" i="414"/>
  <c r="L290" i="414"/>
  <c r="K290" i="414"/>
  <c r="J290" i="414"/>
  <c r="N289" i="414"/>
  <c r="M289" i="414"/>
  <c r="L289" i="414"/>
  <c r="K289" i="414"/>
  <c r="J289" i="414"/>
  <c r="N288" i="414"/>
  <c r="M288" i="414"/>
  <c r="L288" i="414"/>
  <c r="K288" i="414"/>
  <c r="J288" i="414"/>
  <c r="N287" i="414"/>
  <c r="M287" i="414"/>
  <c r="L287" i="414"/>
  <c r="K287" i="414"/>
  <c r="J287" i="414"/>
  <c r="N286" i="414"/>
  <c r="M286" i="414"/>
  <c r="L286" i="414"/>
  <c r="K286" i="414"/>
  <c r="J286" i="414"/>
  <c r="N285" i="414"/>
  <c r="M285" i="414"/>
  <c r="L285" i="414"/>
  <c r="K285" i="414"/>
  <c r="J285" i="414"/>
  <c r="N284" i="414"/>
  <c r="M284" i="414"/>
  <c r="L284" i="414"/>
  <c r="K284" i="414"/>
  <c r="J284" i="414"/>
  <c r="N252" i="414"/>
  <c r="M252" i="414"/>
  <c r="L252" i="414"/>
  <c r="K252" i="414"/>
  <c r="J252" i="414"/>
  <c r="I252" i="414"/>
  <c r="H252" i="414"/>
  <c r="G252" i="414"/>
  <c r="F252" i="414"/>
  <c r="E252" i="414"/>
  <c r="D252" i="414"/>
  <c r="N251" i="414"/>
  <c r="M251" i="414"/>
  <c r="L251" i="414"/>
  <c r="K251" i="414"/>
  <c r="J251" i="414"/>
  <c r="I251" i="414"/>
  <c r="H251" i="414"/>
  <c r="G251" i="414"/>
  <c r="F251" i="414"/>
  <c r="E251" i="414"/>
  <c r="D251" i="414"/>
  <c r="N250" i="414"/>
  <c r="M250" i="414"/>
  <c r="L250" i="414"/>
  <c r="K250" i="414"/>
  <c r="J250" i="414"/>
  <c r="I250" i="414"/>
  <c r="H250" i="414"/>
  <c r="G250" i="414"/>
  <c r="F250" i="414"/>
  <c r="E250" i="414"/>
  <c r="D250" i="414"/>
  <c r="N247" i="414"/>
  <c r="M247" i="414"/>
  <c r="L247" i="414"/>
  <c r="L248" i="414" s="1"/>
  <c r="K247" i="414"/>
  <c r="J247" i="414"/>
  <c r="I247" i="414"/>
  <c r="H247" i="414"/>
  <c r="G247" i="414"/>
  <c r="G248" i="414" s="1"/>
  <c r="F247" i="414"/>
  <c r="E247" i="414"/>
  <c r="D247" i="414"/>
  <c r="N244" i="414"/>
  <c r="M244" i="414"/>
  <c r="L244" i="414"/>
  <c r="K244" i="414"/>
  <c r="J244" i="414"/>
  <c r="I244" i="414"/>
  <c r="H244" i="414"/>
  <c r="G244" i="414"/>
  <c r="F244" i="414"/>
  <c r="E244" i="414"/>
  <c r="D244" i="414"/>
  <c r="N242" i="414"/>
  <c r="M242" i="414"/>
  <c r="L242" i="414"/>
  <c r="K242" i="414"/>
  <c r="J242" i="414"/>
  <c r="K243" i="414" s="1"/>
  <c r="K276" i="414" s="1"/>
  <c r="I242" i="414"/>
  <c r="H242" i="414"/>
  <c r="G242" i="414"/>
  <c r="F242" i="414"/>
  <c r="E242" i="414"/>
  <c r="D242" i="414"/>
  <c r="N241" i="414"/>
  <c r="M241" i="414"/>
  <c r="L241" i="414"/>
  <c r="K241" i="414"/>
  <c r="J241" i="414"/>
  <c r="I241" i="414"/>
  <c r="H241" i="414"/>
  <c r="G241" i="414"/>
  <c r="F241" i="414"/>
  <c r="E241" i="414"/>
  <c r="D241" i="414"/>
  <c r="N239" i="414"/>
  <c r="M239" i="414"/>
  <c r="L239" i="414"/>
  <c r="K239" i="414"/>
  <c r="J239" i="414"/>
  <c r="I239" i="414"/>
  <c r="H239" i="414"/>
  <c r="G239" i="414"/>
  <c r="F239" i="414"/>
  <c r="E239" i="414"/>
  <c r="D239" i="414"/>
  <c r="N237" i="414"/>
  <c r="M237" i="414"/>
  <c r="L237" i="414"/>
  <c r="K237" i="414"/>
  <c r="J237" i="414"/>
  <c r="I237" i="414"/>
  <c r="H237" i="414"/>
  <c r="G237" i="414"/>
  <c r="F237" i="414"/>
  <c r="E237" i="414"/>
  <c r="D237" i="414"/>
  <c r="N235" i="414"/>
  <c r="N236" i="414" s="1"/>
  <c r="M235" i="414"/>
  <c r="M236" i="414" s="1"/>
  <c r="L235" i="414"/>
  <c r="K235" i="414"/>
  <c r="J235" i="414"/>
  <c r="I235" i="414"/>
  <c r="H235" i="414"/>
  <c r="G235" i="414"/>
  <c r="F235" i="414"/>
  <c r="E235" i="414"/>
  <c r="D235" i="414"/>
  <c r="N232" i="414"/>
  <c r="O232" i="414" s="1"/>
  <c r="P232" i="414" s="1"/>
  <c r="Q232" i="414" s="1"/>
  <c r="R232" i="414" s="1"/>
  <c r="S232" i="414" s="1"/>
  <c r="T232" i="414" s="1"/>
  <c r="U232" i="414" s="1"/>
  <c r="V232" i="414" s="1"/>
  <c r="W232" i="414" s="1"/>
  <c r="X232" i="414" s="1"/>
  <c r="M232" i="414"/>
  <c r="L232" i="414"/>
  <c r="K232" i="414"/>
  <c r="J232" i="414"/>
  <c r="I232" i="414"/>
  <c r="H232" i="414"/>
  <c r="G232" i="414"/>
  <c r="F232" i="414"/>
  <c r="E232" i="414"/>
  <c r="D232" i="414"/>
  <c r="N230" i="414"/>
  <c r="M230" i="414"/>
  <c r="L230" i="414"/>
  <c r="K230" i="414"/>
  <c r="J230" i="414"/>
  <c r="I230" i="414"/>
  <c r="H230" i="414"/>
  <c r="G230" i="414"/>
  <c r="F230" i="414"/>
  <c r="E230" i="414"/>
  <c r="D230" i="414"/>
  <c r="N229" i="414"/>
  <c r="N218" i="414" s="1"/>
  <c r="M229" i="414"/>
  <c r="L229" i="414"/>
  <c r="L34" i="414" s="1"/>
  <c r="K229" i="414"/>
  <c r="K34" i="414"/>
  <c r="J229" i="414"/>
  <c r="J218" i="414" s="1"/>
  <c r="J219" i="414" s="1"/>
  <c r="I229" i="414"/>
  <c r="H229" i="414"/>
  <c r="G229" i="414"/>
  <c r="G34" i="414" s="1"/>
  <c r="F229" i="414"/>
  <c r="E229" i="414"/>
  <c r="D229" i="414"/>
  <c r="D34" i="414"/>
  <c r="D36" i="414" s="1"/>
  <c r="N227" i="414"/>
  <c r="M227" i="414"/>
  <c r="L227" i="414"/>
  <c r="K227" i="414"/>
  <c r="K228" i="414" s="1"/>
  <c r="J227" i="414"/>
  <c r="I227" i="414"/>
  <c r="H227" i="414"/>
  <c r="G227" i="414"/>
  <c r="F227" i="414"/>
  <c r="E227" i="414"/>
  <c r="D227" i="414"/>
  <c r="N226" i="414"/>
  <c r="M226" i="414"/>
  <c r="L226" i="414"/>
  <c r="K226" i="414"/>
  <c r="J226" i="414"/>
  <c r="I226" i="414"/>
  <c r="H226" i="414"/>
  <c r="G226" i="414"/>
  <c r="F226" i="414"/>
  <c r="E226" i="414"/>
  <c r="D226" i="414"/>
  <c r="O218" i="414"/>
  <c r="N215" i="414"/>
  <c r="O215" i="414" s="1"/>
  <c r="P215" i="414" s="1"/>
  <c r="Q215" i="414" s="1"/>
  <c r="R215" i="414" s="1"/>
  <c r="S215" i="414" s="1"/>
  <c r="T215" i="414" s="1"/>
  <c r="U215" i="414" s="1"/>
  <c r="V215" i="414" s="1"/>
  <c r="W215" i="414" s="1"/>
  <c r="X215" i="414" s="1"/>
  <c r="M215" i="414"/>
  <c r="M217" i="414" s="1"/>
  <c r="L215" i="414"/>
  <c r="K215" i="414"/>
  <c r="J215" i="414"/>
  <c r="I215" i="414"/>
  <c r="I217" i="414" s="1"/>
  <c r="H215" i="414"/>
  <c r="G215" i="414"/>
  <c r="F215" i="414"/>
  <c r="E215" i="414"/>
  <c r="E217" i="414" s="1"/>
  <c r="D215" i="414"/>
  <c r="N212" i="414"/>
  <c r="N125" i="414" s="1"/>
  <c r="M212" i="414"/>
  <c r="M125" i="414" s="1"/>
  <c r="L212" i="414"/>
  <c r="L125" i="414" s="1"/>
  <c r="K212" i="414"/>
  <c r="K125" i="414" s="1"/>
  <c r="J212" i="414"/>
  <c r="J125" i="414" s="1"/>
  <c r="I212" i="414"/>
  <c r="I125" i="414"/>
  <c r="H212" i="414"/>
  <c r="H125" i="414" s="1"/>
  <c r="H126" i="414" s="1"/>
  <c r="G212" i="414"/>
  <c r="F212" i="414"/>
  <c r="F125" i="414" s="1"/>
  <c r="F126" i="414" s="1"/>
  <c r="E212" i="414"/>
  <c r="E125" i="414" s="1"/>
  <c r="D212" i="414"/>
  <c r="D125" i="414" s="1"/>
  <c r="D126" i="414" s="1"/>
  <c r="N211" i="414"/>
  <c r="N57" i="414" s="1"/>
  <c r="M211" i="414"/>
  <c r="M57" i="414" s="1"/>
  <c r="L211" i="414"/>
  <c r="K211" i="414"/>
  <c r="K57" i="414" s="1"/>
  <c r="J211" i="414"/>
  <c r="J57" i="414"/>
  <c r="J58" i="414" s="1"/>
  <c r="H211" i="414"/>
  <c r="G211" i="414"/>
  <c r="G57" i="414" s="1"/>
  <c r="G59" i="414" s="1"/>
  <c r="G64" i="414" s="1"/>
  <c r="F211" i="414"/>
  <c r="E211" i="414"/>
  <c r="E57" i="414" s="1"/>
  <c r="E58" i="414"/>
  <c r="D211" i="414"/>
  <c r="N210" i="414"/>
  <c r="M210" i="414"/>
  <c r="L210" i="414"/>
  <c r="K210" i="414"/>
  <c r="J210" i="414"/>
  <c r="I210" i="414"/>
  <c r="H210" i="414"/>
  <c r="G210" i="414"/>
  <c r="F210" i="414"/>
  <c r="E210" i="414"/>
  <c r="D210" i="414"/>
  <c r="N209" i="414"/>
  <c r="M209" i="414"/>
  <c r="L209" i="414"/>
  <c r="K209" i="414"/>
  <c r="K216" i="414" s="1"/>
  <c r="J209" i="414"/>
  <c r="I209" i="414"/>
  <c r="H209" i="414"/>
  <c r="G209" i="414"/>
  <c r="G216" i="414" s="1"/>
  <c r="F209" i="414"/>
  <c r="E209" i="414"/>
  <c r="D209" i="414"/>
  <c r="O206" i="414"/>
  <c r="P206" i="414" s="1"/>
  <c r="Q206" i="414" s="1"/>
  <c r="R206" i="414" s="1"/>
  <c r="S206" i="414" s="1"/>
  <c r="T206" i="414" s="1"/>
  <c r="U206" i="414" s="1"/>
  <c r="V206" i="414" s="1"/>
  <c r="W206" i="414" s="1"/>
  <c r="X206" i="414" s="1"/>
  <c r="N205" i="414"/>
  <c r="M205" i="414"/>
  <c r="L205" i="414"/>
  <c r="K205" i="414"/>
  <c r="J205" i="414"/>
  <c r="I205" i="414"/>
  <c r="H205" i="414"/>
  <c r="G205" i="414"/>
  <c r="F205" i="414"/>
  <c r="E205" i="414"/>
  <c r="D205" i="414"/>
  <c r="N203" i="414"/>
  <c r="M203" i="414"/>
  <c r="L203" i="414"/>
  <c r="K203" i="414"/>
  <c r="J203" i="414"/>
  <c r="I203" i="414"/>
  <c r="H203" i="414"/>
  <c r="G203" i="414"/>
  <c r="F203" i="414"/>
  <c r="E203" i="414"/>
  <c r="D203" i="414"/>
  <c r="N202" i="414"/>
  <c r="M202" i="414"/>
  <c r="L202" i="414"/>
  <c r="K202" i="414"/>
  <c r="J202" i="414"/>
  <c r="I202" i="414"/>
  <c r="H202" i="414"/>
  <c r="G202" i="414"/>
  <c r="F202" i="414"/>
  <c r="E202" i="414"/>
  <c r="D202" i="414"/>
  <c r="N201" i="414"/>
  <c r="M201" i="414"/>
  <c r="L201" i="414"/>
  <c r="K201" i="414"/>
  <c r="J201" i="414"/>
  <c r="I201" i="414"/>
  <c r="I204" i="414" s="1"/>
  <c r="H201" i="414"/>
  <c r="G201" i="414"/>
  <c r="F201" i="414"/>
  <c r="E201" i="414"/>
  <c r="D201" i="414"/>
  <c r="N198" i="414"/>
  <c r="M198" i="414"/>
  <c r="L198" i="414"/>
  <c r="K198" i="414"/>
  <c r="J198" i="414"/>
  <c r="I198" i="414"/>
  <c r="H198" i="414"/>
  <c r="G198" i="414"/>
  <c r="F198" i="414"/>
  <c r="E198" i="414"/>
  <c r="D198" i="414"/>
  <c r="D197" i="414" s="1"/>
  <c r="I195" i="414"/>
  <c r="H195" i="414"/>
  <c r="G195" i="414"/>
  <c r="F195" i="414"/>
  <c r="F194" i="414" s="1"/>
  <c r="E195" i="414"/>
  <c r="D195" i="414"/>
  <c r="I193" i="414"/>
  <c r="I194" i="414" s="1"/>
  <c r="H193" i="414"/>
  <c r="H194" i="414" s="1"/>
  <c r="G193" i="414"/>
  <c r="F193" i="414"/>
  <c r="E193" i="414"/>
  <c r="E194" i="414" s="1"/>
  <c r="D193" i="414"/>
  <c r="D194" i="414" s="1"/>
  <c r="N189" i="414"/>
  <c r="M189" i="414"/>
  <c r="L189" i="414"/>
  <c r="K189" i="414"/>
  <c r="J189" i="414"/>
  <c r="I189" i="414"/>
  <c r="H189" i="414"/>
  <c r="G189" i="414"/>
  <c r="F189" i="414"/>
  <c r="E189" i="414"/>
  <c r="D189" i="414"/>
  <c r="N188" i="414"/>
  <c r="M188" i="414"/>
  <c r="L188" i="414"/>
  <c r="K188" i="414"/>
  <c r="J188" i="414"/>
  <c r="I188" i="414"/>
  <c r="H188" i="414"/>
  <c r="G188" i="414"/>
  <c r="F188" i="414"/>
  <c r="E188" i="414"/>
  <c r="D188" i="414"/>
  <c r="N187" i="414"/>
  <c r="O187" i="414" s="1"/>
  <c r="O68" i="414" s="1"/>
  <c r="M187" i="414"/>
  <c r="M68" i="414"/>
  <c r="L187" i="414"/>
  <c r="L68" i="414" s="1"/>
  <c r="K187" i="414"/>
  <c r="J187" i="414"/>
  <c r="J68" i="414"/>
  <c r="I187" i="414"/>
  <c r="I68" i="414" s="1"/>
  <c r="H187" i="414"/>
  <c r="H68" i="414"/>
  <c r="G187" i="414"/>
  <c r="F187" i="414"/>
  <c r="F68" i="414"/>
  <c r="E187" i="414"/>
  <c r="E68" i="414" s="1"/>
  <c r="D187" i="414"/>
  <c r="D68" i="414"/>
  <c r="N186" i="414"/>
  <c r="O186" i="414" s="1"/>
  <c r="P186" i="414" s="1"/>
  <c r="Q186" i="414" s="1"/>
  <c r="R186" i="414"/>
  <c r="S186" i="414" s="1"/>
  <c r="T186" i="414" s="1"/>
  <c r="U186" i="414" s="1"/>
  <c r="V186" i="414" s="1"/>
  <c r="W186" i="414" s="1"/>
  <c r="X186" i="414" s="1"/>
  <c r="M186" i="414"/>
  <c r="L186" i="414"/>
  <c r="K186" i="414"/>
  <c r="J186" i="414"/>
  <c r="I186" i="414"/>
  <c r="H186" i="414"/>
  <c r="G186" i="414"/>
  <c r="F186" i="414"/>
  <c r="E186" i="414"/>
  <c r="D186" i="414"/>
  <c r="N185" i="414"/>
  <c r="O185" i="414" s="1"/>
  <c r="M185" i="414"/>
  <c r="M109" i="414" s="1"/>
  <c r="L185" i="414"/>
  <c r="L109" i="414" s="1"/>
  <c r="K185" i="414"/>
  <c r="J185" i="414"/>
  <c r="J109" i="414" s="1"/>
  <c r="I185" i="414"/>
  <c r="H185" i="414"/>
  <c r="G185" i="414"/>
  <c r="F185" i="414"/>
  <c r="E185" i="414"/>
  <c r="D185" i="414"/>
  <c r="N184" i="414"/>
  <c r="O184" i="414"/>
  <c r="P184" i="414" s="1"/>
  <c r="Q184" i="414" s="1"/>
  <c r="R184" i="414" s="1"/>
  <c r="S184" i="414" s="1"/>
  <c r="T184" i="414" s="1"/>
  <c r="U184" i="414" s="1"/>
  <c r="V184" i="414" s="1"/>
  <c r="W184" i="414" s="1"/>
  <c r="X184" i="414" s="1"/>
  <c r="M184" i="414"/>
  <c r="L184" i="414"/>
  <c r="K184" i="414"/>
  <c r="J184" i="414"/>
  <c r="I184" i="414"/>
  <c r="H184" i="414"/>
  <c r="G184" i="414"/>
  <c r="F184" i="414"/>
  <c r="E184" i="414"/>
  <c r="D184" i="414"/>
  <c r="D183" i="414"/>
  <c r="D190" i="414" s="1"/>
  <c r="D178" i="414" s="1"/>
  <c r="N180" i="414"/>
  <c r="M180" i="414"/>
  <c r="L180" i="414"/>
  <c r="K180" i="414"/>
  <c r="J180" i="414"/>
  <c r="I180" i="414"/>
  <c r="H180" i="414"/>
  <c r="G180" i="414"/>
  <c r="F180" i="414"/>
  <c r="E180" i="414"/>
  <c r="D180" i="414"/>
  <c r="N177" i="414"/>
  <c r="M177" i="414"/>
  <c r="L177" i="414"/>
  <c r="K177" i="414"/>
  <c r="J177" i="414"/>
  <c r="I177" i="414"/>
  <c r="H177" i="414"/>
  <c r="G177" i="414"/>
  <c r="F177" i="414"/>
  <c r="E177" i="414"/>
  <c r="D177" i="414"/>
  <c r="N173" i="414"/>
  <c r="M173" i="414"/>
  <c r="L173" i="414"/>
  <c r="K173" i="414"/>
  <c r="J173" i="414"/>
  <c r="I173" i="414"/>
  <c r="H173" i="414"/>
  <c r="G173" i="414"/>
  <c r="F173" i="414"/>
  <c r="E173" i="414"/>
  <c r="D173" i="414"/>
  <c r="N172" i="414"/>
  <c r="M172" i="414"/>
  <c r="L172" i="414"/>
  <c r="K172" i="414"/>
  <c r="J172" i="414"/>
  <c r="I172" i="414"/>
  <c r="H172" i="414"/>
  <c r="G172" i="414"/>
  <c r="F172" i="414"/>
  <c r="E172" i="414"/>
  <c r="D172" i="414"/>
  <c r="N169" i="414"/>
  <c r="O169" i="414" s="1"/>
  <c r="P169" i="414" s="1"/>
  <c r="Q169" i="414" s="1"/>
  <c r="R169" i="414" s="1"/>
  <c r="S169" i="414" s="1"/>
  <c r="T169" i="414" s="1"/>
  <c r="U169" i="414" s="1"/>
  <c r="V169" i="414" s="1"/>
  <c r="W169" i="414" s="1"/>
  <c r="X169" i="414" s="1"/>
  <c r="M169" i="414"/>
  <c r="L169" i="414"/>
  <c r="K169" i="414"/>
  <c r="J169" i="414"/>
  <c r="I169" i="414"/>
  <c r="H169" i="414"/>
  <c r="G169" i="414"/>
  <c r="F169" i="414"/>
  <c r="E169" i="414"/>
  <c r="D169" i="414"/>
  <c r="N168" i="414"/>
  <c r="O168" i="414"/>
  <c r="P168" i="414"/>
  <c r="Q168" i="414" s="1"/>
  <c r="R168" i="414" s="1"/>
  <c r="S168" i="414" s="1"/>
  <c r="T168" i="414"/>
  <c r="U168" i="414" s="1"/>
  <c r="V168" i="414" s="1"/>
  <c r="W168" i="414" s="1"/>
  <c r="X168" i="414" s="1"/>
  <c r="M168" i="414"/>
  <c r="L168" i="414"/>
  <c r="K168" i="414"/>
  <c r="J168" i="414"/>
  <c r="I168" i="414"/>
  <c r="H168" i="414"/>
  <c r="G168" i="414"/>
  <c r="F168" i="414"/>
  <c r="E168" i="414"/>
  <c r="D168" i="414"/>
  <c r="N167" i="414"/>
  <c r="O167" i="414"/>
  <c r="M167" i="414"/>
  <c r="L167" i="414"/>
  <c r="K167" i="414"/>
  <c r="J167" i="414"/>
  <c r="I167" i="414"/>
  <c r="H167" i="414"/>
  <c r="G167" i="414"/>
  <c r="F167" i="414"/>
  <c r="E167" i="414"/>
  <c r="D167" i="414"/>
  <c r="N166" i="414"/>
  <c r="O166" i="414" s="1"/>
  <c r="M166" i="414"/>
  <c r="L166" i="414"/>
  <c r="K166" i="414"/>
  <c r="J166" i="414"/>
  <c r="I166" i="414"/>
  <c r="H166" i="414"/>
  <c r="G166" i="414"/>
  <c r="F166" i="414"/>
  <c r="E166" i="414"/>
  <c r="D166" i="414"/>
  <c r="N165" i="414"/>
  <c r="O165" i="414" s="1"/>
  <c r="M165" i="414"/>
  <c r="M67" i="414" s="1"/>
  <c r="L165" i="414"/>
  <c r="K165" i="414"/>
  <c r="K67" i="414"/>
  <c r="J165" i="414"/>
  <c r="J67" i="414" s="1"/>
  <c r="I165" i="414"/>
  <c r="I67" i="414"/>
  <c r="H165" i="414"/>
  <c r="G165" i="414"/>
  <c r="G67" i="414"/>
  <c r="F165" i="414"/>
  <c r="F67" i="414" s="1"/>
  <c r="F69" i="414" s="1"/>
  <c r="E165" i="414"/>
  <c r="E67" i="414"/>
  <c r="D165" i="414"/>
  <c r="D67" i="414" s="1"/>
  <c r="D69" i="414" s="1"/>
  <c r="P164" i="414"/>
  <c r="Q164" i="414"/>
  <c r="R164" i="414"/>
  <c r="S164" i="414"/>
  <c r="T164" i="414"/>
  <c r="U164" i="414"/>
  <c r="V164" i="414"/>
  <c r="W164" i="414"/>
  <c r="X164" i="414"/>
  <c r="O164" i="414"/>
  <c r="N164" i="414"/>
  <c r="M164" i="414"/>
  <c r="L164" i="414"/>
  <c r="K164" i="414"/>
  <c r="J164" i="414"/>
  <c r="I164" i="414"/>
  <c r="H164" i="414"/>
  <c r="G164" i="414"/>
  <c r="F164" i="414"/>
  <c r="E164" i="414"/>
  <c r="D164" i="414"/>
  <c r="D163" i="414"/>
  <c r="N160" i="414"/>
  <c r="M160" i="414"/>
  <c r="L160" i="414"/>
  <c r="K160" i="414"/>
  <c r="J160" i="414"/>
  <c r="I160" i="414"/>
  <c r="H160" i="414"/>
  <c r="G160" i="414"/>
  <c r="F160" i="414"/>
  <c r="E160" i="414"/>
  <c r="D160" i="414"/>
  <c r="N157" i="414"/>
  <c r="N156" i="414"/>
  <c r="M157" i="414"/>
  <c r="L157" i="414"/>
  <c r="L156" i="414" s="1"/>
  <c r="K157" i="414"/>
  <c r="J157" i="414"/>
  <c r="I157" i="414"/>
  <c r="H157" i="414"/>
  <c r="H156" i="414"/>
  <c r="G157" i="414"/>
  <c r="F157" i="414"/>
  <c r="F156" i="414"/>
  <c r="E157" i="414"/>
  <c r="D157" i="414"/>
  <c r="D156" i="414" s="1"/>
  <c r="N150" i="414"/>
  <c r="M150" i="414"/>
  <c r="L150" i="414"/>
  <c r="K150" i="414"/>
  <c r="J150" i="414"/>
  <c r="I150" i="414"/>
  <c r="H150" i="414"/>
  <c r="G150" i="414"/>
  <c r="F150" i="414"/>
  <c r="E150" i="414"/>
  <c r="D150" i="414"/>
  <c r="N149" i="414"/>
  <c r="M149" i="414"/>
  <c r="L149" i="414"/>
  <c r="K149" i="414"/>
  <c r="J149" i="414"/>
  <c r="I149" i="414"/>
  <c r="H149" i="414"/>
  <c r="G149" i="414"/>
  <c r="F149" i="414"/>
  <c r="E149" i="414"/>
  <c r="D149" i="414"/>
  <c r="N148" i="414"/>
  <c r="M148" i="414"/>
  <c r="L148" i="414"/>
  <c r="K148" i="414"/>
  <c r="K28" i="414" s="1"/>
  <c r="J148" i="414"/>
  <c r="I148" i="414"/>
  <c r="H148" i="414"/>
  <c r="G148" i="414"/>
  <c r="G28" i="414" s="1"/>
  <c r="F148" i="414"/>
  <c r="E148" i="414"/>
  <c r="D148" i="414"/>
  <c r="N147" i="414"/>
  <c r="M147" i="414"/>
  <c r="L147" i="414"/>
  <c r="K147" i="414"/>
  <c r="J147" i="414"/>
  <c r="I147" i="414"/>
  <c r="H147" i="414"/>
  <c r="G147" i="414"/>
  <c r="F147" i="414"/>
  <c r="E147" i="414"/>
  <c r="D147" i="414"/>
  <c r="N144" i="414"/>
  <c r="M144" i="414"/>
  <c r="L144" i="414"/>
  <c r="K144" i="414"/>
  <c r="J144" i="414"/>
  <c r="I144" i="414"/>
  <c r="I143" i="414" s="1"/>
  <c r="H144" i="414"/>
  <c r="G144" i="414"/>
  <c r="F144" i="414"/>
  <c r="E144" i="414"/>
  <c r="F143" i="414" s="1"/>
  <c r="D144" i="414"/>
  <c r="N141" i="414"/>
  <c r="M141" i="414"/>
  <c r="L141" i="414"/>
  <c r="K141" i="414"/>
  <c r="J141" i="414"/>
  <c r="I141" i="414"/>
  <c r="H141" i="414"/>
  <c r="G141" i="414"/>
  <c r="F141" i="414"/>
  <c r="E141" i="414"/>
  <c r="D141" i="414"/>
  <c r="N140" i="414"/>
  <c r="M140" i="414"/>
  <c r="L140" i="414"/>
  <c r="K140" i="414"/>
  <c r="J140" i="414"/>
  <c r="I140" i="414"/>
  <c r="H140" i="414"/>
  <c r="G140" i="414"/>
  <c r="F140" i="414"/>
  <c r="E140" i="414"/>
  <c r="D140" i="414"/>
  <c r="I137" i="414"/>
  <c r="H137" i="414"/>
  <c r="G137" i="414"/>
  <c r="F137" i="414"/>
  <c r="E137" i="414"/>
  <c r="D137" i="414"/>
  <c r="I135" i="414"/>
  <c r="H135" i="414"/>
  <c r="G135" i="414"/>
  <c r="F135" i="414"/>
  <c r="E135" i="414"/>
  <c r="D135" i="414"/>
  <c r="I134" i="414"/>
  <c r="H134" i="414"/>
  <c r="G134" i="414"/>
  <c r="F134" i="414"/>
  <c r="E134" i="414"/>
  <c r="D134" i="414"/>
  <c r="I133" i="414"/>
  <c r="H133" i="414"/>
  <c r="G133" i="414"/>
  <c r="F133" i="414"/>
  <c r="E133" i="414"/>
  <c r="D133" i="414"/>
  <c r="I132" i="414"/>
  <c r="H132" i="414"/>
  <c r="G132" i="414"/>
  <c r="F132" i="414"/>
  <c r="E132" i="414"/>
  <c r="D132" i="414"/>
  <c r="I131" i="414"/>
  <c r="I136" i="414"/>
  <c r="H131" i="414"/>
  <c r="H136" i="414" s="1"/>
  <c r="G131" i="414"/>
  <c r="G136" i="414"/>
  <c r="F131" i="414"/>
  <c r="F136" i="414" s="1"/>
  <c r="E131" i="414"/>
  <c r="E136" i="414"/>
  <c r="D131" i="414"/>
  <c r="D136" i="414" s="1"/>
  <c r="I128" i="414"/>
  <c r="H128" i="414"/>
  <c r="G128" i="414"/>
  <c r="F128" i="414"/>
  <c r="E128" i="414"/>
  <c r="D128" i="414"/>
  <c r="I127" i="414"/>
  <c r="H127" i="414"/>
  <c r="G127" i="414"/>
  <c r="F127" i="414"/>
  <c r="E127" i="414"/>
  <c r="D127" i="414"/>
  <c r="G125" i="414"/>
  <c r="I122" i="414"/>
  <c r="H122" i="414"/>
  <c r="G122" i="414"/>
  <c r="F122" i="414"/>
  <c r="E122" i="414"/>
  <c r="D122" i="414"/>
  <c r="I121" i="414"/>
  <c r="H121" i="414"/>
  <c r="G121" i="414"/>
  <c r="G120" i="414" s="1"/>
  <c r="F121" i="414"/>
  <c r="E121" i="414"/>
  <c r="D121" i="414"/>
  <c r="S119" i="414"/>
  <c r="S121" i="414" s="1"/>
  <c r="R119" i="414"/>
  <c r="Q119" i="414"/>
  <c r="P119" i="414"/>
  <c r="O119" i="414"/>
  <c r="O121" i="414" s="1"/>
  <c r="N119" i="414"/>
  <c r="M119" i="414"/>
  <c r="L119" i="414"/>
  <c r="K119" i="414"/>
  <c r="J119" i="414"/>
  <c r="I119" i="414"/>
  <c r="I120" i="414"/>
  <c r="H119" i="414"/>
  <c r="H120" i="414" s="1"/>
  <c r="G119" i="414"/>
  <c r="F119" i="414"/>
  <c r="F120" i="414" s="1"/>
  <c r="E119" i="414"/>
  <c r="E120" i="414"/>
  <c r="D119" i="414"/>
  <c r="D120" i="414" s="1"/>
  <c r="N116" i="414"/>
  <c r="M116" i="414"/>
  <c r="L116" i="414"/>
  <c r="K116" i="414"/>
  <c r="J116" i="414"/>
  <c r="I116" i="414"/>
  <c r="H116" i="414"/>
  <c r="G116" i="414"/>
  <c r="F116" i="414"/>
  <c r="E116" i="414"/>
  <c r="D116" i="414"/>
  <c r="N115" i="414"/>
  <c r="M115" i="414"/>
  <c r="L115" i="414"/>
  <c r="K115" i="414"/>
  <c r="J115" i="414"/>
  <c r="I115" i="414"/>
  <c r="H115" i="414"/>
  <c r="G115" i="414"/>
  <c r="F115" i="414"/>
  <c r="E115" i="414"/>
  <c r="D115" i="414"/>
  <c r="I112" i="414"/>
  <c r="H112" i="414"/>
  <c r="G112" i="414"/>
  <c r="F112" i="414"/>
  <c r="E112" i="414"/>
  <c r="D112" i="414"/>
  <c r="I111" i="414"/>
  <c r="H111" i="414"/>
  <c r="G111" i="414"/>
  <c r="F111" i="414"/>
  <c r="E111" i="414"/>
  <c r="D111" i="414"/>
  <c r="N108" i="414"/>
  <c r="M108" i="414"/>
  <c r="L108" i="414"/>
  <c r="K108" i="414"/>
  <c r="J108" i="414"/>
  <c r="I108" i="414"/>
  <c r="H108" i="414"/>
  <c r="G108" i="414"/>
  <c r="F108" i="414"/>
  <c r="F110" i="414" s="1"/>
  <c r="E108" i="414"/>
  <c r="D108" i="414"/>
  <c r="X105" i="414"/>
  <c r="W105" i="414"/>
  <c r="V105" i="414"/>
  <c r="U105" i="414"/>
  <c r="T105" i="414"/>
  <c r="S105" i="414"/>
  <c r="R105" i="414"/>
  <c r="Q105" i="414"/>
  <c r="P105" i="414"/>
  <c r="O105" i="414"/>
  <c r="N105" i="414"/>
  <c r="M105" i="414"/>
  <c r="L105" i="414"/>
  <c r="K105" i="414"/>
  <c r="J105" i="414"/>
  <c r="I105" i="414"/>
  <c r="H105" i="414"/>
  <c r="G105" i="414"/>
  <c r="F105" i="414"/>
  <c r="E105" i="414"/>
  <c r="D105" i="414"/>
  <c r="X104" i="414"/>
  <c r="X266" i="414" s="1"/>
  <c r="W104" i="414"/>
  <c r="V104" i="414"/>
  <c r="U104" i="414"/>
  <c r="T104" i="414"/>
  <c r="S104" i="414"/>
  <c r="R104" i="414"/>
  <c r="Q104" i="414"/>
  <c r="P104" i="414"/>
  <c r="O104" i="414"/>
  <c r="N104" i="414"/>
  <c r="M104" i="414"/>
  <c r="L104" i="414"/>
  <c r="K104" i="414"/>
  <c r="J104" i="414"/>
  <c r="I104" i="414"/>
  <c r="H104" i="414"/>
  <c r="G104" i="414"/>
  <c r="F104" i="414"/>
  <c r="E104" i="414"/>
  <c r="D104" i="414"/>
  <c r="E266" i="414" s="1"/>
  <c r="I103" i="414"/>
  <c r="H103" i="414"/>
  <c r="G103" i="414"/>
  <c r="F103" i="414"/>
  <c r="E103" i="414"/>
  <c r="D103" i="414"/>
  <c r="I102" i="414"/>
  <c r="H102" i="414"/>
  <c r="G102" i="414"/>
  <c r="F102" i="414"/>
  <c r="E102" i="414"/>
  <c r="D102" i="414"/>
  <c r="E268" i="414" s="1"/>
  <c r="N99" i="414"/>
  <c r="M99" i="414"/>
  <c r="L99" i="414"/>
  <c r="K99" i="414"/>
  <c r="J99" i="414"/>
  <c r="I99" i="414"/>
  <c r="H99" i="414"/>
  <c r="G99" i="414"/>
  <c r="F99" i="414"/>
  <c r="E99" i="414"/>
  <c r="D99" i="414"/>
  <c r="N98" i="414"/>
  <c r="O98" i="414" s="1"/>
  <c r="M98" i="414"/>
  <c r="L98" i="414"/>
  <c r="K98" i="414"/>
  <c r="J98" i="414"/>
  <c r="I98" i="414"/>
  <c r="H98" i="414"/>
  <c r="G98" i="414"/>
  <c r="F98" i="414"/>
  <c r="E98" i="414"/>
  <c r="D98" i="414"/>
  <c r="X95" i="414"/>
  <c r="W95" i="414"/>
  <c r="V95" i="414"/>
  <c r="U95" i="414"/>
  <c r="T95" i="414"/>
  <c r="S95" i="414"/>
  <c r="R95" i="414"/>
  <c r="Q95" i="414"/>
  <c r="P95" i="414"/>
  <c r="O95" i="414"/>
  <c r="N95" i="414"/>
  <c r="M95" i="414"/>
  <c r="L95" i="414"/>
  <c r="K95" i="414"/>
  <c r="J95" i="414"/>
  <c r="I95" i="414"/>
  <c r="H95" i="414"/>
  <c r="G95" i="414"/>
  <c r="F95" i="414"/>
  <c r="E95" i="414"/>
  <c r="D95" i="414"/>
  <c r="N94" i="414"/>
  <c r="M94" i="414"/>
  <c r="L94" i="414"/>
  <c r="K94" i="414"/>
  <c r="J94" i="414"/>
  <c r="I94" i="414"/>
  <c r="H94" i="414"/>
  <c r="G94" i="414"/>
  <c r="F94" i="414"/>
  <c r="E94" i="414"/>
  <c r="D94" i="414"/>
  <c r="N93" i="414"/>
  <c r="M93" i="414"/>
  <c r="L93" i="414"/>
  <c r="K93" i="414"/>
  <c r="J93" i="414"/>
  <c r="I93" i="414"/>
  <c r="H93" i="414"/>
  <c r="G93" i="414"/>
  <c r="F93" i="414"/>
  <c r="E93" i="414"/>
  <c r="D93" i="414"/>
  <c r="N92" i="414"/>
  <c r="M92" i="414"/>
  <c r="L92" i="414"/>
  <c r="K92" i="414"/>
  <c r="J92" i="414"/>
  <c r="I92" i="414"/>
  <c r="H92" i="414"/>
  <c r="G92" i="414"/>
  <c r="F92" i="414"/>
  <c r="E92" i="414"/>
  <c r="D92" i="414"/>
  <c r="N91" i="414"/>
  <c r="M91" i="414"/>
  <c r="L91" i="414"/>
  <c r="K91" i="414"/>
  <c r="J91" i="414"/>
  <c r="I91" i="414"/>
  <c r="H91" i="414"/>
  <c r="G91" i="414"/>
  <c r="F91" i="414"/>
  <c r="E91" i="414"/>
  <c r="D91" i="414"/>
  <c r="N90" i="414"/>
  <c r="M90" i="414"/>
  <c r="L90" i="414"/>
  <c r="K90" i="414"/>
  <c r="J90" i="414"/>
  <c r="I90" i="414"/>
  <c r="H90" i="414"/>
  <c r="G90" i="414"/>
  <c r="F90" i="414"/>
  <c r="E90" i="414"/>
  <c r="D90" i="414"/>
  <c r="I88" i="414"/>
  <c r="H88" i="414"/>
  <c r="G88" i="414"/>
  <c r="F88" i="414"/>
  <c r="E88" i="414"/>
  <c r="D88" i="414"/>
  <c r="D87" i="414" s="1"/>
  <c r="I86" i="414"/>
  <c r="H86" i="414"/>
  <c r="G86" i="414"/>
  <c r="G87" i="414" s="1"/>
  <c r="F86" i="414"/>
  <c r="E86" i="414"/>
  <c r="D86" i="414"/>
  <c r="N83" i="414"/>
  <c r="M83" i="414"/>
  <c r="L83" i="414"/>
  <c r="K83" i="414"/>
  <c r="J83" i="414"/>
  <c r="I83" i="414"/>
  <c r="H83" i="414"/>
  <c r="G83" i="414"/>
  <c r="F83" i="414"/>
  <c r="E83" i="414"/>
  <c r="D83" i="414"/>
  <c r="M84" i="414"/>
  <c r="L84" i="414"/>
  <c r="K84" i="414"/>
  <c r="J84" i="414"/>
  <c r="N81" i="414"/>
  <c r="M81" i="414"/>
  <c r="L81" i="414"/>
  <c r="K81" i="414"/>
  <c r="J81" i="414"/>
  <c r="I81" i="414"/>
  <c r="H81" i="414"/>
  <c r="G81" i="414"/>
  <c r="F81" i="414"/>
  <c r="E81" i="414"/>
  <c r="D81" i="414"/>
  <c r="N80" i="414"/>
  <c r="M80" i="414"/>
  <c r="L80" i="414"/>
  <c r="K80" i="414"/>
  <c r="J80" i="414"/>
  <c r="I80" i="414"/>
  <c r="H80" i="414"/>
  <c r="G80" i="414"/>
  <c r="F80" i="414"/>
  <c r="E80" i="414"/>
  <c r="D80" i="414"/>
  <c r="N79" i="414"/>
  <c r="M79" i="414"/>
  <c r="L79" i="414"/>
  <c r="K79" i="414"/>
  <c r="J79" i="414"/>
  <c r="I79" i="414"/>
  <c r="H79" i="414"/>
  <c r="G79" i="414"/>
  <c r="F79" i="414"/>
  <c r="E79" i="414"/>
  <c r="D79" i="414"/>
  <c r="N78" i="414"/>
  <c r="M78" i="414"/>
  <c r="L78" i="414"/>
  <c r="K78" i="414"/>
  <c r="J78" i="414"/>
  <c r="I78" i="414"/>
  <c r="H78" i="414"/>
  <c r="G78" i="414"/>
  <c r="F78" i="414"/>
  <c r="E78" i="414"/>
  <c r="D78" i="414"/>
  <c r="N77" i="414"/>
  <c r="M77" i="414"/>
  <c r="L77" i="414"/>
  <c r="K77" i="414"/>
  <c r="J77" i="414"/>
  <c r="I77" i="414"/>
  <c r="H77" i="414"/>
  <c r="G77" i="414"/>
  <c r="F77" i="414"/>
  <c r="E77" i="414"/>
  <c r="D77" i="414"/>
  <c r="N76" i="414"/>
  <c r="M76" i="414"/>
  <c r="L76" i="414"/>
  <c r="K76" i="414"/>
  <c r="J76" i="414"/>
  <c r="I76" i="414"/>
  <c r="H76" i="414"/>
  <c r="G76" i="414"/>
  <c r="F76" i="414"/>
  <c r="E76" i="414"/>
  <c r="D76" i="414"/>
  <c r="N75" i="414"/>
  <c r="M75" i="414"/>
  <c r="L75" i="414"/>
  <c r="K75" i="414"/>
  <c r="L259" i="414" s="1"/>
  <c r="J75" i="414"/>
  <c r="I75" i="414"/>
  <c r="H75" i="414"/>
  <c r="G75" i="414"/>
  <c r="F75" i="414"/>
  <c r="E75" i="414"/>
  <c r="D75" i="414"/>
  <c r="N71" i="414"/>
  <c r="M71" i="414"/>
  <c r="L71" i="414"/>
  <c r="K71" i="414"/>
  <c r="J71" i="414"/>
  <c r="I71" i="414"/>
  <c r="H71" i="414"/>
  <c r="G71" i="414"/>
  <c r="F71" i="414"/>
  <c r="E71" i="414"/>
  <c r="D71" i="414"/>
  <c r="N70" i="414"/>
  <c r="M70" i="414"/>
  <c r="L70" i="414"/>
  <c r="L72" i="414" s="1"/>
  <c r="K70" i="414"/>
  <c r="K72" i="414" s="1"/>
  <c r="J70" i="414"/>
  <c r="I70" i="414"/>
  <c r="I69" i="414" s="1"/>
  <c r="H70" i="414"/>
  <c r="G70" i="414"/>
  <c r="F70" i="414"/>
  <c r="E70" i="414"/>
  <c r="E72" i="414" s="1"/>
  <c r="D70" i="414"/>
  <c r="D72" i="414" s="1"/>
  <c r="K68" i="414"/>
  <c r="G68" i="414"/>
  <c r="L67" i="414"/>
  <c r="H67" i="414"/>
  <c r="L57" i="414"/>
  <c r="H57" i="414"/>
  <c r="F57" i="414"/>
  <c r="D57" i="414"/>
  <c r="N54" i="414"/>
  <c r="M54" i="414"/>
  <c r="M17" i="414" s="1"/>
  <c r="L54" i="414"/>
  <c r="K54" i="414"/>
  <c r="K17" i="414" s="1"/>
  <c r="J54" i="414"/>
  <c r="J17" i="414" s="1"/>
  <c r="J18" i="414" s="1"/>
  <c r="I54" i="414"/>
  <c r="I17" i="414"/>
  <c r="H54" i="414"/>
  <c r="H17" i="414" s="1"/>
  <c r="H18" i="414" s="1"/>
  <c r="G54" i="414"/>
  <c r="G17" i="414"/>
  <c r="F54" i="414"/>
  <c r="F17" i="414" s="1"/>
  <c r="F18" i="414" s="1"/>
  <c r="E54" i="414"/>
  <c r="E17" i="414"/>
  <c r="D54" i="414"/>
  <c r="D17" i="414" s="1"/>
  <c r="D18" i="414" s="1"/>
  <c r="N51" i="414"/>
  <c r="M51" i="414"/>
  <c r="L51" i="414"/>
  <c r="K51" i="414"/>
  <c r="J51" i="414"/>
  <c r="I51" i="414"/>
  <c r="N50" i="414"/>
  <c r="O50" i="414" s="1"/>
  <c r="O115" i="414" s="1"/>
  <c r="M50" i="414"/>
  <c r="L50" i="414"/>
  <c r="L47" i="414" s="1"/>
  <c r="K50" i="414"/>
  <c r="J50" i="414"/>
  <c r="I50" i="414"/>
  <c r="N49" i="414"/>
  <c r="M49" i="414"/>
  <c r="L49" i="414"/>
  <c r="L46" i="414" s="1"/>
  <c r="K49" i="414"/>
  <c r="J49" i="414"/>
  <c r="I49" i="414"/>
  <c r="H49" i="414"/>
  <c r="H46" i="414" s="1"/>
  <c r="G49" i="414"/>
  <c r="F49" i="414"/>
  <c r="F46" i="414"/>
  <c r="E49" i="414"/>
  <c r="D49" i="414"/>
  <c r="D46" i="414"/>
  <c r="N48" i="414"/>
  <c r="M48" i="414"/>
  <c r="L48" i="414"/>
  <c r="L52" i="414" s="1"/>
  <c r="L8" i="414" s="1"/>
  <c r="L9" i="414" s="1"/>
  <c r="K48" i="414"/>
  <c r="K52" i="414" s="1"/>
  <c r="K8" i="414" s="1"/>
  <c r="K9" i="414" s="1"/>
  <c r="J48" i="414"/>
  <c r="I48" i="414"/>
  <c r="H48" i="414"/>
  <c r="G48" i="414"/>
  <c r="F48" i="414"/>
  <c r="E48" i="414"/>
  <c r="D48" i="414"/>
  <c r="D45" i="414"/>
  <c r="M34" i="414"/>
  <c r="I34" i="414"/>
  <c r="E34" i="414"/>
  <c r="J29" i="414"/>
  <c r="N23" i="414"/>
  <c r="M23" i="414"/>
  <c r="L23" i="414"/>
  <c r="K23" i="414"/>
  <c r="J23" i="414"/>
  <c r="I23" i="414"/>
  <c r="H23" i="414"/>
  <c r="G23" i="414"/>
  <c r="N14" i="414"/>
  <c r="M14" i="414"/>
  <c r="L14" i="414"/>
  <c r="K14" i="414"/>
  <c r="J14" i="414"/>
  <c r="I14" i="414"/>
  <c r="H14" i="414"/>
  <c r="G14" i="414"/>
  <c r="F14" i="414"/>
  <c r="E14" i="414"/>
  <c r="D14" i="414"/>
  <c r="N12" i="414"/>
  <c r="M12" i="414"/>
  <c r="L12" i="414"/>
  <c r="K12" i="414"/>
  <c r="J12" i="414"/>
  <c r="I12" i="414"/>
  <c r="H12" i="414"/>
  <c r="G12" i="414"/>
  <c r="F12" i="414"/>
  <c r="E12" i="414"/>
  <c r="D12" i="414"/>
  <c r="X4" i="414"/>
  <c r="W4" i="414"/>
  <c r="V4" i="414"/>
  <c r="U4" i="414"/>
  <c r="T4" i="414"/>
  <c r="S4" i="414"/>
  <c r="R4" i="414"/>
  <c r="Q4" i="414"/>
  <c r="P4" i="414"/>
  <c r="P282" i="414"/>
  <c r="O4" i="414"/>
  <c r="O282" i="414" s="1"/>
  <c r="N4" i="414"/>
  <c r="N282" i="414"/>
  <c r="M4" i="414"/>
  <c r="M282" i="414" s="1"/>
  <c r="L4" i="414"/>
  <c r="L282" i="414"/>
  <c r="K4" i="414"/>
  <c r="K282" i="414" s="1"/>
  <c r="J4" i="414"/>
  <c r="J282" i="414"/>
  <c r="I4" i="414"/>
  <c r="I282" i="414" s="1"/>
  <c r="H4" i="414"/>
  <c r="H282" i="414"/>
  <c r="G4" i="414"/>
  <c r="G282" i="414" s="1"/>
  <c r="F4" i="414"/>
  <c r="F282" i="414"/>
  <c r="E4" i="414"/>
  <c r="E282" i="414" s="1"/>
  <c r="D4" i="414"/>
  <c r="D282" i="414"/>
  <c r="C1" i="414"/>
  <c r="E197" i="414"/>
  <c r="E248" i="414"/>
  <c r="I248" i="414"/>
  <c r="D109" i="414"/>
  <c r="F29" i="414"/>
  <c r="N29" i="414"/>
  <c r="L154" i="414"/>
  <c r="E46" i="414"/>
  <c r="G46" i="414"/>
  <c r="I46" i="414"/>
  <c r="N67" i="414"/>
  <c r="L153" i="414"/>
  <c r="L155" i="414"/>
  <c r="F109" i="414"/>
  <c r="H109" i="414"/>
  <c r="D29" i="414"/>
  <c r="H29" i="414"/>
  <c r="L29" i="414"/>
  <c r="F153" i="414"/>
  <c r="F154" i="414"/>
  <c r="F155" i="414"/>
  <c r="G158" i="414"/>
  <c r="K158" i="414"/>
  <c r="M137" i="414"/>
  <c r="D153" i="414"/>
  <c r="H153" i="414"/>
  <c r="D154" i="414"/>
  <c r="H154" i="414"/>
  <c r="D155" i="414"/>
  <c r="H155" i="414"/>
  <c r="M158" i="414"/>
  <c r="N153" i="414"/>
  <c r="N154" i="414"/>
  <c r="N155" i="414"/>
  <c r="D28" i="414"/>
  <c r="F72" i="414"/>
  <c r="H72" i="414"/>
  <c r="J72" i="414"/>
  <c r="N72" i="414"/>
  <c r="L45" i="414"/>
  <c r="M46" i="414"/>
  <c r="H45" i="414"/>
  <c r="F197" i="414"/>
  <c r="D204" i="414"/>
  <c r="F204" i="414"/>
  <c r="H204" i="414"/>
  <c r="J204" i="414"/>
  <c r="L204" i="414"/>
  <c r="N204" i="414"/>
  <c r="E216" i="414"/>
  <c r="D218" i="414"/>
  <c r="L218" i="414"/>
  <c r="L219" i="414" s="1"/>
  <c r="E28" i="414"/>
  <c r="J34" i="414"/>
  <c r="N34" i="414"/>
  <c r="N47" i="414"/>
  <c r="E143" i="414"/>
  <c r="G143" i="414"/>
  <c r="G153" i="414"/>
  <c r="I153" i="414"/>
  <c r="K153" i="414"/>
  <c r="G197" i="414"/>
  <c r="E29" i="414"/>
  <c r="I29" i="414"/>
  <c r="K29" i="414"/>
  <c r="M29" i="414"/>
  <c r="D228" i="414"/>
  <c r="H228" i="414"/>
  <c r="J228" i="414"/>
  <c r="L228" i="414"/>
  <c r="N228" i="414"/>
  <c r="E231" i="414"/>
  <c r="G231" i="414"/>
  <c r="G37" i="414"/>
  <c r="I231" i="414"/>
  <c r="K231" i="414"/>
  <c r="K37" i="414"/>
  <c r="M231" i="414"/>
  <c r="M37" i="414" s="1"/>
  <c r="F28" i="414"/>
  <c r="E45" i="414"/>
  <c r="G45" i="414"/>
  <c r="I45" i="414"/>
  <c r="M45" i="414"/>
  <c r="I47" i="414"/>
  <c r="M47" i="414"/>
  <c r="H69" i="414"/>
  <c r="L69" i="414"/>
  <c r="N68" i="414"/>
  <c r="N109" i="414"/>
  <c r="G126" i="414"/>
  <c r="D143" i="414"/>
  <c r="D11" i="414"/>
  <c r="D10" i="414" s="1"/>
  <c r="H143" i="414"/>
  <c r="E155" i="414"/>
  <c r="G155" i="414"/>
  <c r="I155" i="414"/>
  <c r="K155" i="414"/>
  <c r="M155" i="414"/>
  <c r="E109" i="414"/>
  <c r="E110" i="414"/>
  <c r="G109" i="414"/>
  <c r="I109" i="414"/>
  <c r="I110" i="414"/>
  <c r="K109" i="414"/>
  <c r="E204" i="414"/>
  <c r="G204" i="414"/>
  <c r="K204" i="414"/>
  <c r="M204" i="414"/>
  <c r="D216" i="414"/>
  <c r="D217" i="414"/>
  <c r="D219" i="414"/>
  <c r="D222" i="414"/>
  <c r="F216" i="414"/>
  <c r="H216" i="414"/>
  <c r="H217" i="414"/>
  <c r="J216" i="414"/>
  <c r="L216" i="414"/>
  <c r="L217" i="414"/>
  <c r="N216" i="414"/>
  <c r="E218" i="414"/>
  <c r="G218" i="414"/>
  <c r="I218" i="414"/>
  <c r="K218" i="414"/>
  <c r="K219" i="414" s="1"/>
  <c r="E228" i="414"/>
  <c r="I228" i="414"/>
  <c r="D231" i="414"/>
  <c r="D37" i="414"/>
  <c r="J231" i="414"/>
  <c r="J37" i="414" s="1"/>
  <c r="L231" i="414"/>
  <c r="L37" i="414"/>
  <c r="G236" i="414"/>
  <c r="K236" i="414"/>
  <c r="H238" i="414"/>
  <c r="J238" i="414"/>
  <c r="E240" i="414"/>
  <c r="E272" i="414"/>
  <c r="I240" i="414"/>
  <c r="I272" i="414"/>
  <c r="M240" i="414"/>
  <c r="G243" i="414"/>
  <c r="G276" i="414"/>
  <c r="D248" i="414"/>
  <c r="F245" i="414"/>
  <c r="H245" i="414"/>
  <c r="N245" i="414"/>
  <c r="M328" i="414"/>
  <c r="H11" i="414"/>
  <c r="H10" i="414"/>
  <c r="E69" i="414"/>
  <c r="G69" i="414"/>
  <c r="G72" i="414"/>
  <c r="I72" i="414"/>
  <c r="F266" i="414"/>
  <c r="J266" i="414"/>
  <c r="N266" i="414"/>
  <c r="R266" i="414"/>
  <c r="V266" i="414"/>
  <c r="D110" i="414"/>
  <c r="H110" i="414"/>
  <c r="G154" i="414"/>
  <c r="I154" i="414"/>
  <c r="K154" i="414"/>
  <c r="G156" i="414"/>
  <c r="I156" i="414"/>
  <c r="K156" i="414"/>
  <c r="D159" i="414"/>
  <c r="F159" i="414"/>
  <c r="H159" i="414"/>
  <c r="L159" i="414"/>
  <c r="N159" i="414"/>
  <c r="D170" i="414"/>
  <c r="E163" i="414"/>
  <c r="E170" i="414"/>
  <c r="F163" i="414" s="1"/>
  <c r="F170" i="414" s="1"/>
  <c r="G163" i="414" s="1"/>
  <c r="G170" i="414" s="1"/>
  <c r="H163" i="414" s="1"/>
  <c r="H170" i="414" s="1"/>
  <c r="I163" i="414" s="1"/>
  <c r="I170" i="414" s="1"/>
  <c r="J163" i="414" s="1"/>
  <c r="J170" i="414" s="1"/>
  <c r="K163" i="414" s="1"/>
  <c r="K170" i="414" s="1"/>
  <c r="L163" i="414" s="1"/>
  <c r="L170" i="414" s="1"/>
  <c r="M163" i="414" s="1"/>
  <c r="M170" i="414" s="1"/>
  <c r="N163" i="414" s="1"/>
  <c r="N170" i="414" s="1"/>
  <c r="O163" i="414" s="1"/>
  <c r="O170" i="414" s="1"/>
  <c r="E183" i="414"/>
  <c r="E190" i="414" s="1"/>
  <c r="I216" i="414"/>
  <c r="M216" i="414"/>
  <c r="H236" i="414"/>
  <c r="E238" i="414"/>
  <c r="I238" i="414"/>
  <c r="F240" i="414"/>
  <c r="F277" i="414"/>
  <c r="J240" i="414"/>
  <c r="J277" i="414"/>
  <c r="H243" i="414"/>
  <c r="H276" i="414"/>
  <c r="L236" i="414"/>
  <c r="M238" i="414"/>
  <c r="N240" i="414"/>
  <c r="L243" i="414"/>
  <c r="L276" i="414"/>
  <c r="M248" i="414"/>
  <c r="L328" i="414"/>
  <c r="G279" i="414"/>
  <c r="I52" i="414"/>
  <c r="M52" i="414"/>
  <c r="R252" i="414"/>
  <c r="Q225" i="414"/>
  <c r="U197" i="414"/>
  <c r="Q197" i="414"/>
  <c r="N195" i="414"/>
  <c r="L193" i="414"/>
  <c r="S252" i="414"/>
  <c r="T225" i="414"/>
  <c r="R197" i="414"/>
  <c r="J197" i="414"/>
  <c r="K193" i="414"/>
  <c r="M135" i="414"/>
  <c r="K133" i="414"/>
  <c r="L132" i="414"/>
  <c r="N128" i="414"/>
  <c r="L122" i="414"/>
  <c r="K121" i="414"/>
  <c r="K120" i="414" s="1"/>
  <c r="J112" i="414"/>
  <c r="K103" i="414"/>
  <c r="M88" i="414"/>
  <c r="O143" i="414"/>
  <c r="S143" i="414"/>
  <c r="W143" i="414"/>
  <c r="N135" i="414"/>
  <c r="O135" i="414" s="1"/>
  <c r="P135" i="414" s="1"/>
  <c r="Q135" i="414" s="1"/>
  <c r="R135" i="414" s="1"/>
  <c r="S135" i="414" s="1"/>
  <c r="T135" i="414" s="1"/>
  <c r="U135" i="414" s="1"/>
  <c r="V135" i="414" s="1"/>
  <c r="W135" i="414" s="1"/>
  <c r="X135" i="414" s="1"/>
  <c r="J135" i="414"/>
  <c r="M132" i="414"/>
  <c r="J131" i="414"/>
  <c r="K122" i="414"/>
  <c r="L111" i="414"/>
  <c r="L110" i="414" s="1"/>
  <c r="J103" i="414"/>
  <c r="L88" i="414"/>
  <c r="L11" i="414" s="1"/>
  <c r="L10" i="414" s="1"/>
  <c r="J86" i="414"/>
  <c r="E259" i="414"/>
  <c r="I259" i="414"/>
  <c r="K259" i="414"/>
  <c r="M259" i="414"/>
  <c r="E269" i="414"/>
  <c r="G269" i="414"/>
  <c r="F274" i="414"/>
  <c r="H274" i="414"/>
  <c r="F272" i="414"/>
  <c r="D58" i="414"/>
  <c r="D59" i="414"/>
  <c r="F58" i="414"/>
  <c r="F59" i="414"/>
  <c r="H58" i="414"/>
  <c r="H59" i="414"/>
  <c r="E59" i="414"/>
  <c r="E64" i="414" s="1"/>
  <c r="N84" i="414"/>
  <c r="G266" i="414"/>
  <c r="K266" i="414"/>
  <c r="O266" i="414"/>
  <c r="S266" i="414"/>
  <c r="W266" i="414"/>
  <c r="D158" i="414"/>
  <c r="F158" i="414"/>
  <c r="H158" i="414"/>
  <c r="L158" i="414"/>
  <c r="N158" i="414"/>
  <c r="G159" i="414"/>
  <c r="K159" i="414"/>
  <c r="G217" i="414"/>
  <c r="I219" i="414"/>
  <c r="I222" i="414"/>
  <c r="K217" i="414"/>
  <c r="F259" i="414"/>
  <c r="J259" i="414"/>
  <c r="N259" i="414"/>
  <c r="F269" i="414"/>
  <c r="E274" i="414"/>
  <c r="I274" i="414"/>
  <c r="E277" i="414"/>
  <c r="E267" i="414"/>
  <c r="E257" i="414"/>
  <c r="I277" i="414"/>
  <c r="I267" i="414"/>
  <c r="I257" i="414"/>
  <c r="F87" i="414"/>
  <c r="O198" i="414"/>
  <c r="P198" i="414" s="1"/>
  <c r="Q198" i="414" s="1"/>
  <c r="R198" i="414" s="1"/>
  <c r="S198" i="414" s="1"/>
  <c r="T198" i="414" s="1"/>
  <c r="U198" i="414" s="1"/>
  <c r="V198" i="414" s="1"/>
  <c r="W198" i="414" s="1"/>
  <c r="X198" i="414" s="1"/>
  <c r="F217" i="414"/>
  <c r="J217" i="414"/>
  <c r="N217" i="414"/>
  <c r="N231" i="414"/>
  <c r="E245" i="414"/>
  <c r="G245" i="414"/>
  <c r="I245" i="414"/>
  <c r="M245" i="414"/>
  <c r="D246" i="414"/>
  <c r="H246" i="414"/>
  <c r="L246" i="414"/>
  <c r="H248" i="414"/>
  <c r="H249" i="414"/>
  <c r="J325" i="414"/>
  <c r="J339" i="414"/>
  <c r="J307" i="414"/>
  <c r="O209" i="414"/>
  <c r="P218" i="414"/>
  <c r="Q218" i="414" s="1"/>
  <c r="G246" i="414"/>
  <c r="C31" i="340"/>
  <c r="B31" i="340"/>
  <c r="S194" i="419" s="1"/>
  <c r="E249" i="414"/>
  <c r="I262" i="414"/>
  <c r="E262" i="414"/>
  <c r="G219" i="414"/>
  <c r="G222" i="414" s="1"/>
  <c r="F262" i="414"/>
  <c r="D176" i="414"/>
  <c r="D179" i="414" s="1"/>
  <c r="D33" i="414"/>
  <c r="N69" i="414"/>
  <c r="D206" i="414"/>
  <c r="D38" i="414"/>
  <c r="G20" i="414"/>
  <c r="G19" i="414"/>
  <c r="E219" i="414"/>
  <c r="E222" i="414"/>
  <c r="F257" i="414"/>
  <c r="F267" i="414"/>
  <c r="F268" i="414"/>
  <c r="I20" i="414"/>
  <c r="I19" i="414" s="1"/>
  <c r="I21" i="414" s="1"/>
  <c r="F11" i="414"/>
  <c r="F10" i="414" s="1"/>
  <c r="H28" i="414"/>
  <c r="M277" i="414"/>
  <c r="J272" i="414"/>
  <c r="E18" i="414"/>
  <c r="H64" i="414"/>
  <c r="D64" i="414"/>
  <c r="G18" i="414"/>
  <c r="F64" i="414"/>
  <c r="M18" i="414"/>
  <c r="K18" i="414"/>
  <c r="J262" i="414"/>
  <c r="N257" i="414"/>
  <c r="J257" i="414"/>
  <c r="J267" i="414"/>
  <c r="I28" i="414"/>
  <c r="Q121" i="414"/>
  <c r="D20" i="414"/>
  <c r="D19" i="414" s="1"/>
  <c r="D21" i="414" s="1"/>
  <c r="F20" i="414"/>
  <c r="F19" i="414"/>
  <c r="F21" i="414" s="1"/>
  <c r="G11" i="414"/>
  <c r="G10" i="414"/>
  <c r="F31" i="414"/>
  <c r="F42" i="414" s="1"/>
  <c r="D22" i="414"/>
  <c r="D24" i="414" s="1"/>
  <c r="D223" i="414"/>
  <c r="D30" i="414"/>
  <c r="D31" i="414"/>
  <c r="D42" i="414" s="1"/>
  <c r="D35" i="414"/>
  <c r="D43" i="414"/>
  <c r="I223" i="414"/>
  <c r="I30" i="414" s="1"/>
  <c r="I31" i="414"/>
  <c r="I42" i="414"/>
  <c r="I35" i="414"/>
  <c r="E35" i="414"/>
  <c r="D44" i="414"/>
  <c r="L28" i="414"/>
  <c r="I53" i="414"/>
  <c r="I8" i="414"/>
  <c r="J136" i="414"/>
  <c r="R121" i="414"/>
  <c r="N37" i="414"/>
  <c r="P209" i="414"/>
  <c r="P216" i="414" s="1"/>
  <c r="G223" i="414"/>
  <c r="G30" i="414" s="1"/>
  <c r="G35" i="414"/>
  <c r="M28" i="414"/>
  <c r="J28" i="414"/>
  <c r="N28" i="414"/>
  <c r="I249" i="414"/>
  <c r="N219" i="414"/>
  <c r="P121" i="414"/>
  <c r="C30" i="340"/>
  <c r="O141" i="420" s="1"/>
  <c r="P141" i="420" s="1"/>
  <c r="Q141" i="420" s="1"/>
  <c r="R141" i="420" s="1"/>
  <c r="S141" i="420" s="1"/>
  <c r="T141" i="420" s="1"/>
  <c r="U141" i="420" s="1"/>
  <c r="V141" i="420" s="1"/>
  <c r="W141" i="420" s="1"/>
  <c r="X141" i="420" s="1"/>
  <c r="B30" i="340"/>
  <c r="K223" i="414"/>
  <c r="K30" i="414" s="1"/>
  <c r="E223" i="414"/>
  <c r="E30" i="414"/>
  <c r="E31" i="414"/>
  <c r="E42" i="414"/>
  <c r="G25" i="414"/>
  <c r="M31" i="414"/>
  <c r="M42" i="414"/>
  <c r="L31" i="414"/>
  <c r="L42" i="414"/>
  <c r="E33" i="414"/>
  <c r="E36" i="414" s="1"/>
  <c r="E43" i="414"/>
  <c r="E206" i="414"/>
  <c r="J31" i="414"/>
  <c r="N31" i="414"/>
  <c r="G33" i="414"/>
  <c r="G36" i="414" s="1"/>
  <c r="G43" i="414" s="1"/>
  <c r="G206" i="414"/>
  <c r="G38" i="414"/>
  <c r="G44" i="414" s="1"/>
  <c r="N42" i="414"/>
  <c r="O216" i="414"/>
  <c r="O219" i="414"/>
  <c r="O35" i="414" s="1"/>
  <c r="H33" i="414"/>
  <c r="H206" i="414"/>
  <c r="P219" i="414"/>
  <c r="P35" i="414" s="1"/>
  <c r="I33" i="414"/>
  <c r="I36" i="414" s="1"/>
  <c r="I43" i="414" s="1"/>
  <c r="I206" i="414"/>
  <c r="I211" i="414"/>
  <c r="I57" i="414" s="1"/>
  <c r="I59" i="414" s="1"/>
  <c r="I84" i="414"/>
  <c r="J261" i="414" s="1"/>
  <c r="J263" i="414" s="1"/>
  <c r="H84" i="414"/>
  <c r="G84" i="414"/>
  <c r="F84" i="414"/>
  <c r="E84" i="414"/>
  <c r="F261" i="414" s="1"/>
  <c r="D84" i="414"/>
  <c r="H51" i="414"/>
  <c r="G51" i="414"/>
  <c r="F51" i="414"/>
  <c r="E51" i="414"/>
  <c r="D51" i="414"/>
  <c r="H50" i="414"/>
  <c r="G50" i="414"/>
  <c r="G47" i="414" s="1"/>
  <c r="F50" i="414"/>
  <c r="E50" i="414"/>
  <c r="D50" i="414"/>
  <c r="F23" i="414"/>
  <c r="E23" i="414"/>
  <c r="D23" i="414"/>
  <c r="D41" i="414"/>
  <c r="D47" i="414"/>
  <c r="D52" i="414"/>
  <c r="D8" i="414" s="1"/>
  <c r="F47" i="414"/>
  <c r="H47" i="414"/>
  <c r="H52" i="414"/>
  <c r="D85" i="414"/>
  <c r="F85" i="414"/>
  <c r="E47" i="414"/>
  <c r="E52" i="414"/>
  <c r="G52" i="414"/>
  <c r="E85" i="414"/>
  <c r="I85" i="414"/>
  <c r="H221" i="414"/>
  <c r="I58" i="414"/>
  <c r="P235" i="414"/>
  <c r="J206" i="414"/>
  <c r="I18" i="414"/>
  <c r="I64" i="414"/>
  <c r="I9" i="414"/>
  <c r="H31" i="414"/>
  <c r="H42" i="414" s="1"/>
  <c r="G53" i="414"/>
  <c r="G8" i="414"/>
  <c r="G9" i="414"/>
  <c r="G13" i="414" s="1"/>
  <c r="E8" i="414"/>
  <c r="E9" i="414" s="1"/>
  <c r="E53" i="414"/>
  <c r="D9" i="414"/>
  <c r="D13" i="414" s="1"/>
  <c r="K33" i="414"/>
  <c r="K36" i="414"/>
  <c r="K43" i="414" s="1"/>
  <c r="K206" i="414"/>
  <c r="K38" i="414"/>
  <c r="D15" i="414"/>
  <c r="D40" i="414" s="1"/>
  <c r="D5" i="414"/>
  <c r="G15" i="414"/>
  <c r="G40" i="414"/>
  <c r="G5" i="414"/>
  <c r="O49" i="414"/>
  <c r="K44" i="414"/>
  <c r="K5" i="414"/>
  <c r="L33" i="414"/>
  <c r="L36" i="414" s="1"/>
  <c r="L43" i="414" s="1"/>
  <c r="L206" i="414"/>
  <c r="L38" i="414"/>
  <c r="M73" i="389"/>
  <c r="P49" i="414"/>
  <c r="P50" i="414"/>
  <c r="Q50" i="414" s="1"/>
  <c r="R50" i="414" s="1"/>
  <c r="S50" i="414" s="1"/>
  <c r="T50" i="414" s="1"/>
  <c r="U50" i="414" s="1"/>
  <c r="V50" i="414" s="1"/>
  <c r="W50" i="414" s="1"/>
  <c r="X50" i="414" s="1"/>
  <c r="M33" i="414"/>
  <c r="M36" i="414"/>
  <c r="M43" i="414" s="1"/>
  <c r="M206" i="414"/>
  <c r="M38" i="414"/>
  <c r="P115" i="414"/>
  <c r="Q115" i="414" s="1"/>
  <c r="R115" i="414" s="1"/>
  <c r="P223" i="414"/>
  <c r="P30" i="414" s="1"/>
  <c r="O223" i="414"/>
  <c r="O30" i="414" s="1"/>
  <c r="M44" i="414"/>
  <c r="M5" i="414"/>
  <c r="N33" i="414"/>
  <c r="N36" i="414" s="1"/>
  <c r="N43" i="414"/>
  <c r="N206" i="414"/>
  <c r="N38" i="414"/>
  <c r="N44" i="414" s="1"/>
  <c r="N5" i="414"/>
  <c r="O242" i="414"/>
  <c r="O243" i="414"/>
  <c r="O276" i="414" s="1"/>
  <c r="O244" i="414"/>
  <c r="O246" i="414" s="1"/>
  <c r="P242" i="414"/>
  <c r="P243" i="414"/>
  <c r="P276" i="414" s="1"/>
  <c r="P244" i="414"/>
  <c r="P246" i="414"/>
  <c r="P252" i="414"/>
  <c r="O245" i="414"/>
  <c r="O252" i="414"/>
  <c r="Q242" i="414"/>
  <c r="Q243" i="414" s="1"/>
  <c r="Q276" i="414" s="1"/>
  <c r="R244" i="414"/>
  <c r="Q244" i="414"/>
  <c r="Q245" i="414" s="1"/>
  <c r="O48" i="414"/>
  <c r="O52" i="414" s="1"/>
  <c r="O54" i="414" s="1"/>
  <c r="O17" i="414" s="1"/>
  <c r="O18" i="414" s="1"/>
  <c r="R242" i="414"/>
  <c r="R243" i="414"/>
  <c r="R276" i="414" s="1"/>
  <c r="S244" i="414"/>
  <c r="P48" i="414"/>
  <c r="R245" i="414"/>
  <c r="O91" i="414"/>
  <c r="O92" i="414"/>
  <c r="Q246" i="414"/>
  <c r="Q235" i="414"/>
  <c r="S242" i="414"/>
  <c r="T244" i="414"/>
  <c r="R235" i="414"/>
  <c r="Q236" i="414"/>
  <c r="O93" i="414"/>
  <c r="P91" i="414"/>
  <c r="P92" i="414"/>
  <c r="P93" i="414"/>
  <c r="Q48" i="414"/>
  <c r="Q52" i="414" s="1"/>
  <c r="P52" i="414"/>
  <c r="P54" i="414" s="1"/>
  <c r="P17" i="414" s="1"/>
  <c r="P18" i="414" s="1"/>
  <c r="T242" i="414"/>
  <c r="T245" i="414"/>
  <c r="U244" i="414"/>
  <c r="Q91" i="414"/>
  <c r="Q92" i="414"/>
  <c r="Q49" i="414"/>
  <c r="S235" i="414"/>
  <c r="R236" i="414"/>
  <c r="R48" i="414"/>
  <c r="T246" i="414"/>
  <c r="U242" i="414"/>
  <c r="U245" i="414"/>
  <c r="V244" i="414"/>
  <c r="V245" i="414" s="1"/>
  <c r="T235" i="414"/>
  <c r="S236" i="414"/>
  <c r="R49" i="414"/>
  <c r="R91" i="414"/>
  <c r="R92" i="414"/>
  <c r="S48" i="414"/>
  <c r="S52" i="414" s="1"/>
  <c r="S8" i="414" s="1"/>
  <c r="S9" i="414" s="1"/>
  <c r="Q93" i="414"/>
  <c r="V242" i="414"/>
  <c r="W244" i="414"/>
  <c r="S91" i="414"/>
  <c r="T91" i="414"/>
  <c r="U91" i="414"/>
  <c r="R93" i="414"/>
  <c r="U235" i="414"/>
  <c r="T236" i="414"/>
  <c r="V246" i="414"/>
  <c r="S49" i="414"/>
  <c r="R52" i="414"/>
  <c r="R54" i="414" s="1"/>
  <c r="R17" i="414" s="1"/>
  <c r="R18" i="414" s="1"/>
  <c r="W242" i="414"/>
  <c r="W243" i="414" s="1"/>
  <c r="W276" i="414"/>
  <c r="X244" i="414"/>
  <c r="S115" i="414"/>
  <c r="T115" i="414" s="1"/>
  <c r="S92" i="414"/>
  <c r="T92" i="414"/>
  <c r="U92" i="414"/>
  <c r="R8" i="414"/>
  <c r="T49" i="414"/>
  <c r="V91" i="414"/>
  <c r="T48" i="414"/>
  <c r="T52" i="414" s="1"/>
  <c r="T8" i="414" s="1"/>
  <c r="V235" i="414"/>
  <c r="W246" i="414"/>
  <c r="X242" i="414"/>
  <c r="X243" i="414"/>
  <c r="X276" i="414" s="1"/>
  <c r="S93" i="414"/>
  <c r="T93" i="414"/>
  <c r="U93" i="414"/>
  <c r="V92" i="414"/>
  <c r="W91" i="414"/>
  <c r="X91" i="414"/>
  <c r="W235" i="414"/>
  <c r="R9" i="414"/>
  <c r="U48" i="414"/>
  <c r="U52" i="414" s="1"/>
  <c r="U49" i="414"/>
  <c r="X246" i="414"/>
  <c r="W92" i="414"/>
  <c r="X92" i="414"/>
  <c r="V93" i="414"/>
  <c r="U115" i="414"/>
  <c r="V115" i="414" s="1"/>
  <c r="W115" i="414" s="1"/>
  <c r="X115" i="414" s="1"/>
  <c r="V49" i="414"/>
  <c r="V48" i="414"/>
  <c r="V52" i="414" s="1"/>
  <c r="X235" i="414"/>
  <c r="X236" i="414" s="1"/>
  <c r="T54" i="414"/>
  <c r="T17" i="414" s="1"/>
  <c r="T18" i="414" s="1"/>
  <c r="BF223" i="406"/>
  <c r="BE223" i="406"/>
  <c r="BD223" i="406"/>
  <c r="BC223" i="406"/>
  <c r="BB223" i="406"/>
  <c r="BA223" i="406"/>
  <c r="AZ223" i="406"/>
  <c r="AY223" i="406"/>
  <c r="AX223" i="406"/>
  <c r="AW223" i="406"/>
  <c r="AV223" i="406"/>
  <c r="AU223" i="406"/>
  <c r="AT223" i="406"/>
  <c r="AS223" i="406"/>
  <c r="AR223" i="406"/>
  <c r="AQ223" i="406"/>
  <c r="AP223" i="406"/>
  <c r="AO223" i="406"/>
  <c r="AN223" i="406"/>
  <c r="AM223" i="406"/>
  <c r="AL223" i="406"/>
  <c r="AK223" i="406"/>
  <c r="AJ223" i="406"/>
  <c r="AI223" i="406"/>
  <c r="AH223" i="406"/>
  <c r="AG223" i="406"/>
  <c r="AF223" i="406"/>
  <c r="AE223" i="406"/>
  <c r="AD223" i="406"/>
  <c r="AC223" i="406"/>
  <c r="AB223" i="406"/>
  <c r="AA223" i="406"/>
  <c r="Z223" i="406"/>
  <c r="Y223" i="406"/>
  <c r="X223" i="406"/>
  <c r="W223" i="406"/>
  <c r="V223" i="406"/>
  <c r="U223" i="406"/>
  <c r="T223" i="406"/>
  <c r="S223" i="406"/>
  <c r="R223" i="406"/>
  <c r="Q223" i="406"/>
  <c r="P223" i="406"/>
  <c r="O223" i="406"/>
  <c r="N223" i="406"/>
  <c r="M223" i="406"/>
  <c r="L223" i="406"/>
  <c r="K223" i="406"/>
  <c r="J223" i="406"/>
  <c r="I223" i="406"/>
  <c r="H223" i="406"/>
  <c r="G223" i="406"/>
  <c r="F223" i="406"/>
  <c r="E223" i="406"/>
  <c r="D223" i="406"/>
  <c r="BF222" i="406"/>
  <c r="BE222" i="406"/>
  <c r="BD222" i="406"/>
  <c r="BC222" i="406"/>
  <c r="BB222" i="406"/>
  <c r="BA222" i="406"/>
  <c r="AZ222" i="406"/>
  <c r="AY222" i="406"/>
  <c r="AX222" i="406"/>
  <c r="AW222" i="406"/>
  <c r="AV222" i="406"/>
  <c r="AU222" i="406"/>
  <c r="AT222" i="406"/>
  <c r="AS222" i="406"/>
  <c r="AR222" i="406"/>
  <c r="AQ222" i="406"/>
  <c r="AP222" i="406"/>
  <c r="AO222" i="406"/>
  <c r="AN222" i="406"/>
  <c r="AM222" i="406"/>
  <c r="AL222" i="406"/>
  <c r="AK222" i="406"/>
  <c r="AJ222" i="406"/>
  <c r="AI222" i="406"/>
  <c r="AH222" i="406"/>
  <c r="AG222" i="406"/>
  <c r="AF222" i="406"/>
  <c r="AE222" i="406"/>
  <c r="AD222" i="406"/>
  <c r="AC222" i="406"/>
  <c r="AB222" i="406"/>
  <c r="AA222" i="406"/>
  <c r="Z222" i="406"/>
  <c r="Y222" i="406"/>
  <c r="X222" i="406"/>
  <c r="W222" i="406"/>
  <c r="V222" i="406"/>
  <c r="U222" i="406"/>
  <c r="T222" i="406"/>
  <c r="S222" i="406"/>
  <c r="R222" i="406"/>
  <c r="Q222" i="406"/>
  <c r="P222" i="406"/>
  <c r="O222" i="406"/>
  <c r="N222" i="406"/>
  <c r="M222" i="406"/>
  <c r="L222" i="406"/>
  <c r="K222" i="406"/>
  <c r="J222" i="406"/>
  <c r="I222" i="406"/>
  <c r="H222" i="406"/>
  <c r="G222" i="406"/>
  <c r="F222" i="406"/>
  <c r="E222" i="406"/>
  <c r="D222" i="406"/>
  <c r="BF221" i="406"/>
  <c r="BE221" i="406"/>
  <c r="BD221" i="406"/>
  <c r="BC221" i="406"/>
  <c r="BB221" i="406"/>
  <c r="BA221" i="406"/>
  <c r="AZ221" i="406"/>
  <c r="AY221" i="406"/>
  <c r="AX221" i="406"/>
  <c r="AW221" i="406"/>
  <c r="AV221" i="406"/>
  <c r="AU221" i="406"/>
  <c r="AT221" i="406"/>
  <c r="AS221" i="406"/>
  <c r="AR221" i="406"/>
  <c r="AQ221" i="406"/>
  <c r="AP221" i="406"/>
  <c r="AO221" i="406"/>
  <c r="AN221" i="406"/>
  <c r="AM221" i="406"/>
  <c r="AL221" i="406"/>
  <c r="AK221" i="406"/>
  <c r="AJ221" i="406"/>
  <c r="AI221" i="406"/>
  <c r="AH221" i="406"/>
  <c r="AG221" i="406"/>
  <c r="AF221" i="406"/>
  <c r="AE221" i="406"/>
  <c r="AD221" i="406"/>
  <c r="AC221" i="406"/>
  <c r="AB221" i="406"/>
  <c r="AA221" i="406"/>
  <c r="Z221" i="406"/>
  <c r="Y221" i="406"/>
  <c r="X221" i="406"/>
  <c r="W221" i="406"/>
  <c r="V221" i="406"/>
  <c r="U221" i="406"/>
  <c r="T221" i="406"/>
  <c r="S221" i="406"/>
  <c r="R221" i="406"/>
  <c r="Q221" i="406"/>
  <c r="P221" i="406"/>
  <c r="O221" i="406"/>
  <c r="N221" i="406"/>
  <c r="M221" i="406"/>
  <c r="L221" i="406"/>
  <c r="K221" i="406"/>
  <c r="J221" i="406"/>
  <c r="I221" i="406"/>
  <c r="H221" i="406"/>
  <c r="G221" i="406"/>
  <c r="F221" i="406"/>
  <c r="E221" i="406"/>
  <c r="D221" i="406"/>
  <c r="BF220" i="406"/>
  <c r="BE220" i="406"/>
  <c r="BD220" i="406"/>
  <c r="BC220" i="406"/>
  <c r="BB220" i="406"/>
  <c r="BA220" i="406"/>
  <c r="AZ220" i="406"/>
  <c r="AY220" i="406"/>
  <c r="AX220" i="406"/>
  <c r="AW220" i="406"/>
  <c r="AV220" i="406"/>
  <c r="AU220" i="406"/>
  <c r="AT220" i="406"/>
  <c r="AS220" i="406"/>
  <c r="AR220" i="406"/>
  <c r="AQ220" i="406"/>
  <c r="AP220" i="406"/>
  <c r="AO220" i="406"/>
  <c r="AN220" i="406"/>
  <c r="AM220" i="406"/>
  <c r="AL220" i="406"/>
  <c r="AK220" i="406"/>
  <c r="AJ220" i="406"/>
  <c r="AI220" i="406"/>
  <c r="AH220" i="406"/>
  <c r="AG220" i="406"/>
  <c r="AF220" i="406"/>
  <c r="AE220" i="406"/>
  <c r="AD220" i="406"/>
  <c r="AC220" i="406"/>
  <c r="AB220" i="406"/>
  <c r="AA220" i="406"/>
  <c r="Z220" i="406"/>
  <c r="Y220" i="406"/>
  <c r="X220" i="406"/>
  <c r="W220" i="406"/>
  <c r="V220" i="406"/>
  <c r="U220" i="406"/>
  <c r="T220" i="406"/>
  <c r="S220" i="406"/>
  <c r="R220" i="406"/>
  <c r="Q220" i="406"/>
  <c r="P220" i="406"/>
  <c r="O220" i="406"/>
  <c r="N220" i="406"/>
  <c r="M220" i="406"/>
  <c r="L220" i="406"/>
  <c r="K220" i="406"/>
  <c r="J220" i="406"/>
  <c r="I220" i="406"/>
  <c r="H220" i="406"/>
  <c r="G220" i="406"/>
  <c r="F220" i="406"/>
  <c r="E220" i="406"/>
  <c r="D220" i="406"/>
  <c r="BF219" i="406"/>
  <c r="BE219" i="406"/>
  <c r="BD219" i="406"/>
  <c r="BC219" i="406"/>
  <c r="BB219" i="406"/>
  <c r="BA219" i="406"/>
  <c r="AZ219" i="406"/>
  <c r="AY219" i="406"/>
  <c r="AX219" i="406"/>
  <c r="AW219" i="406"/>
  <c r="AV219" i="406"/>
  <c r="AU219" i="406"/>
  <c r="AT219" i="406"/>
  <c r="AS219" i="406"/>
  <c r="AR219" i="406"/>
  <c r="AQ219" i="406"/>
  <c r="AP219" i="406"/>
  <c r="AO219" i="406"/>
  <c r="AN219" i="406"/>
  <c r="AM219" i="406"/>
  <c r="AL219" i="406"/>
  <c r="AK219" i="406"/>
  <c r="AJ219" i="406"/>
  <c r="AI219" i="406"/>
  <c r="AH219" i="406"/>
  <c r="AG219" i="406"/>
  <c r="AF219" i="406"/>
  <c r="AE219" i="406"/>
  <c r="AD219" i="406"/>
  <c r="AC219" i="406"/>
  <c r="AB219" i="406"/>
  <c r="AA219" i="406"/>
  <c r="Z219" i="406"/>
  <c r="Y219" i="406"/>
  <c r="X219" i="406"/>
  <c r="W219" i="406"/>
  <c r="V219" i="406"/>
  <c r="U219" i="406"/>
  <c r="T219" i="406"/>
  <c r="S219" i="406"/>
  <c r="R219" i="406"/>
  <c r="Q219" i="406"/>
  <c r="P219" i="406"/>
  <c r="O219" i="406"/>
  <c r="N219" i="406"/>
  <c r="M219" i="406"/>
  <c r="L219" i="406"/>
  <c r="K219" i="406"/>
  <c r="J219" i="406"/>
  <c r="I219" i="406"/>
  <c r="H219" i="406"/>
  <c r="G219" i="406"/>
  <c r="F219" i="406"/>
  <c r="E219" i="406"/>
  <c r="D219" i="406"/>
  <c r="BF218" i="406"/>
  <c r="BE218" i="406"/>
  <c r="BD218" i="406"/>
  <c r="BC218" i="406"/>
  <c r="BB218" i="406"/>
  <c r="BA218" i="406"/>
  <c r="AZ218" i="406"/>
  <c r="AY218" i="406"/>
  <c r="AX218" i="406"/>
  <c r="AW218" i="406"/>
  <c r="AV218" i="406"/>
  <c r="AU218" i="406"/>
  <c r="AT218" i="406"/>
  <c r="AS218" i="406"/>
  <c r="AR218" i="406"/>
  <c r="AQ218" i="406"/>
  <c r="AP218" i="406"/>
  <c r="AO218" i="406"/>
  <c r="AN218" i="406"/>
  <c r="AM218" i="406"/>
  <c r="AL218" i="406"/>
  <c r="AK218" i="406"/>
  <c r="AJ218" i="406"/>
  <c r="AI218" i="406"/>
  <c r="AH218" i="406"/>
  <c r="AG218" i="406"/>
  <c r="AF218" i="406"/>
  <c r="AE218" i="406"/>
  <c r="AD218" i="406"/>
  <c r="AC218" i="406"/>
  <c r="AB218" i="406"/>
  <c r="AA218" i="406"/>
  <c r="Z218" i="406"/>
  <c r="Y218" i="406"/>
  <c r="X218" i="406"/>
  <c r="W218" i="406"/>
  <c r="V218" i="406"/>
  <c r="U218" i="406"/>
  <c r="T218" i="406"/>
  <c r="S218" i="406"/>
  <c r="R218" i="406"/>
  <c r="Q218" i="406"/>
  <c r="P218" i="406"/>
  <c r="O218" i="406"/>
  <c r="N218" i="406"/>
  <c r="M218" i="406"/>
  <c r="L218" i="406"/>
  <c r="K218" i="406"/>
  <c r="J218" i="406"/>
  <c r="I218" i="406"/>
  <c r="H218" i="406"/>
  <c r="G218" i="406"/>
  <c r="F218" i="406"/>
  <c r="E218" i="406"/>
  <c r="D218" i="406"/>
  <c r="BF217" i="406"/>
  <c r="BE217" i="406"/>
  <c r="BD217" i="406"/>
  <c r="BC217" i="406"/>
  <c r="BB217" i="406"/>
  <c r="BA217" i="406"/>
  <c r="AZ217" i="406"/>
  <c r="AY217" i="406"/>
  <c r="AX217" i="406"/>
  <c r="AW217" i="406"/>
  <c r="AV217" i="406"/>
  <c r="AU217" i="406"/>
  <c r="AT217" i="406"/>
  <c r="AS217" i="406"/>
  <c r="AR217" i="406"/>
  <c r="AQ217" i="406"/>
  <c r="AP217" i="406"/>
  <c r="AO217" i="406"/>
  <c r="AN217" i="406"/>
  <c r="AM217" i="406"/>
  <c r="AL217" i="406"/>
  <c r="AK217" i="406"/>
  <c r="AJ217" i="406"/>
  <c r="AI217" i="406"/>
  <c r="AH217" i="406"/>
  <c r="AG217" i="406"/>
  <c r="AF217" i="406"/>
  <c r="AE217" i="406"/>
  <c r="AD217" i="406"/>
  <c r="AC217" i="406"/>
  <c r="AB217" i="406"/>
  <c r="AA217" i="406"/>
  <c r="Z217" i="406"/>
  <c r="Y217" i="406"/>
  <c r="X217" i="406"/>
  <c r="W217" i="406"/>
  <c r="V217" i="406"/>
  <c r="U217" i="406"/>
  <c r="T217" i="406"/>
  <c r="S217" i="406"/>
  <c r="R217" i="406"/>
  <c r="Q217" i="406"/>
  <c r="P217" i="406"/>
  <c r="O217" i="406"/>
  <c r="N217" i="406"/>
  <c r="M217" i="406"/>
  <c r="L217" i="406"/>
  <c r="K217" i="406"/>
  <c r="J217" i="406"/>
  <c r="I217" i="406"/>
  <c r="H217" i="406"/>
  <c r="G217" i="406"/>
  <c r="F217" i="406"/>
  <c r="E217" i="406"/>
  <c r="D217" i="406"/>
  <c r="BF216" i="406"/>
  <c r="BE216" i="406"/>
  <c r="BD216" i="406"/>
  <c r="BC216" i="406"/>
  <c r="BB216" i="406"/>
  <c r="BA216" i="406"/>
  <c r="AZ216" i="406"/>
  <c r="AY216" i="406"/>
  <c r="AX216" i="406"/>
  <c r="AW216" i="406"/>
  <c r="AV216" i="406"/>
  <c r="AU216" i="406"/>
  <c r="AT216" i="406"/>
  <c r="AS216" i="406"/>
  <c r="AR216" i="406"/>
  <c r="AQ216" i="406"/>
  <c r="AP216" i="406"/>
  <c r="AO216" i="406"/>
  <c r="AN216" i="406"/>
  <c r="AM216" i="406"/>
  <c r="AL216" i="406"/>
  <c r="AK216" i="406"/>
  <c r="AJ216" i="406"/>
  <c r="AI216" i="406"/>
  <c r="AH216" i="406"/>
  <c r="AG216" i="406"/>
  <c r="AF216" i="406"/>
  <c r="AE216" i="406"/>
  <c r="AD216" i="406"/>
  <c r="AC216" i="406"/>
  <c r="AB216" i="406"/>
  <c r="AA216" i="406"/>
  <c r="Z216" i="406"/>
  <c r="Y216" i="406"/>
  <c r="X216" i="406"/>
  <c r="W216" i="406"/>
  <c r="V216" i="406"/>
  <c r="U216" i="406"/>
  <c r="T216" i="406"/>
  <c r="S216" i="406"/>
  <c r="R216" i="406"/>
  <c r="Q216" i="406"/>
  <c r="P216" i="406"/>
  <c r="O216" i="406"/>
  <c r="N216" i="406"/>
  <c r="M216" i="406"/>
  <c r="L216" i="406"/>
  <c r="K216" i="406"/>
  <c r="J216" i="406"/>
  <c r="I216" i="406"/>
  <c r="H216" i="406"/>
  <c r="G216" i="406"/>
  <c r="F216" i="406"/>
  <c r="E216" i="406"/>
  <c r="D216" i="406"/>
  <c r="BF215" i="406"/>
  <c r="BE215" i="406"/>
  <c r="BD215" i="406"/>
  <c r="BC215" i="406"/>
  <c r="BB215" i="406"/>
  <c r="BA215" i="406"/>
  <c r="AZ215" i="406"/>
  <c r="AY215" i="406"/>
  <c r="AX215" i="406"/>
  <c r="AW215" i="406"/>
  <c r="AV215" i="406"/>
  <c r="AU215" i="406"/>
  <c r="AT215" i="406"/>
  <c r="AS215" i="406"/>
  <c r="AR215" i="406"/>
  <c r="AQ215" i="406"/>
  <c r="AP215" i="406"/>
  <c r="AO215" i="406"/>
  <c r="AN215" i="406"/>
  <c r="AM215" i="406"/>
  <c r="AL215" i="406"/>
  <c r="AK215" i="406"/>
  <c r="AJ215" i="406"/>
  <c r="AI215" i="406"/>
  <c r="AH215" i="406"/>
  <c r="AG215" i="406"/>
  <c r="AF215" i="406"/>
  <c r="AE215" i="406"/>
  <c r="AD215" i="406"/>
  <c r="AC215" i="406"/>
  <c r="AB215" i="406"/>
  <c r="AA215" i="406"/>
  <c r="Z215" i="406"/>
  <c r="Y215" i="406"/>
  <c r="X215" i="406"/>
  <c r="W215" i="406"/>
  <c r="V215" i="406"/>
  <c r="U215" i="406"/>
  <c r="T215" i="406"/>
  <c r="S215" i="406"/>
  <c r="R215" i="406"/>
  <c r="Q215" i="406"/>
  <c r="P215" i="406"/>
  <c r="O215" i="406"/>
  <c r="N215" i="406"/>
  <c r="M215" i="406"/>
  <c r="L215" i="406"/>
  <c r="K215" i="406"/>
  <c r="J215" i="406"/>
  <c r="I215" i="406"/>
  <c r="H215" i="406"/>
  <c r="G215" i="406"/>
  <c r="F215" i="406"/>
  <c r="E215" i="406"/>
  <c r="D215" i="406"/>
  <c r="BF214" i="406"/>
  <c r="BE214" i="406"/>
  <c r="BD214" i="406"/>
  <c r="BC214" i="406"/>
  <c r="BB214" i="406"/>
  <c r="BA214" i="406"/>
  <c r="AZ214" i="406"/>
  <c r="AY214" i="406"/>
  <c r="AX214" i="406"/>
  <c r="AW214" i="406"/>
  <c r="AV214" i="406"/>
  <c r="AU214" i="406"/>
  <c r="AT214" i="406"/>
  <c r="AS214" i="406"/>
  <c r="AR214" i="406"/>
  <c r="AQ214" i="406"/>
  <c r="AP214" i="406"/>
  <c r="AO214" i="406"/>
  <c r="AN214" i="406"/>
  <c r="AM214" i="406"/>
  <c r="AL214" i="406"/>
  <c r="AK214" i="406"/>
  <c r="AJ214" i="406"/>
  <c r="AI214" i="406"/>
  <c r="AH214" i="406"/>
  <c r="AG214" i="406"/>
  <c r="AF214" i="406"/>
  <c r="AE214" i="406"/>
  <c r="AD214" i="406"/>
  <c r="AC214" i="406"/>
  <c r="AB214" i="406"/>
  <c r="AA214" i="406"/>
  <c r="Z214" i="406"/>
  <c r="Y214" i="406"/>
  <c r="X214" i="406"/>
  <c r="W214" i="406"/>
  <c r="V214" i="406"/>
  <c r="U214" i="406"/>
  <c r="T214" i="406"/>
  <c r="S214" i="406"/>
  <c r="R214" i="406"/>
  <c r="Q214" i="406"/>
  <c r="P214" i="406"/>
  <c r="O214" i="406"/>
  <c r="N214" i="406"/>
  <c r="M214" i="406"/>
  <c r="L214" i="406"/>
  <c r="K214" i="406"/>
  <c r="J214" i="406"/>
  <c r="I214" i="406"/>
  <c r="H214" i="406"/>
  <c r="G214" i="406"/>
  <c r="F214" i="406"/>
  <c r="E214" i="406"/>
  <c r="D214" i="406"/>
  <c r="BF213" i="406"/>
  <c r="BE213" i="406"/>
  <c r="BD213" i="406"/>
  <c r="BC213" i="406"/>
  <c r="BB213" i="406"/>
  <c r="BA213" i="406"/>
  <c r="AZ213" i="406"/>
  <c r="AY213" i="406"/>
  <c r="AX213" i="406"/>
  <c r="AW213" i="406"/>
  <c r="AV213" i="406"/>
  <c r="AU213" i="406"/>
  <c r="AT213" i="406"/>
  <c r="AS213" i="406"/>
  <c r="AR213" i="406"/>
  <c r="AQ213" i="406"/>
  <c r="AP213" i="406"/>
  <c r="AO213" i="406"/>
  <c r="AN213" i="406"/>
  <c r="AM213" i="406"/>
  <c r="AL213" i="406"/>
  <c r="AK213" i="406"/>
  <c r="AJ213" i="406"/>
  <c r="AI213" i="406"/>
  <c r="AH213" i="406"/>
  <c r="AG213" i="406"/>
  <c r="AF213" i="406"/>
  <c r="AE213" i="406"/>
  <c r="AD213" i="406"/>
  <c r="AC213" i="406"/>
  <c r="AB213" i="406"/>
  <c r="AA213" i="406"/>
  <c r="Z213" i="406"/>
  <c r="Y213" i="406"/>
  <c r="X213" i="406"/>
  <c r="W213" i="406"/>
  <c r="V213" i="406"/>
  <c r="U213" i="406"/>
  <c r="T213" i="406"/>
  <c r="S213" i="406"/>
  <c r="R213" i="406"/>
  <c r="Q213" i="406"/>
  <c r="P213" i="406"/>
  <c r="O213" i="406"/>
  <c r="N213" i="406"/>
  <c r="M213" i="406"/>
  <c r="L213" i="406"/>
  <c r="K213" i="406"/>
  <c r="J213" i="406"/>
  <c r="I213" i="406"/>
  <c r="H213" i="406"/>
  <c r="G213" i="406"/>
  <c r="F213" i="406"/>
  <c r="E213" i="406"/>
  <c r="D213" i="406"/>
  <c r="BF212" i="406"/>
  <c r="BE212" i="406"/>
  <c r="BD212" i="406"/>
  <c r="BC212" i="406"/>
  <c r="BB212" i="406"/>
  <c r="BA212" i="406"/>
  <c r="AZ212" i="406"/>
  <c r="AY212" i="406"/>
  <c r="AX212" i="406"/>
  <c r="AW212" i="406"/>
  <c r="AV212" i="406"/>
  <c r="AU212" i="406"/>
  <c r="AT212" i="406"/>
  <c r="AS212" i="406"/>
  <c r="AR212" i="406"/>
  <c r="AQ212" i="406"/>
  <c r="AP212" i="406"/>
  <c r="AO212" i="406"/>
  <c r="AN212" i="406"/>
  <c r="AM212" i="406"/>
  <c r="AL212" i="406"/>
  <c r="AK212" i="406"/>
  <c r="AJ212" i="406"/>
  <c r="AI212" i="406"/>
  <c r="AH212" i="406"/>
  <c r="AG212" i="406"/>
  <c r="AF212" i="406"/>
  <c r="AE212" i="406"/>
  <c r="AD212" i="406"/>
  <c r="AC212" i="406"/>
  <c r="AB212" i="406"/>
  <c r="AA212" i="406"/>
  <c r="Z212" i="406"/>
  <c r="Y212" i="406"/>
  <c r="X212" i="406"/>
  <c r="W212" i="406"/>
  <c r="V212" i="406"/>
  <c r="U212" i="406"/>
  <c r="T212" i="406"/>
  <c r="S212" i="406"/>
  <c r="R212" i="406"/>
  <c r="Q212" i="406"/>
  <c r="P212" i="406"/>
  <c r="O212" i="406"/>
  <c r="N212" i="406"/>
  <c r="M212" i="406"/>
  <c r="L212" i="406"/>
  <c r="K212" i="406"/>
  <c r="J212" i="406"/>
  <c r="I212" i="406"/>
  <c r="H212" i="406"/>
  <c r="G212" i="406"/>
  <c r="F212" i="406"/>
  <c r="E212" i="406"/>
  <c r="D212" i="406"/>
  <c r="BF211" i="406"/>
  <c r="BE211" i="406"/>
  <c r="BD211" i="406"/>
  <c r="BC211" i="406"/>
  <c r="BB211" i="406"/>
  <c r="BA211" i="406"/>
  <c r="AZ211" i="406"/>
  <c r="AY211" i="406"/>
  <c r="AX211" i="406"/>
  <c r="AW211" i="406"/>
  <c r="AV211" i="406"/>
  <c r="AU211" i="406"/>
  <c r="AT211" i="406"/>
  <c r="AS211" i="406"/>
  <c r="AR211" i="406"/>
  <c r="AQ211" i="406"/>
  <c r="AP211" i="406"/>
  <c r="AO211" i="406"/>
  <c r="AN211" i="406"/>
  <c r="AM211" i="406"/>
  <c r="AL211" i="406"/>
  <c r="AK211" i="406"/>
  <c r="AJ211" i="406"/>
  <c r="AI211" i="406"/>
  <c r="AH211" i="406"/>
  <c r="AG211" i="406"/>
  <c r="AF211" i="406"/>
  <c r="AE211" i="406"/>
  <c r="AD211" i="406"/>
  <c r="AC211" i="406"/>
  <c r="AB211" i="406"/>
  <c r="AA211" i="406"/>
  <c r="Z211" i="406"/>
  <c r="Y211" i="406"/>
  <c r="X211" i="406"/>
  <c r="W211" i="406"/>
  <c r="V211" i="406"/>
  <c r="U211" i="406"/>
  <c r="T211" i="406"/>
  <c r="S211" i="406"/>
  <c r="R211" i="406"/>
  <c r="Q211" i="406"/>
  <c r="P211" i="406"/>
  <c r="O211" i="406"/>
  <c r="N211" i="406"/>
  <c r="M211" i="406"/>
  <c r="L211" i="406"/>
  <c r="K211" i="406"/>
  <c r="J211" i="406"/>
  <c r="I211" i="406"/>
  <c r="H211" i="406"/>
  <c r="G211" i="406"/>
  <c r="F211" i="406"/>
  <c r="E211" i="406"/>
  <c r="D211" i="406"/>
  <c r="BF210" i="406"/>
  <c r="BE210" i="406"/>
  <c r="BD210" i="406"/>
  <c r="BC210" i="406"/>
  <c r="BB210" i="406"/>
  <c r="BA210" i="406"/>
  <c r="AZ210" i="406"/>
  <c r="AY210" i="406"/>
  <c r="AX210" i="406"/>
  <c r="AW210" i="406"/>
  <c r="AV210" i="406"/>
  <c r="AU210" i="406"/>
  <c r="AT210" i="406"/>
  <c r="AS210" i="406"/>
  <c r="AR210" i="406"/>
  <c r="AQ210" i="406"/>
  <c r="AP210" i="406"/>
  <c r="AO210" i="406"/>
  <c r="AN210" i="406"/>
  <c r="AM210" i="406"/>
  <c r="AL210" i="406"/>
  <c r="AK210" i="406"/>
  <c r="AJ210" i="406"/>
  <c r="AI210" i="406"/>
  <c r="AH210" i="406"/>
  <c r="AG210" i="406"/>
  <c r="AF210" i="406"/>
  <c r="AE210" i="406"/>
  <c r="AD210" i="406"/>
  <c r="AC210" i="406"/>
  <c r="AB210" i="406"/>
  <c r="AA210" i="406"/>
  <c r="Z210" i="406"/>
  <c r="Y210" i="406"/>
  <c r="X210" i="406"/>
  <c r="W210" i="406"/>
  <c r="V210" i="406"/>
  <c r="U210" i="406"/>
  <c r="T210" i="406"/>
  <c r="S210" i="406"/>
  <c r="R210" i="406"/>
  <c r="Q210" i="406"/>
  <c r="P210" i="406"/>
  <c r="O210" i="406"/>
  <c r="N210" i="406"/>
  <c r="M210" i="406"/>
  <c r="L210" i="406"/>
  <c r="K210" i="406"/>
  <c r="J210" i="406"/>
  <c r="I210" i="406"/>
  <c r="H210" i="406"/>
  <c r="G210" i="406"/>
  <c r="F210" i="406"/>
  <c r="E210" i="406"/>
  <c r="D210" i="406"/>
  <c r="BF209" i="406"/>
  <c r="BE209" i="406"/>
  <c r="BD209" i="406"/>
  <c r="BC209" i="406"/>
  <c r="BB209" i="406"/>
  <c r="BA209" i="406"/>
  <c r="AZ209" i="406"/>
  <c r="AY209" i="406"/>
  <c r="AX209" i="406"/>
  <c r="AW209" i="406"/>
  <c r="AV209" i="406"/>
  <c r="AU209" i="406"/>
  <c r="AT209" i="406"/>
  <c r="AS209" i="406"/>
  <c r="AR209" i="406"/>
  <c r="AQ209" i="406"/>
  <c r="AP209" i="406"/>
  <c r="AO209" i="406"/>
  <c r="AN209" i="406"/>
  <c r="AM209" i="406"/>
  <c r="AL209" i="406"/>
  <c r="AK209" i="406"/>
  <c r="AJ209" i="406"/>
  <c r="AI209" i="406"/>
  <c r="AH209" i="406"/>
  <c r="AG209" i="406"/>
  <c r="AF209" i="406"/>
  <c r="AE209" i="406"/>
  <c r="AD209" i="406"/>
  <c r="AC209" i="406"/>
  <c r="AB209" i="406"/>
  <c r="AA209" i="406"/>
  <c r="Z209" i="406"/>
  <c r="Y209" i="406"/>
  <c r="X209" i="406"/>
  <c r="W209" i="406"/>
  <c r="V209" i="406"/>
  <c r="U209" i="406"/>
  <c r="T209" i="406"/>
  <c r="S209" i="406"/>
  <c r="R209" i="406"/>
  <c r="Q209" i="406"/>
  <c r="P209" i="406"/>
  <c r="O209" i="406"/>
  <c r="N209" i="406"/>
  <c r="M209" i="406"/>
  <c r="L209" i="406"/>
  <c r="K209" i="406"/>
  <c r="J209" i="406"/>
  <c r="I209" i="406"/>
  <c r="H209" i="406"/>
  <c r="G209" i="406"/>
  <c r="F209" i="406"/>
  <c r="E209" i="406"/>
  <c r="D209" i="406"/>
  <c r="BF208" i="406"/>
  <c r="BE208" i="406"/>
  <c r="BD208" i="406"/>
  <c r="BC208" i="406"/>
  <c r="BB208" i="406"/>
  <c r="BA208" i="406"/>
  <c r="AZ208" i="406"/>
  <c r="AY208" i="406"/>
  <c r="AX208" i="406"/>
  <c r="AW208" i="406"/>
  <c r="AV208" i="406"/>
  <c r="AU208" i="406"/>
  <c r="AT208" i="406"/>
  <c r="AS208" i="406"/>
  <c r="AR208" i="406"/>
  <c r="AQ208" i="406"/>
  <c r="AP208" i="406"/>
  <c r="AO208" i="406"/>
  <c r="AN208" i="406"/>
  <c r="AM208" i="406"/>
  <c r="AL208" i="406"/>
  <c r="AK208" i="406"/>
  <c r="AJ208" i="406"/>
  <c r="AI208" i="406"/>
  <c r="AH208" i="406"/>
  <c r="AG208" i="406"/>
  <c r="AF208" i="406"/>
  <c r="AE208" i="406"/>
  <c r="AD208" i="406"/>
  <c r="AC208" i="406"/>
  <c r="AB208" i="406"/>
  <c r="AA208" i="406"/>
  <c r="Z208" i="406"/>
  <c r="Y208" i="406"/>
  <c r="X208" i="406"/>
  <c r="W208" i="406"/>
  <c r="V208" i="406"/>
  <c r="U208" i="406"/>
  <c r="T208" i="406"/>
  <c r="S208" i="406"/>
  <c r="R208" i="406"/>
  <c r="Q208" i="406"/>
  <c r="P208" i="406"/>
  <c r="O208" i="406"/>
  <c r="N208" i="406"/>
  <c r="M208" i="406"/>
  <c r="L208" i="406"/>
  <c r="K208" i="406"/>
  <c r="J208" i="406"/>
  <c r="I208" i="406"/>
  <c r="H208" i="406"/>
  <c r="G208" i="406"/>
  <c r="F208" i="406"/>
  <c r="E208" i="406"/>
  <c r="D208" i="406"/>
  <c r="BF207" i="406"/>
  <c r="BE207" i="406"/>
  <c r="BD207" i="406"/>
  <c r="BC207" i="406"/>
  <c r="BB207" i="406"/>
  <c r="BA207" i="406"/>
  <c r="AZ207" i="406"/>
  <c r="AY207" i="406"/>
  <c r="AX207" i="406"/>
  <c r="AW207" i="406"/>
  <c r="AV207" i="406"/>
  <c r="AU207" i="406"/>
  <c r="AT207" i="406"/>
  <c r="AS207" i="406"/>
  <c r="AR207" i="406"/>
  <c r="AQ207" i="406"/>
  <c r="AP207" i="406"/>
  <c r="AO207" i="406"/>
  <c r="AN207" i="406"/>
  <c r="AM207" i="406"/>
  <c r="AL207" i="406"/>
  <c r="AK207" i="406"/>
  <c r="AJ207" i="406"/>
  <c r="AI207" i="406"/>
  <c r="AH207" i="406"/>
  <c r="AG207" i="406"/>
  <c r="AF207" i="406"/>
  <c r="AE207" i="406"/>
  <c r="AD207" i="406"/>
  <c r="AC207" i="406"/>
  <c r="AB207" i="406"/>
  <c r="AA207" i="406"/>
  <c r="Z207" i="406"/>
  <c r="Y207" i="406"/>
  <c r="X207" i="406"/>
  <c r="W207" i="406"/>
  <c r="V207" i="406"/>
  <c r="U207" i="406"/>
  <c r="T207" i="406"/>
  <c r="S207" i="406"/>
  <c r="R207" i="406"/>
  <c r="Q207" i="406"/>
  <c r="P207" i="406"/>
  <c r="O207" i="406"/>
  <c r="N207" i="406"/>
  <c r="M207" i="406"/>
  <c r="L207" i="406"/>
  <c r="K207" i="406"/>
  <c r="J207" i="406"/>
  <c r="I207" i="406"/>
  <c r="H207" i="406"/>
  <c r="G207" i="406"/>
  <c r="F207" i="406"/>
  <c r="E207" i="406"/>
  <c r="D207" i="406"/>
  <c r="BF206" i="406"/>
  <c r="BE206" i="406"/>
  <c r="BD206" i="406"/>
  <c r="BC206" i="406"/>
  <c r="BB206" i="406"/>
  <c r="BA206" i="406"/>
  <c r="AZ206" i="406"/>
  <c r="AY206" i="406"/>
  <c r="AX206" i="406"/>
  <c r="AW206" i="406"/>
  <c r="AV206" i="406"/>
  <c r="AU206" i="406"/>
  <c r="AT206" i="406"/>
  <c r="AS206" i="406"/>
  <c r="AR206" i="406"/>
  <c r="AQ206" i="406"/>
  <c r="AP206" i="406"/>
  <c r="AO206" i="406"/>
  <c r="AN206" i="406"/>
  <c r="AM206" i="406"/>
  <c r="AL206" i="406"/>
  <c r="AK206" i="406"/>
  <c r="AJ206" i="406"/>
  <c r="AI206" i="406"/>
  <c r="AH206" i="406"/>
  <c r="AG206" i="406"/>
  <c r="AF206" i="406"/>
  <c r="AE206" i="406"/>
  <c r="AD206" i="406"/>
  <c r="AC206" i="406"/>
  <c r="AB206" i="406"/>
  <c r="AA206" i="406"/>
  <c r="Z206" i="406"/>
  <c r="Y206" i="406"/>
  <c r="X206" i="406"/>
  <c r="W206" i="406"/>
  <c r="V206" i="406"/>
  <c r="U206" i="406"/>
  <c r="T206" i="406"/>
  <c r="S206" i="406"/>
  <c r="R206" i="406"/>
  <c r="Q206" i="406"/>
  <c r="P206" i="406"/>
  <c r="O206" i="406"/>
  <c r="N206" i="406"/>
  <c r="M206" i="406"/>
  <c r="L206" i="406"/>
  <c r="K206" i="406"/>
  <c r="J206" i="406"/>
  <c r="I206" i="406"/>
  <c r="H206" i="406"/>
  <c r="G206" i="406"/>
  <c r="F206" i="406"/>
  <c r="E206" i="406"/>
  <c r="D206" i="406"/>
  <c r="BF205" i="406"/>
  <c r="BE205" i="406"/>
  <c r="BD205" i="406"/>
  <c r="BC205" i="406"/>
  <c r="BB205" i="406"/>
  <c r="BA205" i="406"/>
  <c r="AZ205" i="406"/>
  <c r="AY205" i="406"/>
  <c r="AX205" i="406"/>
  <c r="AW205" i="406"/>
  <c r="AV205" i="406"/>
  <c r="AU205" i="406"/>
  <c r="AT205" i="406"/>
  <c r="AS205" i="406"/>
  <c r="AR205" i="406"/>
  <c r="AQ205" i="406"/>
  <c r="AP205" i="406"/>
  <c r="AO205" i="406"/>
  <c r="AN205" i="406"/>
  <c r="AM205" i="406"/>
  <c r="AL205" i="406"/>
  <c r="AK205" i="406"/>
  <c r="AJ205" i="406"/>
  <c r="AI205" i="406"/>
  <c r="AH205" i="406"/>
  <c r="AG205" i="406"/>
  <c r="AF205" i="406"/>
  <c r="AE205" i="406"/>
  <c r="AD205" i="406"/>
  <c r="AC205" i="406"/>
  <c r="AB205" i="406"/>
  <c r="AA205" i="406"/>
  <c r="Z205" i="406"/>
  <c r="Y205" i="406"/>
  <c r="X205" i="406"/>
  <c r="W205" i="406"/>
  <c r="V205" i="406"/>
  <c r="U205" i="406"/>
  <c r="T205" i="406"/>
  <c r="S205" i="406"/>
  <c r="R205" i="406"/>
  <c r="Q205" i="406"/>
  <c r="P205" i="406"/>
  <c r="O205" i="406"/>
  <c r="N205" i="406"/>
  <c r="M205" i="406"/>
  <c r="L205" i="406"/>
  <c r="K205" i="406"/>
  <c r="J205" i="406"/>
  <c r="I205" i="406"/>
  <c r="H205" i="406"/>
  <c r="G205" i="406"/>
  <c r="F205" i="406"/>
  <c r="E205" i="406"/>
  <c r="D205" i="406"/>
  <c r="BF204" i="406"/>
  <c r="BE204" i="406"/>
  <c r="BD204" i="406"/>
  <c r="BC204" i="406"/>
  <c r="BB204" i="406"/>
  <c r="BA204" i="406"/>
  <c r="AZ204" i="406"/>
  <c r="AY204" i="406"/>
  <c r="AX204" i="406"/>
  <c r="AW204" i="406"/>
  <c r="AV204" i="406"/>
  <c r="AU204" i="406"/>
  <c r="AT204" i="406"/>
  <c r="AS204" i="406"/>
  <c r="AR204" i="406"/>
  <c r="AQ204" i="406"/>
  <c r="AP204" i="406"/>
  <c r="AO204" i="406"/>
  <c r="AN204" i="406"/>
  <c r="AM204" i="406"/>
  <c r="AL204" i="406"/>
  <c r="AK204" i="406"/>
  <c r="AJ204" i="406"/>
  <c r="AI204" i="406"/>
  <c r="AH204" i="406"/>
  <c r="AG204" i="406"/>
  <c r="AF204" i="406"/>
  <c r="AE204" i="406"/>
  <c r="AD204" i="406"/>
  <c r="AC204" i="406"/>
  <c r="AB204" i="406"/>
  <c r="AA204" i="406"/>
  <c r="Z204" i="406"/>
  <c r="Y204" i="406"/>
  <c r="X204" i="406"/>
  <c r="W204" i="406"/>
  <c r="V204" i="406"/>
  <c r="U204" i="406"/>
  <c r="T204" i="406"/>
  <c r="S204" i="406"/>
  <c r="R204" i="406"/>
  <c r="Q204" i="406"/>
  <c r="P204" i="406"/>
  <c r="O204" i="406"/>
  <c r="N204" i="406"/>
  <c r="M204" i="406"/>
  <c r="L204" i="406"/>
  <c r="K204" i="406"/>
  <c r="J204" i="406"/>
  <c r="I204" i="406"/>
  <c r="H204" i="406"/>
  <c r="G204" i="406"/>
  <c r="F204" i="406"/>
  <c r="E204" i="406"/>
  <c r="D204" i="406"/>
  <c r="BF203" i="406"/>
  <c r="BE203" i="406"/>
  <c r="BD203" i="406"/>
  <c r="BC203" i="406"/>
  <c r="BB203" i="406"/>
  <c r="BA203" i="406"/>
  <c r="AZ203" i="406"/>
  <c r="AY203" i="406"/>
  <c r="AX203" i="406"/>
  <c r="AW203" i="406"/>
  <c r="AV203" i="406"/>
  <c r="AU203" i="406"/>
  <c r="AT203" i="406"/>
  <c r="AS203" i="406"/>
  <c r="AR203" i="406"/>
  <c r="AQ203" i="406"/>
  <c r="AP203" i="406"/>
  <c r="AO203" i="406"/>
  <c r="AN203" i="406"/>
  <c r="AM203" i="406"/>
  <c r="AL203" i="406"/>
  <c r="AK203" i="406"/>
  <c r="AJ203" i="406"/>
  <c r="AI203" i="406"/>
  <c r="AH203" i="406"/>
  <c r="AG203" i="406"/>
  <c r="AF203" i="406"/>
  <c r="AE203" i="406"/>
  <c r="AD203" i="406"/>
  <c r="AC203" i="406"/>
  <c r="AB203" i="406"/>
  <c r="AA203" i="406"/>
  <c r="Z203" i="406"/>
  <c r="Y203" i="406"/>
  <c r="X203" i="406"/>
  <c r="W203" i="406"/>
  <c r="V203" i="406"/>
  <c r="U203" i="406"/>
  <c r="T203" i="406"/>
  <c r="S203" i="406"/>
  <c r="R203" i="406"/>
  <c r="Q203" i="406"/>
  <c r="P203" i="406"/>
  <c r="O203" i="406"/>
  <c r="N203" i="406"/>
  <c r="M203" i="406"/>
  <c r="L203" i="406"/>
  <c r="K203" i="406"/>
  <c r="J203" i="406"/>
  <c r="I203" i="406"/>
  <c r="H203" i="406"/>
  <c r="G203" i="406"/>
  <c r="F203" i="406"/>
  <c r="E203" i="406"/>
  <c r="D203" i="406"/>
  <c r="BF202" i="406"/>
  <c r="BE202" i="406"/>
  <c r="BD202" i="406"/>
  <c r="BC202" i="406"/>
  <c r="BB202" i="406"/>
  <c r="BA202" i="406"/>
  <c r="AZ202" i="406"/>
  <c r="AY202" i="406"/>
  <c r="AX202" i="406"/>
  <c r="AW202" i="406"/>
  <c r="AV202" i="406"/>
  <c r="AU202" i="406"/>
  <c r="AT202" i="406"/>
  <c r="AS202" i="406"/>
  <c r="AR202" i="406"/>
  <c r="AQ202" i="406"/>
  <c r="AP202" i="406"/>
  <c r="AO202" i="406"/>
  <c r="AN202" i="406"/>
  <c r="AM202" i="406"/>
  <c r="AL202" i="406"/>
  <c r="AK202" i="406"/>
  <c r="AJ202" i="406"/>
  <c r="AI202" i="406"/>
  <c r="AH202" i="406"/>
  <c r="AG202" i="406"/>
  <c r="AF202" i="406"/>
  <c r="AE202" i="406"/>
  <c r="AD202" i="406"/>
  <c r="AC202" i="406"/>
  <c r="AB202" i="406"/>
  <c r="AA202" i="406"/>
  <c r="Z202" i="406"/>
  <c r="Y202" i="406"/>
  <c r="X202" i="406"/>
  <c r="W202" i="406"/>
  <c r="V202" i="406"/>
  <c r="U202" i="406"/>
  <c r="T202" i="406"/>
  <c r="S202" i="406"/>
  <c r="R202" i="406"/>
  <c r="Q202" i="406"/>
  <c r="P202" i="406"/>
  <c r="O202" i="406"/>
  <c r="N202" i="406"/>
  <c r="M202" i="406"/>
  <c r="L202" i="406"/>
  <c r="K202" i="406"/>
  <c r="J202" i="406"/>
  <c r="I202" i="406"/>
  <c r="H202" i="406"/>
  <c r="G202" i="406"/>
  <c r="F202" i="406"/>
  <c r="E202" i="406"/>
  <c r="D202" i="406"/>
  <c r="BF201" i="406"/>
  <c r="BE201" i="406"/>
  <c r="BD201" i="406"/>
  <c r="BC201" i="406"/>
  <c r="BB201" i="406"/>
  <c r="BA201" i="406"/>
  <c r="AZ201" i="406"/>
  <c r="AY201" i="406"/>
  <c r="AX201" i="406"/>
  <c r="AW201" i="406"/>
  <c r="AV201" i="406"/>
  <c r="AU201" i="406"/>
  <c r="AT201" i="406"/>
  <c r="AS201" i="406"/>
  <c r="AR201" i="406"/>
  <c r="AQ201" i="406"/>
  <c r="AP201" i="406"/>
  <c r="AO201" i="406"/>
  <c r="AN201" i="406"/>
  <c r="AM201" i="406"/>
  <c r="AL201" i="406"/>
  <c r="AK201" i="406"/>
  <c r="AJ201" i="406"/>
  <c r="AI201" i="406"/>
  <c r="AH201" i="406"/>
  <c r="AG201" i="406"/>
  <c r="AF201" i="406"/>
  <c r="AE201" i="406"/>
  <c r="AD201" i="406"/>
  <c r="AC201" i="406"/>
  <c r="AB201" i="406"/>
  <c r="AA201" i="406"/>
  <c r="Z201" i="406"/>
  <c r="Y201" i="406"/>
  <c r="X201" i="406"/>
  <c r="W201" i="406"/>
  <c r="V201" i="406"/>
  <c r="U201" i="406"/>
  <c r="T201" i="406"/>
  <c r="S201" i="406"/>
  <c r="R201" i="406"/>
  <c r="Q201" i="406"/>
  <c r="P201" i="406"/>
  <c r="O201" i="406"/>
  <c r="N201" i="406"/>
  <c r="M201" i="406"/>
  <c r="L201" i="406"/>
  <c r="K201" i="406"/>
  <c r="J201" i="406"/>
  <c r="I201" i="406"/>
  <c r="H201" i="406"/>
  <c r="G201" i="406"/>
  <c r="F201" i="406"/>
  <c r="E201" i="406"/>
  <c r="D201" i="406"/>
  <c r="BF200" i="406"/>
  <c r="BE200" i="406"/>
  <c r="BD200" i="406"/>
  <c r="BC200" i="406"/>
  <c r="BB200" i="406"/>
  <c r="BA200" i="406"/>
  <c r="AZ200" i="406"/>
  <c r="AY200" i="406"/>
  <c r="AX200" i="406"/>
  <c r="AW200" i="406"/>
  <c r="AV200" i="406"/>
  <c r="AU200" i="406"/>
  <c r="AT200" i="406"/>
  <c r="AS200" i="406"/>
  <c r="AR200" i="406"/>
  <c r="AQ200" i="406"/>
  <c r="AP200" i="406"/>
  <c r="AO200" i="406"/>
  <c r="AN200" i="406"/>
  <c r="AM200" i="406"/>
  <c r="AL200" i="406"/>
  <c r="AK200" i="406"/>
  <c r="AJ200" i="406"/>
  <c r="AI200" i="406"/>
  <c r="AH200" i="406"/>
  <c r="AG200" i="406"/>
  <c r="AF200" i="406"/>
  <c r="AE200" i="406"/>
  <c r="AD200" i="406"/>
  <c r="AC200" i="406"/>
  <c r="AB200" i="406"/>
  <c r="AA200" i="406"/>
  <c r="Z200" i="406"/>
  <c r="Y200" i="406"/>
  <c r="X200" i="406"/>
  <c r="W200" i="406"/>
  <c r="V200" i="406"/>
  <c r="U200" i="406"/>
  <c r="T200" i="406"/>
  <c r="S200" i="406"/>
  <c r="R200" i="406"/>
  <c r="Q200" i="406"/>
  <c r="P200" i="406"/>
  <c r="O200" i="406"/>
  <c r="O76" i="420" s="1"/>
  <c r="N200" i="406"/>
  <c r="M200" i="406"/>
  <c r="L200" i="406"/>
  <c r="K200" i="406"/>
  <c r="J200" i="406"/>
  <c r="I200" i="406"/>
  <c r="H200" i="406"/>
  <c r="H261" i="414" s="1"/>
  <c r="G200" i="406"/>
  <c r="F200" i="406"/>
  <c r="E200" i="406"/>
  <c r="D200" i="406"/>
  <c r="BF199" i="406"/>
  <c r="BE199" i="406"/>
  <c r="BD199" i="406"/>
  <c r="BC199" i="406"/>
  <c r="BB199" i="406"/>
  <c r="BA199" i="406"/>
  <c r="AZ199" i="406"/>
  <c r="AY199" i="406"/>
  <c r="AX199" i="406"/>
  <c r="AW199" i="406"/>
  <c r="AV199" i="406"/>
  <c r="AU199" i="406"/>
  <c r="AT199" i="406"/>
  <c r="AS199" i="406"/>
  <c r="AR199" i="406"/>
  <c r="AQ199" i="406"/>
  <c r="AP199" i="406"/>
  <c r="AO199" i="406"/>
  <c r="AN199" i="406"/>
  <c r="AM199" i="406"/>
  <c r="AL199" i="406"/>
  <c r="AK199" i="406"/>
  <c r="AJ199" i="406"/>
  <c r="AI199" i="406"/>
  <c r="AH199" i="406"/>
  <c r="AG199" i="406"/>
  <c r="AF199" i="406"/>
  <c r="AE199" i="406"/>
  <c r="AD199" i="406"/>
  <c r="AC199" i="406"/>
  <c r="AB199" i="406"/>
  <c r="AA199" i="406"/>
  <c r="Z199" i="406"/>
  <c r="Y199" i="406"/>
  <c r="X199" i="406"/>
  <c r="W199" i="406"/>
  <c r="W256" i="414" s="1"/>
  <c r="V199" i="406"/>
  <c r="U199" i="406"/>
  <c r="T199" i="406"/>
  <c r="S199" i="406"/>
  <c r="R199" i="406"/>
  <c r="Q199" i="406"/>
  <c r="P199" i="406"/>
  <c r="O199" i="406"/>
  <c r="N199" i="406"/>
  <c r="M199" i="406"/>
  <c r="L199" i="406"/>
  <c r="K199" i="406"/>
  <c r="J199" i="406"/>
  <c r="I199" i="406"/>
  <c r="H199" i="406"/>
  <c r="G199" i="406"/>
  <c r="F199" i="406"/>
  <c r="E199" i="406"/>
  <c r="D199" i="406"/>
  <c r="BF198" i="406"/>
  <c r="BE198" i="406"/>
  <c r="BD198" i="406"/>
  <c r="BC198" i="406"/>
  <c r="BB198" i="406"/>
  <c r="BA198" i="406"/>
  <c r="AZ198" i="406"/>
  <c r="AY198" i="406"/>
  <c r="AX198" i="406"/>
  <c r="AW198" i="406"/>
  <c r="AV198" i="406"/>
  <c r="AU198" i="406"/>
  <c r="AT198" i="406"/>
  <c r="AS198" i="406"/>
  <c r="AR198" i="406"/>
  <c r="AQ198" i="406"/>
  <c r="AP198" i="406"/>
  <c r="AO198" i="406"/>
  <c r="AN198" i="406"/>
  <c r="AM198" i="406"/>
  <c r="AL198" i="406"/>
  <c r="AK198" i="406"/>
  <c r="AJ198" i="406"/>
  <c r="AI198" i="406"/>
  <c r="AH198" i="406"/>
  <c r="AG198" i="406"/>
  <c r="AF198" i="406"/>
  <c r="AE198" i="406"/>
  <c r="AD198" i="406"/>
  <c r="AC198" i="406"/>
  <c r="AB198" i="406"/>
  <c r="AA198" i="406"/>
  <c r="Z198" i="406"/>
  <c r="Y198" i="406"/>
  <c r="X198" i="406"/>
  <c r="W198" i="406"/>
  <c r="V198" i="406"/>
  <c r="V271" i="414" s="1"/>
  <c r="U198" i="406"/>
  <c r="T198" i="406"/>
  <c r="S198" i="406"/>
  <c r="R198" i="406"/>
  <c r="R271" i="414" s="1"/>
  <c r="Q198" i="406"/>
  <c r="P198" i="406"/>
  <c r="O198" i="406"/>
  <c r="N198" i="406"/>
  <c r="N271" i="414" s="1"/>
  <c r="M198" i="406"/>
  <c r="L198" i="406"/>
  <c r="K198" i="406"/>
  <c r="J198" i="406"/>
  <c r="J271" i="414" s="1"/>
  <c r="I198" i="406"/>
  <c r="H198" i="406"/>
  <c r="G198" i="406"/>
  <c r="F198" i="406"/>
  <c r="E198" i="406"/>
  <c r="D198" i="406"/>
  <c r="BF197" i="406"/>
  <c r="BE197" i="406"/>
  <c r="BD197" i="406"/>
  <c r="BC197" i="406"/>
  <c r="BB197" i="406"/>
  <c r="BA197" i="406"/>
  <c r="AZ197" i="406"/>
  <c r="AY197" i="406"/>
  <c r="AX197" i="406"/>
  <c r="AW197" i="406"/>
  <c r="AV197" i="406"/>
  <c r="AU197" i="406"/>
  <c r="AT197" i="406"/>
  <c r="AS197" i="406"/>
  <c r="AR197" i="406"/>
  <c r="AQ197" i="406"/>
  <c r="AP197" i="406"/>
  <c r="AO197" i="406"/>
  <c r="AN197" i="406"/>
  <c r="AM197" i="406"/>
  <c r="AL197" i="406"/>
  <c r="AK197" i="406"/>
  <c r="AJ197" i="406"/>
  <c r="AI197" i="406"/>
  <c r="AH197" i="406"/>
  <c r="AG197" i="406"/>
  <c r="AF197" i="406"/>
  <c r="AE197" i="406"/>
  <c r="AD197" i="406"/>
  <c r="AC197" i="406"/>
  <c r="AB197" i="406"/>
  <c r="AA197" i="406"/>
  <c r="Z197" i="406"/>
  <c r="Y197" i="406"/>
  <c r="X197" i="406"/>
  <c r="W197" i="406"/>
  <c r="V197" i="406"/>
  <c r="U197" i="406"/>
  <c r="U271" i="414" s="1"/>
  <c r="T197" i="406"/>
  <c r="S197" i="406"/>
  <c r="R197" i="406"/>
  <c r="Q197" i="406"/>
  <c r="Q271" i="414" s="1"/>
  <c r="P197" i="406"/>
  <c r="O197" i="406"/>
  <c r="N197" i="406"/>
  <c r="M197" i="406"/>
  <c r="M271" i="414" s="1"/>
  <c r="L197" i="406"/>
  <c r="K197" i="406"/>
  <c r="J197" i="406"/>
  <c r="I197" i="406"/>
  <c r="I271" i="414" s="1"/>
  <c r="I273" i="414" s="1"/>
  <c r="H197" i="406"/>
  <c r="G197" i="406"/>
  <c r="F197" i="406"/>
  <c r="E197" i="406"/>
  <c r="E271" i="414" s="1"/>
  <c r="E273" i="414" s="1"/>
  <c r="D197" i="406"/>
  <c r="BF196" i="406"/>
  <c r="BE196" i="406"/>
  <c r="BD196" i="406"/>
  <c r="BC196" i="406"/>
  <c r="BB196" i="406"/>
  <c r="BA196" i="406"/>
  <c r="AZ196" i="406"/>
  <c r="AY196" i="406"/>
  <c r="AX196" i="406"/>
  <c r="AW196" i="406"/>
  <c r="AV196" i="406"/>
  <c r="AU196" i="406"/>
  <c r="AT196" i="406"/>
  <c r="AS196" i="406"/>
  <c r="AR196" i="406"/>
  <c r="AQ196" i="406"/>
  <c r="AP196" i="406"/>
  <c r="AO196" i="406"/>
  <c r="AN196" i="406"/>
  <c r="AM196" i="406"/>
  <c r="AL196" i="406"/>
  <c r="AK196" i="406"/>
  <c r="AJ196" i="406"/>
  <c r="AI196" i="406"/>
  <c r="AH196" i="406"/>
  <c r="AG196" i="406"/>
  <c r="AF196" i="406"/>
  <c r="AE196" i="406"/>
  <c r="AD196" i="406"/>
  <c r="AC196" i="406"/>
  <c r="AB196" i="406"/>
  <c r="AA196" i="406"/>
  <c r="Z196" i="406"/>
  <c r="Y196" i="406"/>
  <c r="X196" i="406"/>
  <c r="W196" i="406"/>
  <c r="V196" i="406"/>
  <c r="U196" i="406"/>
  <c r="T196" i="406"/>
  <c r="T271" i="414" s="1"/>
  <c r="S196" i="406"/>
  <c r="R196" i="406"/>
  <c r="Q196" i="406"/>
  <c r="P196" i="406"/>
  <c r="O196" i="406"/>
  <c r="N196" i="406"/>
  <c r="M196" i="406"/>
  <c r="L196" i="406"/>
  <c r="K196" i="406"/>
  <c r="J196" i="406"/>
  <c r="I196" i="406"/>
  <c r="H196" i="406"/>
  <c r="G196" i="406"/>
  <c r="F196" i="406"/>
  <c r="E196" i="406"/>
  <c r="D196" i="406"/>
  <c r="BF195" i="406"/>
  <c r="BE195" i="406"/>
  <c r="BD195" i="406"/>
  <c r="BC195" i="406"/>
  <c r="BB195" i="406"/>
  <c r="BA195" i="406"/>
  <c r="AZ195" i="406"/>
  <c r="AY195" i="406"/>
  <c r="AX195" i="406"/>
  <c r="AW195" i="406"/>
  <c r="AV195" i="406"/>
  <c r="AU195" i="406"/>
  <c r="AT195" i="406"/>
  <c r="AS195" i="406"/>
  <c r="AR195" i="406"/>
  <c r="AQ195" i="406"/>
  <c r="AP195" i="406"/>
  <c r="AO195" i="406"/>
  <c r="AN195" i="406"/>
  <c r="AM195" i="406"/>
  <c r="AL195" i="406"/>
  <c r="AK195" i="406"/>
  <c r="AJ195" i="406"/>
  <c r="AI195" i="406"/>
  <c r="AH195" i="406"/>
  <c r="AG195" i="406"/>
  <c r="AF195" i="406"/>
  <c r="AE195" i="406"/>
  <c r="AD195" i="406"/>
  <c r="AC195" i="406"/>
  <c r="AB195" i="406"/>
  <c r="AA195" i="406"/>
  <c r="Z195" i="406"/>
  <c r="Y195" i="406"/>
  <c r="X195" i="406"/>
  <c r="W195" i="406"/>
  <c r="V195" i="406"/>
  <c r="U195" i="406"/>
  <c r="T195" i="406"/>
  <c r="S195" i="406"/>
  <c r="R195" i="406"/>
  <c r="Q195" i="406"/>
  <c r="P195" i="406"/>
  <c r="O195" i="406"/>
  <c r="N195" i="406"/>
  <c r="M195" i="406"/>
  <c r="L195" i="406"/>
  <c r="K195" i="406"/>
  <c r="K261" i="414" s="1"/>
  <c r="J195" i="406"/>
  <c r="I195" i="406"/>
  <c r="H195" i="406"/>
  <c r="G195" i="406"/>
  <c r="G261" i="414" s="1"/>
  <c r="F195" i="406"/>
  <c r="E195" i="406"/>
  <c r="D195" i="406"/>
  <c r="BF192" i="406"/>
  <c r="BE192" i="406"/>
  <c r="BD192" i="406"/>
  <c r="BC192" i="406"/>
  <c r="BB192" i="406"/>
  <c r="BA192" i="406"/>
  <c r="AZ192" i="406"/>
  <c r="AY192" i="406"/>
  <c r="AX192" i="406"/>
  <c r="AW192" i="406"/>
  <c r="AV192" i="406"/>
  <c r="AU192" i="406"/>
  <c r="AT192" i="406"/>
  <c r="AS192" i="406"/>
  <c r="AR192" i="406"/>
  <c r="AQ192" i="406"/>
  <c r="AP192" i="406"/>
  <c r="AO192" i="406"/>
  <c r="AN192" i="406"/>
  <c r="AM192" i="406"/>
  <c r="AL192" i="406"/>
  <c r="AK192" i="406"/>
  <c r="AJ192" i="406"/>
  <c r="AI192" i="406"/>
  <c r="AH192" i="406"/>
  <c r="AG192" i="406"/>
  <c r="AF192" i="406"/>
  <c r="AE192" i="406"/>
  <c r="AD192" i="406"/>
  <c r="AC192" i="406"/>
  <c r="AB192" i="406"/>
  <c r="AA192" i="406"/>
  <c r="Z192" i="406"/>
  <c r="Y192" i="406"/>
  <c r="X192" i="406"/>
  <c r="W192" i="406"/>
  <c r="V192" i="406"/>
  <c r="U192" i="406"/>
  <c r="T192" i="406"/>
  <c r="S192" i="406"/>
  <c r="R192" i="406"/>
  <c r="Q192" i="406"/>
  <c r="P192" i="406"/>
  <c r="O192" i="406"/>
  <c r="N192" i="406"/>
  <c r="M192" i="406"/>
  <c r="L192" i="406"/>
  <c r="K192" i="406"/>
  <c r="J192" i="406"/>
  <c r="I192" i="406"/>
  <c r="H192" i="406"/>
  <c r="G192" i="406"/>
  <c r="F192" i="406"/>
  <c r="E192" i="406"/>
  <c r="D192" i="406"/>
  <c r="C192" i="406"/>
  <c r="BF98" i="406"/>
  <c r="BE98" i="406"/>
  <c r="BD98" i="406"/>
  <c r="BC98" i="406"/>
  <c r="BB98" i="406"/>
  <c r="BA98" i="406"/>
  <c r="AZ98" i="406"/>
  <c r="AY98" i="406"/>
  <c r="AX98" i="406"/>
  <c r="AW98" i="406"/>
  <c r="AV98" i="406"/>
  <c r="AU98" i="406"/>
  <c r="AT98" i="406"/>
  <c r="AS98" i="406"/>
  <c r="AR98" i="406"/>
  <c r="AQ98" i="406"/>
  <c r="AP98" i="406"/>
  <c r="AO98" i="406"/>
  <c r="AN98" i="406"/>
  <c r="AM98" i="406"/>
  <c r="AL98" i="406"/>
  <c r="AK98" i="406"/>
  <c r="AJ98" i="406"/>
  <c r="AI98" i="406"/>
  <c r="AH98" i="406"/>
  <c r="AG98" i="406"/>
  <c r="AF98" i="406"/>
  <c r="AE98" i="406"/>
  <c r="AD98" i="406"/>
  <c r="AC98" i="406"/>
  <c r="AB98" i="406"/>
  <c r="AA98" i="406"/>
  <c r="Z98" i="406"/>
  <c r="Y98" i="406"/>
  <c r="X98" i="406"/>
  <c r="W98" i="406"/>
  <c r="V98" i="406"/>
  <c r="U98" i="406"/>
  <c r="T98" i="406"/>
  <c r="S98" i="406"/>
  <c r="R98" i="406"/>
  <c r="Q98" i="406"/>
  <c r="P98" i="406"/>
  <c r="O98" i="406"/>
  <c r="N98" i="406"/>
  <c r="M98" i="406"/>
  <c r="L98" i="406"/>
  <c r="K98" i="406"/>
  <c r="J98" i="406"/>
  <c r="I98" i="406"/>
  <c r="H98" i="406"/>
  <c r="G98" i="406"/>
  <c r="F98" i="406"/>
  <c r="E98" i="406"/>
  <c r="D98" i="406"/>
  <c r="C98" i="406"/>
  <c r="BF4" i="406"/>
  <c r="BE4" i="406"/>
  <c r="BD4" i="406"/>
  <c r="BC4" i="406"/>
  <c r="BB4" i="406"/>
  <c r="BA4" i="406"/>
  <c r="AZ4" i="406"/>
  <c r="AY4" i="406"/>
  <c r="AX4" i="406"/>
  <c r="AW4" i="406"/>
  <c r="AV4" i="406"/>
  <c r="AU4" i="406"/>
  <c r="AT4" i="406"/>
  <c r="AS4" i="406"/>
  <c r="AR4" i="406"/>
  <c r="AQ4" i="406"/>
  <c r="AP4" i="406"/>
  <c r="AO4" i="406"/>
  <c r="AN4" i="406"/>
  <c r="AM4" i="406"/>
  <c r="AL4" i="406"/>
  <c r="AK4" i="406"/>
  <c r="AJ4" i="406"/>
  <c r="AI4" i="406"/>
  <c r="AH4" i="406"/>
  <c r="AG4" i="406"/>
  <c r="AF4" i="406"/>
  <c r="AE4" i="406"/>
  <c r="AD4" i="406"/>
  <c r="AC4" i="406"/>
  <c r="AB4" i="406"/>
  <c r="AA4" i="406"/>
  <c r="Z4" i="406"/>
  <c r="Y4" i="406"/>
  <c r="X4" i="406"/>
  <c r="W4" i="406"/>
  <c r="V4" i="406"/>
  <c r="U4" i="406"/>
  <c r="T4" i="406"/>
  <c r="S4" i="406"/>
  <c r="R4" i="406"/>
  <c r="Q4" i="406"/>
  <c r="P4" i="406"/>
  <c r="O4" i="406"/>
  <c r="N4" i="406"/>
  <c r="M4" i="406"/>
  <c r="L4" i="406"/>
  <c r="K4" i="406"/>
  <c r="J4" i="406"/>
  <c r="I4" i="406"/>
  <c r="H4" i="406"/>
  <c r="G4" i="406"/>
  <c r="F4" i="406"/>
  <c r="E4" i="406"/>
  <c r="D4" i="406"/>
  <c r="C4" i="406"/>
  <c r="F271" i="414"/>
  <c r="F273" i="414" s="1"/>
  <c r="E256" i="414"/>
  <c r="E258" i="414"/>
  <c r="I256" i="414"/>
  <c r="I258" i="414"/>
  <c r="M256" i="414"/>
  <c r="O75" i="414"/>
  <c r="Q256" i="414"/>
  <c r="U256" i="414"/>
  <c r="F263" i="414"/>
  <c r="G271" i="414"/>
  <c r="K271" i="414"/>
  <c r="O271" i="414"/>
  <c r="S271" i="414"/>
  <c r="W271" i="414"/>
  <c r="F256" i="414"/>
  <c r="F258" i="414" s="1"/>
  <c r="H256" i="414"/>
  <c r="J256" i="414"/>
  <c r="J258" i="414" s="1"/>
  <c r="L256" i="414"/>
  <c r="N256" i="414"/>
  <c r="N258" i="414" s="1"/>
  <c r="P256" i="414"/>
  <c r="R256" i="414"/>
  <c r="T256" i="414"/>
  <c r="V256" i="414"/>
  <c r="X256" i="414"/>
  <c r="E261" i="414"/>
  <c r="E263" i="414"/>
  <c r="W93" i="414"/>
  <c r="X93" i="414"/>
  <c r="T9" i="414"/>
  <c r="W48" i="414"/>
  <c r="W49" i="414"/>
  <c r="B24" i="402"/>
  <c r="X49" i="414"/>
  <c r="X48" i="414"/>
  <c r="X52" i="414" s="1"/>
  <c r="W52" i="414"/>
  <c r="W8" i="414" s="1"/>
  <c r="W9" i="414" s="1"/>
  <c r="W54" i="414"/>
  <c r="W17" i="414" s="1"/>
  <c r="W18" i="414" s="1"/>
  <c r="L73" i="389"/>
  <c r="K73" i="389"/>
  <c r="J73" i="389"/>
  <c r="I73" i="389"/>
  <c r="H73" i="389"/>
  <c r="G73" i="389"/>
  <c r="F73" i="389"/>
  <c r="E73" i="389"/>
  <c r="B2" i="389"/>
  <c r="M52" i="389" s="1"/>
  <c r="M41" i="389"/>
  <c r="M53" i="389"/>
  <c r="M50" i="389"/>
  <c r="M48" i="389"/>
  <c r="M46" i="389"/>
  <c r="M44" i="389"/>
  <c r="M42" i="389"/>
  <c r="B4" i="389"/>
  <c r="B38" i="389" s="1"/>
  <c r="B56" i="389" s="1"/>
  <c r="C2" i="389"/>
  <c r="N53" i="389" s="1"/>
  <c r="N41" i="389"/>
  <c r="N52" i="389"/>
  <c r="N49" i="389"/>
  <c r="C67" i="389" s="1"/>
  <c r="N47" i="389"/>
  <c r="C64" i="389" s="1"/>
  <c r="N46" i="389"/>
  <c r="C62" i="389" s="1"/>
  <c r="N45" i="389"/>
  <c r="N43" i="389"/>
  <c r="C4" i="389"/>
  <c r="C38" i="389" s="1"/>
  <c r="C56" i="389" s="1"/>
  <c r="D2" i="389"/>
  <c r="O54" i="389" s="1"/>
  <c r="M38" i="389"/>
  <c r="O41" i="389"/>
  <c r="O53" i="389"/>
  <c r="O50" i="389"/>
  <c r="O48" i="389"/>
  <c r="O46" i="389"/>
  <c r="D62" i="389" s="1"/>
  <c r="O45" i="389"/>
  <c r="O43" i="389"/>
  <c r="O40" i="389"/>
  <c r="E2" i="389"/>
  <c r="P54" i="389" s="1"/>
  <c r="P41" i="389"/>
  <c r="E57" i="389" s="1"/>
  <c r="P52" i="389"/>
  <c r="P49" i="389"/>
  <c r="E61" i="389" s="1"/>
  <c r="P47" i="389"/>
  <c r="E64" i="389" s="1"/>
  <c r="P46" i="389"/>
  <c r="E62" i="389" s="1"/>
  <c r="P44" i="389"/>
  <c r="P42" i="389"/>
  <c r="E4" i="389"/>
  <c r="E38" i="389" s="1"/>
  <c r="D63" i="389"/>
  <c r="E67" i="389"/>
  <c r="U8" i="414" l="1"/>
  <c r="U9" i="414" s="1"/>
  <c r="U54" i="414"/>
  <c r="U17" i="414" s="1"/>
  <c r="U18" i="414" s="1"/>
  <c r="M272" i="414"/>
  <c r="M267" i="414"/>
  <c r="M257" i="414"/>
  <c r="M258" i="414" s="1"/>
  <c r="M262" i="414"/>
  <c r="M8" i="420"/>
  <c r="M9" i="420" s="1"/>
  <c r="M53" i="420"/>
  <c r="J255" i="420"/>
  <c r="J260" i="420"/>
  <c r="M244" i="420"/>
  <c r="M245" i="420" s="1"/>
  <c r="M241" i="420"/>
  <c r="M242" i="420"/>
  <c r="O243" i="420"/>
  <c r="P243" i="420" s="1"/>
  <c r="Q243" i="420" s="1"/>
  <c r="R243" i="420" s="1"/>
  <c r="S243" i="420" s="1"/>
  <c r="T243" i="420" s="1"/>
  <c r="U243" i="420" s="1"/>
  <c r="V243" i="420" s="1"/>
  <c r="W243" i="420" s="1"/>
  <c r="X243" i="420" s="1"/>
  <c r="N244" i="420"/>
  <c r="N245" i="420" s="1"/>
  <c r="N342" i="420"/>
  <c r="N333" i="420" s="1"/>
  <c r="N334" i="420" s="1"/>
  <c r="C61" i="389"/>
  <c r="W236" i="414"/>
  <c r="K45" i="414"/>
  <c r="K46" i="414"/>
  <c r="P147" i="420"/>
  <c r="O137" i="419"/>
  <c r="P237" i="419"/>
  <c r="Q237" i="419" s="1"/>
  <c r="R237" i="419" s="1"/>
  <c r="S237" i="419" s="1"/>
  <c r="T237" i="419" s="1"/>
  <c r="U237" i="419" s="1"/>
  <c r="V237" i="419" s="1"/>
  <c r="W237" i="419" s="1"/>
  <c r="X237" i="419" s="1"/>
  <c r="O151" i="420"/>
  <c r="P151" i="420" s="1"/>
  <c r="O258" i="420"/>
  <c r="O145" i="420"/>
  <c r="P145" i="420" s="1"/>
  <c r="O58" i="420"/>
  <c r="P58" i="420" s="1"/>
  <c r="O198" i="420"/>
  <c r="O150" i="420"/>
  <c r="P150" i="420" s="1"/>
  <c r="O235" i="420"/>
  <c r="P235" i="420" s="1"/>
  <c r="O202" i="420"/>
  <c r="P202" i="420" s="1"/>
  <c r="O199" i="420"/>
  <c r="P199" i="420" s="1"/>
  <c r="O214" i="420"/>
  <c r="P214" i="420" s="1"/>
  <c r="O144" i="420"/>
  <c r="P144" i="420" s="1"/>
  <c r="O253" i="420"/>
  <c r="O153" i="420"/>
  <c r="P153" i="420" s="1"/>
  <c r="O263" i="420"/>
  <c r="O186" i="420"/>
  <c r="P186" i="420" s="1"/>
  <c r="O208" i="420"/>
  <c r="K265" i="419"/>
  <c r="J265" i="419"/>
  <c r="K133" i="419"/>
  <c r="M83" i="419"/>
  <c r="J232" i="420"/>
  <c r="N52" i="420"/>
  <c r="L234" i="420"/>
  <c r="N241" i="420"/>
  <c r="V236" i="414"/>
  <c r="O50" i="419"/>
  <c r="O111" i="419" s="1"/>
  <c r="O190" i="419" s="1"/>
  <c r="O51" i="419"/>
  <c r="O49" i="419"/>
  <c r="L258" i="420"/>
  <c r="L268" i="420"/>
  <c r="L253" i="420"/>
  <c r="L310" i="420"/>
  <c r="L301" i="420" s="1"/>
  <c r="L302" i="420" s="1"/>
  <c r="J342" i="420"/>
  <c r="L342" i="420"/>
  <c r="L333" i="420" s="1"/>
  <c r="L334" i="420" s="1"/>
  <c r="E63" i="389"/>
  <c r="N277" i="414"/>
  <c r="N262" i="414"/>
  <c r="O240" i="414"/>
  <c r="O188" i="414" s="1"/>
  <c r="N267" i="414"/>
  <c r="N272" i="414"/>
  <c r="K69" i="414"/>
  <c r="K47" i="414"/>
  <c r="L238" i="414"/>
  <c r="L245" i="414"/>
  <c r="K246" i="414"/>
  <c r="N314" i="414"/>
  <c r="L346" i="414"/>
  <c r="O200" i="419"/>
  <c r="O273" i="419"/>
  <c r="O147" i="419"/>
  <c r="O186" i="419"/>
  <c r="P236" i="419"/>
  <c r="O198" i="419"/>
  <c r="O208" i="419"/>
  <c r="O202" i="419"/>
  <c r="O150" i="419"/>
  <c r="P150" i="419" s="1"/>
  <c r="O268" i="419"/>
  <c r="O214" i="419"/>
  <c r="O146" i="419"/>
  <c r="O199" i="419"/>
  <c r="P199" i="419" s="1"/>
  <c r="O185" i="419"/>
  <c r="O105" i="419" s="1"/>
  <c r="O235" i="419"/>
  <c r="N81" i="420"/>
  <c r="O81" i="420" s="1"/>
  <c r="P81" i="420" s="1"/>
  <c r="Q81" i="420" s="1"/>
  <c r="R81" i="420" s="1"/>
  <c r="S81" i="420" s="1"/>
  <c r="T81" i="420" s="1"/>
  <c r="U81" i="420" s="1"/>
  <c r="V81" i="420" s="1"/>
  <c r="W81" i="420" s="1"/>
  <c r="X81" i="420" s="1"/>
  <c r="M342" i="420"/>
  <c r="M333" i="420" s="1"/>
  <c r="M334" i="420" s="1"/>
  <c r="K260" i="420"/>
  <c r="K83" i="420"/>
  <c r="N239" i="420"/>
  <c r="N272" i="420" s="1"/>
  <c r="L273" i="420"/>
  <c r="S54" i="414"/>
  <c r="S17" i="414" s="1"/>
  <c r="S18" i="414" s="1"/>
  <c r="U236" i="414"/>
  <c r="P8" i="414"/>
  <c r="P9" i="414" s="1"/>
  <c r="K53" i="414"/>
  <c r="O234" i="419"/>
  <c r="O265" i="419"/>
  <c r="P98" i="419"/>
  <c r="P146" i="420"/>
  <c r="P258" i="420"/>
  <c r="Q236" i="420"/>
  <c r="Q247" i="420" s="1"/>
  <c r="P253" i="420"/>
  <c r="P263" i="420"/>
  <c r="K245" i="420"/>
  <c r="L133" i="419"/>
  <c r="L275" i="419" s="1"/>
  <c r="K236" i="420"/>
  <c r="M249" i="414"/>
  <c r="J81" i="420"/>
  <c r="K310" i="420"/>
  <c r="K301" i="420" s="1"/>
  <c r="K302" i="420" s="1"/>
  <c r="J324" i="420"/>
  <c r="N324" i="420"/>
  <c r="N319" i="420" s="1"/>
  <c r="N320" i="420" s="1"/>
  <c r="K342" i="420"/>
  <c r="O189" i="414"/>
  <c r="K81" i="419"/>
  <c r="L260" i="419"/>
  <c r="M234" i="420"/>
  <c r="J69" i="414"/>
  <c r="M69" i="414"/>
  <c r="K248" i="414"/>
  <c r="M346" i="414"/>
  <c r="M337" i="414" s="1"/>
  <c r="N270" i="419"/>
  <c r="M270" i="419"/>
  <c r="J133" i="419"/>
  <c r="N260" i="420"/>
  <c r="M81" i="420"/>
  <c r="X8" i="414"/>
  <c r="X9" i="414" s="1"/>
  <c r="X54" i="414"/>
  <c r="X17" i="414" s="1"/>
  <c r="X18" i="414" s="1"/>
  <c r="W245" i="414"/>
  <c r="X245" i="414"/>
  <c r="L44" i="414"/>
  <c r="L5" i="414"/>
  <c r="H8" i="414"/>
  <c r="H9" i="414" s="1"/>
  <c r="H13" i="414" s="1"/>
  <c r="H15" i="414" s="1"/>
  <c r="H40" i="414" s="1"/>
  <c r="H53" i="414"/>
  <c r="P163" i="414"/>
  <c r="O173" i="414"/>
  <c r="O155" i="414"/>
  <c r="N38" i="389"/>
  <c r="Q8" i="414"/>
  <c r="Q9" i="414" s="1"/>
  <c r="Q54" i="414"/>
  <c r="Q17" i="414" s="1"/>
  <c r="Q18" i="414" s="1"/>
  <c r="C63" i="389"/>
  <c r="C57" i="389"/>
  <c r="D57" i="389"/>
  <c r="U243" i="414"/>
  <c r="U276" i="414" s="1"/>
  <c r="V243" i="414"/>
  <c r="V276" i="414" s="1"/>
  <c r="S243" i="414"/>
  <c r="S276" i="414" s="1"/>
  <c r="T243" i="414"/>
  <c r="T276" i="414" s="1"/>
  <c r="R246" i="414"/>
  <c r="S245" i="414"/>
  <c r="E56" i="389"/>
  <c r="P38" i="389"/>
  <c r="C65" i="389"/>
  <c r="P75" i="414"/>
  <c r="O259" i="414"/>
  <c r="O86" i="414"/>
  <c r="H267" i="420"/>
  <c r="H269" i="420" s="1"/>
  <c r="H267" i="419"/>
  <c r="H271" i="414"/>
  <c r="L267" i="420"/>
  <c r="L267" i="419"/>
  <c r="L271" i="414"/>
  <c r="P267" i="420"/>
  <c r="P267" i="419"/>
  <c r="P271" i="414"/>
  <c r="T267" i="420"/>
  <c r="T267" i="419"/>
  <c r="X267" i="419"/>
  <c r="X267" i="420"/>
  <c r="X271" i="414"/>
  <c r="G252" i="420"/>
  <c r="G252" i="419"/>
  <c r="G254" i="419" s="1"/>
  <c r="G256" i="414"/>
  <c r="K252" i="420"/>
  <c r="K252" i="419"/>
  <c r="K254" i="419" s="1"/>
  <c r="K256" i="414"/>
  <c r="O252" i="420"/>
  <c r="O252" i="419"/>
  <c r="O256" i="414"/>
  <c r="O94" i="414"/>
  <c r="P94" i="414" s="1"/>
  <c r="Q94" i="414" s="1"/>
  <c r="R94" i="414" s="1"/>
  <c r="S94" i="414" s="1"/>
  <c r="T94" i="414" s="1"/>
  <c r="U94" i="414" s="1"/>
  <c r="V94" i="414" s="1"/>
  <c r="W94" i="414" s="1"/>
  <c r="X94" i="414" s="1"/>
  <c r="S252" i="420"/>
  <c r="S252" i="419"/>
  <c r="S256" i="414"/>
  <c r="W252" i="420"/>
  <c r="W252" i="419"/>
  <c r="V8" i="414"/>
  <c r="V9" i="414" s="1"/>
  <c r="V54" i="414"/>
  <c r="V17" i="414" s="1"/>
  <c r="V18" i="414" s="1"/>
  <c r="U246" i="414"/>
  <c r="N222" i="414"/>
  <c r="O222" i="414" s="1"/>
  <c r="N35" i="414"/>
  <c r="N223" i="414"/>
  <c r="N30" i="414" s="1"/>
  <c r="M323" i="414"/>
  <c r="M329" i="414"/>
  <c r="E37" i="414"/>
  <c r="E38" i="414"/>
  <c r="L222" i="414"/>
  <c r="L223" i="414"/>
  <c r="L30" i="414" s="1"/>
  <c r="F22" i="414"/>
  <c r="F24" i="414" s="1"/>
  <c r="F41" i="414" s="1"/>
  <c r="F25" i="414"/>
  <c r="N17" i="414"/>
  <c r="N18" i="414" s="1"/>
  <c r="L58" i="414"/>
  <c r="L59" i="414"/>
  <c r="L64" i="414" s="1"/>
  <c r="H20" i="414"/>
  <c r="H19" i="414" s="1"/>
  <c r="H21" i="414" s="1"/>
  <c r="H87" i="414"/>
  <c r="H264" i="414"/>
  <c r="I264" i="414"/>
  <c r="H85" i="414"/>
  <c r="E279" i="414"/>
  <c r="J156" i="414"/>
  <c r="J153" i="414"/>
  <c r="J155" i="414"/>
  <c r="J158" i="414"/>
  <c r="J159" i="414"/>
  <c r="P166" i="414"/>
  <c r="O23" i="414"/>
  <c r="M58" i="414"/>
  <c r="M59" i="414"/>
  <c r="M64" i="414" s="1"/>
  <c r="H34" i="414"/>
  <c r="H231" i="414"/>
  <c r="L153" i="419"/>
  <c r="L151" i="419"/>
  <c r="L150" i="419"/>
  <c r="L152" i="419"/>
  <c r="L155" i="419"/>
  <c r="L156" i="419"/>
  <c r="N155" i="419"/>
  <c r="O155" i="419" s="1"/>
  <c r="N156" i="419"/>
  <c r="O156" i="419" s="1"/>
  <c r="F2" i="389"/>
  <c r="P40" i="389"/>
  <c r="P43" i="389"/>
  <c r="E66" i="389" s="1"/>
  <c r="P48" i="389"/>
  <c r="P53" i="389"/>
  <c r="O42" i="389"/>
  <c r="O47" i="389"/>
  <c r="D64" i="389" s="1"/>
  <c r="D65" i="389" s="1"/>
  <c r="O52" i="389"/>
  <c r="N40" i="389"/>
  <c r="N44" i="389"/>
  <c r="C66" i="389" s="1"/>
  <c r="N50" i="389"/>
  <c r="N54" i="389"/>
  <c r="M40" i="389"/>
  <c r="M45" i="389"/>
  <c r="M49" i="389"/>
  <c r="M54" i="389"/>
  <c r="E267" i="420"/>
  <c r="E267" i="419"/>
  <c r="I267" i="420"/>
  <c r="I269" i="420" s="1"/>
  <c r="I267" i="419"/>
  <c r="M267" i="420"/>
  <c r="M267" i="419"/>
  <c r="Q267" i="420"/>
  <c r="Q267" i="419"/>
  <c r="U267" i="420"/>
  <c r="U267" i="419"/>
  <c r="O104" i="420"/>
  <c r="O104" i="419"/>
  <c r="H252" i="420"/>
  <c r="H252" i="419"/>
  <c r="H254" i="419" s="1"/>
  <c r="L252" i="420"/>
  <c r="L252" i="419"/>
  <c r="L254" i="419" s="1"/>
  <c r="P252" i="420"/>
  <c r="P252" i="419"/>
  <c r="T252" i="420"/>
  <c r="T252" i="419"/>
  <c r="X252" i="420"/>
  <c r="X252" i="419"/>
  <c r="O75" i="420"/>
  <c r="P75" i="420" s="1"/>
  <c r="O74" i="420"/>
  <c r="P74" i="420" s="1"/>
  <c r="Q74" i="420" s="1"/>
  <c r="O73" i="420"/>
  <c r="P73" i="420" s="1"/>
  <c r="O75" i="419"/>
  <c r="O73" i="419"/>
  <c r="S246" i="414"/>
  <c r="O8" i="414"/>
  <c r="O9" i="414" s="1"/>
  <c r="P245" i="414"/>
  <c r="O51" i="414"/>
  <c r="P51" i="414" s="1"/>
  <c r="Q51" i="414" s="1"/>
  <c r="R51" i="414" s="1"/>
  <c r="S51" i="414" s="1"/>
  <c r="T51" i="414" s="1"/>
  <c r="U51" i="414" s="1"/>
  <c r="V51" i="414" s="1"/>
  <c r="W51" i="414" s="1"/>
  <c r="X51" i="414" s="1"/>
  <c r="I22" i="414"/>
  <c r="I24" i="414" s="1"/>
  <c r="I41" i="414" s="1"/>
  <c r="D53" i="414"/>
  <c r="J42" i="414"/>
  <c r="L35" i="414"/>
  <c r="R218" i="414"/>
  <c r="Q219" i="414"/>
  <c r="M53" i="414"/>
  <c r="M8" i="414"/>
  <c r="M9" i="414" s="1"/>
  <c r="K222" i="414"/>
  <c r="K35" i="414"/>
  <c r="I37" i="414"/>
  <c r="I38" i="414"/>
  <c r="J154" i="414"/>
  <c r="L137" i="414"/>
  <c r="J137" i="414"/>
  <c r="X252" i="414"/>
  <c r="W225" i="414"/>
  <c r="O225" i="414"/>
  <c r="V197" i="414"/>
  <c r="O197" i="414"/>
  <c r="L195" i="414"/>
  <c r="L194" i="414" s="1"/>
  <c r="J193" i="414"/>
  <c r="Q252" i="414"/>
  <c r="R225" i="414"/>
  <c r="P197" i="414"/>
  <c r="M195" i="414"/>
  <c r="N143" i="414"/>
  <c r="K135" i="414"/>
  <c r="L134" i="414"/>
  <c r="N132" i="414"/>
  <c r="O132" i="414" s="1"/>
  <c r="P132" i="414" s="1"/>
  <c r="Q132" i="414" s="1"/>
  <c r="R132" i="414" s="1"/>
  <c r="S132" i="414" s="1"/>
  <c r="T132" i="414" s="1"/>
  <c r="U132" i="414" s="1"/>
  <c r="V132" i="414" s="1"/>
  <c r="W132" i="414" s="1"/>
  <c r="X132" i="414" s="1"/>
  <c r="J132" i="414"/>
  <c r="L128" i="414"/>
  <c r="K127" i="414"/>
  <c r="K126" i="414" s="1"/>
  <c r="J122" i="414"/>
  <c r="M111" i="414"/>
  <c r="N102" i="414"/>
  <c r="K88" i="414"/>
  <c r="P143" i="414"/>
  <c r="T143" i="414"/>
  <c r="X143" i="414"/>
  <c r="M134" i="414"/>
  <c r="K132" i="414"/>
  <c r="M128" i="414"/>
  <c r="J127" i="414"/>
  <c r="J126" i="414" s="1"/>
  <c r="N121" i="414"/>
  <c r="N120" i="414" s="1"/>
  <c r="O120" i="414" s="1"/>
  <c r="P120" i="414" s="1"/>
  <c r="Q120" i="414" s="1"/>
  <c r="R120" i="414" s="1"/>
  <c r="S120" i="414" s="1"/>
  <c r="T120" i="414" s="1"/>
  <c r="U120" i="414" s="1"/>
  <c r="V120" i="414" s="1"/>
  <c r="W120" i="414" s="1"/>
  <c r="X120" i="414" s="1"/>
  <c r="L121" i="414"/>
  <c r="L120" i="414" s="1"/>
  <c r="M112" i="414"/>
  <c r="J111" i="414"/>
  <c r="M102" i="414"/>
  <c r="J88" i="414"/>
  <c r="N137" i="414"/>
  <c r="V252" i="414"/>
  <c r="U225" i="414"/>
  <c r="S197" i="414"/>
  <c r="W197" i="414"/>
  <c r="M197" i="414"/>
  <c r="J195" i="414"/>
  <c r="W252" i="414"/>
  <c r="X225" i="414"/>
  <c r="P225" i="414"/>
  <c r="N197" i="414"/>
  <c r="K195" i="414"/>
  <c r="K194" i="414" s="1"/>
  <c r="L143" i="414"/>
  <c r="N134" i="414"/>
  <c r="O134" i="414" s="1"/>
  <c r="P134" i="414" s="1"/>
  <c r="Q134" i="414" s="1"/>
  <c r="R134" i="414" s="1"/>
  <c r="S134" i="414" s="1"/>
  <c r="T134" i="414" s="1"/>
  <c r="U134" i="414" s="1"/>
  <c r="V134" i="414" s="1"/>
  <c r="W134" i="414" s="1"/>
  <c r="X134" i="414" s="1"/>
  <c r="J134" i="414"/>
  <c r="M131" i="414"/>
  <c r="M136" i="414" s="1"/>
  <c r="J128" i="414"/>
  <c r="M121" i="414"/>
  <c r="M120" i="414" s="1"/>
  <c r="N112" i="414"/>
  <c r="K111" i="414"/>
  <c r="L102" i="414"/>
  <c r="M86" i="414"/>
  <c r="M87" i="414" s="1"/>
  <c r="Q143" i="414"/>
  <c r="U143" i="414"/>
  <c r="M143" i="414"/>
  <c r="K134" i="414"/>
  <c r="L133" i="414"/>
  <c r="N131" i="414"/>
  <c r="K128" i="414"/>
  <c r="K112" i="414"/>
  <c r="N103" i="414"/>
  <c r="K102" i="414"/>
  <c r="N86" i="414"/>
  <c r="O247" i="414"/>
  <c r="O241" i="414"/>
  <c r="K137" i="414"/>
  <c r="T252" i="414"/>
  <c r="S225" i="414"/>
  <c r="T197" i="414"/>
  <c r="X197" i="414"/>
  <c r="K197" i="414"/>
  <c r="N193" i="414"/>
  <c r="O193" i="414" s="1"/>
  <c r="U252" i="414"/>
  <c r="V225" i="414"/>
  <c r="N225" i="414"/>
  <c r="L197" i="414"/>
  <c r="M193" i="414"/>
  <c r="J143" i="414"/>
  <c r="M133" i="414"/>
  <c r="K131" i="414"/>
  <c r="K136" i="414" s="1"/>
  <c r="M127" i="414"/>
  <c r="M126" i="414" s="1"/>
  <c r="N122" i="414"/>
  <c r="L112" i="414"/>
  <c r="M103" i="414"/>
  <c r="J102" i="414"/>
  <c r="K86" i="414"/>
  <c r="R143" i="414"/>
  <c r="V143" i="414"/>
  <c r="K143" i="414"/>
  <c r="L135" i="414"/>
  <c r="N133" i="414"/>
  <c r="O133" i="414" s="1"/>
  <c r="P133" i="414" s="1"/>
  <c r="Q133" i="414" s="1"/>
  <c r="R133" i="414" s="1"/>
  <c r="S133" i="414" s="1"/>
  <c r="T133" i="414" s="1"/>
  <c r="U133" i="414" s="1"/>
  <c r="V133" i="414" s="1"/>
  <c r="W133" i="414" s="1"/>
  <c r="X133" i="414" s="1"/>
  <c r="J133" i="414"/>
  <c r="L131" i="414"/>
  <c r="L136" i="414" s="1"/>
  <c r="N127" i="414"/>
  <c r="L127" i="414"/>
  <c r="L126" i="414" s="1"/>
  <c r="M122" i="414"/>
  <c r="J121" i="414"/>
  <c r="J120" i="414" s="1"/>
  <c r="N111" i="414"/>
  <c r="L103" i="414"/>
  <c r="N88" i="414"/>
  <c r="L86" i="414"/>
  <c r="O144" i="414"/>
  <c r="P144" i="414" s="1"/>
  <c r="Q144" i="414" s="1"/>
  <c r="R144" i="414" s="1"/>
  <c r="S144" i="414" s="1"/>
  <c r="T144" i="414" s="1"/>
  <c r="U144" i="414" s="1"/>
  <c r="V144" i="414" s="1"/>
  <c r="W144" i="414" s="1"/>
  <c r="X144" i="414" s="1"/>
  <c r="O250" i="414"/>
  <c r="P250" i="414" s="1"/>
  <c r="Q250" i="414" s="1"/>
  <c r="R250" i="414" s="1"/>
  <c r="S250" i="414" s="1"/>
  <c r="T250" i="414" s="1"/>
  <c r="U250" i="414" s="1"/>
  <c r="V250" i="414" s="1"/>
  <c r="W250" i="414" s="1"/>
  <c r="X250" i="414" s="1"/>
  <c r="O235" i="414"/>
  <c r="D25" i="414"/>
  <c r="L17" i="414"/>
  <c r="L18" i="414" s="1"/>
  <c r="L53" i="414"/>
  <c r="E264" i="414"/>
  <c r="F264" i="414"/>
  <c r="E20" i="414"/>
  <c r="E19" i="414" s="1"/>
  <c r="E126" i="414"/>
  <c r="I126" i="414"/>
  <c r="E154" i="414"/>
  <c r="E153" i="414"/>
  <c r="E156" i="414"/>
  <c r="P167" i="414"/>
  <c r="Q167" i="414" s="1"/>
  <c r="R167" i="414" s="1"/>
  <c r="S167" i="414" s="1"/>
  <c r="T167" i="414" s="1"/>
  <c r="U167" i="414" s="1"/>
  <c r="V167" i="414" s="1"/>
  <c r="W167" i="414" s="1"/>
  <c r="X167" i="414" s="1"/>
  <c r="O172" i="414"/>
  <c r="P172" i="414" s="1"/>
  <c r="Q172" i="414" s="1"/>
  <c r="R172" i="414" s="1"/>
  <c r="S172" i="414" s="1"/>
  <c r="T172" i="414" s="1"/>
  <c r="U172" i="414" s="1"/>
  <c r="V172" i="414" s="1"/>
  <c r="W172" i="414" s="1"/>
  <c r="X172" i="414" s="1"/>
  <c r="P187" i="414"/>
  <c r="I197" i="414"/>
  <c r="H197" i="414"/>
  <c r="G58" i="414"/>
  <c r="N59" i="414"/>
  <c r="N64" i="414" s="1"/>
  <c r="N58" i="414"/>
  <c r="O58" i="414" s="1"/>
  <c r="E23" i="420"/>
  <c r="E23" i="419"/>
  <c r="D109" i="415"/>
  <c r="S4" i="417"/>
  <c r="R238" i="419"/>
  <c r="R238" i="420"/>
  <c r="I263" i="414"/>
  <c r="F267" i="420"/>
  <c r="F269" i="420" s="1"/>
  <c r="F267" i="419"/>
  <c r="F269" i="419" s="1"/>
  <c r="J267" i="420"/>
  <c r="J269" i="420" s="1"/>
  <c r="J267" i="419"/>
  <c r="N267" i="420"/>
  <c r="N267" i="419"/>
  <c r="N269" i="419" s="1"/>
  <c r="R267" i="420"/>
  <c r="R267" i="419"/>
  <c r="V267" i="420"/>
  <c r="V267" i="419"/>
  <c r="E252" i="419"/>
  <c r="E254" i="419" s="1"/>
  <c r="E252" i="420"/>
  <c r="I252" i="420"/>
  <c r="I254" i="420" s="1"/>
  <c r="I252" i="419"/>
  <c r="I254" i="419" s="1"/>
  <c r="M252" i="420"/>
  <c r="M254" i="420" s="1"/>
  <c r="M252" i="419"/>
  <c r="M254" i="419" s="1"/>
  <c r="Q252" i="420"/>
  <c r="Q252" i="419"/>
  <c r="U252" i="419"/>
  <c r="U252" i="420"/>
  <c r="O78" i="420"/>
  <c r="P78" i="420" s="1"/>
  <c r="O79" i="420"/>
  <c r="P79" i="420" s="1"/>
  <c r="O80" i="419"/>
  <c r="O79" i="419"/>
  <c r="P79" i="419" s="1"/>
  <c r="O80" i="420"/>
  <c r="P80" i="420" s="1"/>
  <c r="O78" i="419"/>
  <c r="O77" i="420"/>
  <c r="P77" i="420" s="1"/>
  <c r="I25" i="414"/>
  <c r="H36" i="414"/>
  <c r="H43" i="414" s="1"/>
  <c r="J279" i="414"/>
  <c r="O211" i="414"/>
  <c r="O148" i="414"/>
  <c r="O239" i="414"/>
  <c r="G21" i="414"/>
  <c r="G22" i="414"/>
  <c r="G24" i="414" s="1"/>
  <c r="G41" i="414" s="1"/>
  <c r="J20" i="414"/>
  <c r="J19" i="414" s="1"/>
  <c r="J264" i="414"/>
  <c r="J85" i="414"/>
  <c r="F183" i="414"/>
  <c r="F190" i="414" s="1"/>
  <c r="E178" i="414"/>
  <c r="E176" i="414" s="1"/>
  <c r="E179" i="414" s="1"/>
  <c r="O99" i="414"/>
  <c r="P99" i="414" s="1"/>
  <c r="Q99" i="414" s="1"/>
  <c r="R99" i="414" s="1"/>
  <c r="S99" i="414" s="1"/>
  <c r="T99" i="414" s="1"/>
  <c r="U99" i="414" s="1"/>
  <c r="V99" i="414" s="1"/>
  <c r="W99" i="414" s="1"/>
  <c r="X99" i="414" s="1"/>
  <c r="P98" i="414"/>
  <c r="Q98" i="414" s="1"/>
  <c r="R98" i="414" s="1"/>
  <c r="S98" i="414" s="1"/>
  <c r="T98" i="414" s="1"/>
  <c r="U98" i="414" s="1"/>
  <c r="V98" i="414" s="1"/>
  <c r="W98" i="414" s="1"/>
  <c r="X98" i="414" s="1"/>
  <c r="H269" i="414"/>
  <c r="I269" i="414"/>
  <c r="I266" i="414"/>
  <c r="I268" i="414" s="1"/>
  <c r="H266" i="414"/>
  <c r="L266" i="414"/>
  <c r="M266" i="414"/>
  <c r="P266" i="414"/>
  <c r="Q266" i="414"/>
  <c r="T266" i="414"/>
  <c r="U266" i="414"/>
  <c r="G110" i="414"/>
  <c r="G274" i="414"/>
  <c r="I279" i="414"/>
  <c r="H279" i="414"/>
  <c r="I278" i="414"/>
  <c r="F206" i="414"/>
  <c r="F33" i="414"/>
  <c r="F36" i="414" s="1"/>
  <c r="F43" i="414" s="1"/>
  <c r="J33" i="414"/>
  <c r="J36" i="414" s="1"/>
  <c r="J43" i="414" s="1"/>
  <c r="J38" i="414"/>
  <c r="K31" i="414"/>
  <c r="O109" i="414"/>
  <c r="P185" i="414"/>
  <c r="G194" i="414"/>
  <c r="K58" i="414"/>
  <c r="K59" i="414"/>
  <c r="K64" i="414" s="1"/>
  <c r="F218" i="414"/>
  <c r="F219" i="414" s="1"/>
  <c r="F231" i="414"/>
  <c r="F34" i="414"/>
  <c r="F228" i="414"/>
  <c r="J35" i="414"/>
  <c r="J222" i="414"/>
  <c r="J223" i="414"/>
  <c r="J30" i="414" s="1"/>
  <c r="M218" i="414"/>
  <c r="M219" i="414" s="1"/>
  <c r="M228" i="414"/>
  <c r="E236" i="414"/>
  <c r="F236" i="414"/>
  <c r="I236" i="414"/>
  <c r="J236" i="414"/>
  <c r="G238" i="414"/>
  <c r="F238" i="414"/>
  <c r="J46" i="414"/>
  <c r="K238" i="414"/>
  <c r="J47" i="414"/>
  <c r="N238" i="414"/>
  <c r="N46" i="414"/>
  <c r="G240" i="414"/>
  <c r="H240" i="414"/>
  <c r="K240" i="414"/>
  <c r="L240" i="414"/>
  <c r="L323" i="414"/>
  <c r="L326" i="414" s="1"/>
  <c r="L324" i="414"/>
  <c r="L337" i="414"/>
  <c r="E243" i="414"/>
  <c r="E276" i="414" s="1"/>
  <c r="E278" i="414" s="1"/>
  <c r="F243" i="414"/>
  <c r="F276" i="414" s="1"/>
  <c r="F278" i="414" s="1"/>
  <c r="E246" i="414"/>
  <c r="I243" i="414"/>
  <c r="I276" i="414" s="1"/>
  <c r="J243" i="414"/>
  <c r="J276" i="414" s="1"/>
  <c r="J278" i="414" s="1"/>
  <c r="I246" i="414"/>
  <c r="M243" i="414"/>
  <c r="M276" i="414" s="1"/>
  <c r="N243" i="414"/>
  <c r="N276" i="414" s="1"/>
  <c r="M246" i="414"/>
  <c r="F246" i="414"/>
  <c r="F248" i="414"/>
  <c r="F249" i="414" s="1"/>
  <c r="J248" i="414"/>
  <c r="J249" i="414" s="1"/>
  <c r="J245" i="414"/>
  <c r="K245" i="414"/>
  <c r="J246" i="414"/>
  <c r="N246" i="414"/>
  <c r="N248" i="414"/>
  <c r="N249" i="414" s="1"/>
  <c r="G249" i="414"/>
  <c r="L249" i="414"/>
  <c r="K249" i="414"/>
  <c r="L314" i="414"/>
  <c r="L305" i="414" s="1"/>
  <c r="K314" i="414"/>
  <c r="J314" i="414"/>
  <c r="M314" i="414"/>
  <c r="K328" i="414"/>
  <c r="J328" i="414"/>
  <c r="N328" i="414"/>
  <c r="K346" i="414"/>
  <c r="J346" i="414"/>
  <c r="N346" i="414"/>
  <c r="D51" i="420"/>
  <c r="D51" i="419"/>
  <c r="D52" i="419" s="1"/>
  <c r="P45" i="389"/>
  <c r="P50" i="389"/>
  <c r="D4" i="389"/>
  <c r="D38" i="389" s="1"/>
  <c r="O44" i="389"/>
  <c r="D66" i="389" s="1"/>
  <c r="O49" i="389"/>
  <c r="N42" i="389"/>
  <c r="C59" i="389" s="1"/>
  <c r="N48" i="389"/>
  <c r="M43" i="389"/>
  <c r="M47" i="389"/>
  <c r="I261" i="414"/>
  <c r="G267" i="420"/>
  <c r="G267" i="419"/>
  <c r="G269" i="419" s="1"/>
  <c r="K267" i="420"/>
  <c r="K267" i="419"/>
  <c r="O267" i="420"/>
  <c r="O267" i="419"/>
  <c r="S267" i="420"/>
  <c r="S267" i="419"/>
  <c r="W267" i="420"/>
  <c r="F252" i="420"/>
  <c r="F254" i="420" s="1"/>
  <c r="F252" i="419"/>
  <c r="F254" i="419" s="1"/>
  <c r="J252" i="420"/>
  <c r="J254" i="420" s="1"/>
  <c r="J252" i="419"/>
  <c r="J254" i="419" s="1"/>
  <c r="N252" i="420"/>
  <c r="N254" i="420" s="1"/>
  <c r="N252" i="419"/>
  <c r="N254" i="419" s="1"/>
  <c r="R252" i="420"/>
  <c r="R252" i="419"/>
  <c r="V252" i="420"/>
  <c r="V252" i="419"/>
  <c r="P76" i="420"/>
  <c r="Q76" i="420" s="1"/>
  <c r="Q209" i="414"/>
  <c r="O203" i="414"/>
  <c r="J59" i="414"/>
  <c r="J64" i="414" s="1"/>
  <c r="M11" i="414"/>
  <c r="M10" i="414" s="1"/>
  <c r="L13" i="414"/>
  <c r="L15" i="414" s="1"/>
  <c r="N305" i="414"/>
  <c r="N306" i="414" s="1"/>
  <c r="N316" i="414"/>
  <c r="F45" i="414"/>
  <c r="F52" i="414"/>
  <c r="F8" i="414" s="1"/>
  <c r="F9" i="414" s="1"/>
  <c r="F13" i="414" s="1"/>
  <c r="F15" i="414" s="1"/>
  <c r="F40" i="414" s="1"/>
  <c r="J45" i="414"/>
  <c r="J52" i="414"/>
  <c r="N52" i="414"/>
  <c r="N8" i="414" s="1"/>
  <c r="N9" i="414" s="1"/>
  <c r="N45" i="414"/>
  <c r="H25" i="414"/>
  <c r="H22" i="414"/>
  <c r="H24" i="414" s="1"/>
  <c r="H41" i="414" s="1"/>
  <c r="M72" i="414"/>
  <c r="H259" i="414"/>
  <c r="G85" i="414"/>
  <c r="G259" i="414"/>
  <c r="G264" i="414"/>
  <c r="E87" i="414"/>
  <c r="E11" i="414"/>
  <c r="E10" i="414" s="1"/>
  <c r="E13" i="414" s="1"/>
  <c r="E15" i="414" s="1"/>
  <c r="E40" i="414" s="1"/>
  <c r="I87" i="414"/>
  <c r="I11" i="414"/>
  <c r="I10" i="414" s="1"/>
  <c r="I13" i="414" s="1"/>
  <c r="I15" i="414" s="1"/>
  <c r="I40" i="414" s="1"/>
  <c r="F279" i="414"/>
  <c r="M154" i="414"/>
  <c r="M153" i="414"/>
  <c r="M156" i="414"/>
  <c r="E158" i="414"/>
  <c r="E159" i="414"/>
  <c r="I158" i="414"/>
  <c r="I159" i="414"/>
  <c r="M159" i="414"/>
  <c r="O67" i="414"/>
  <c r="O70" i="414" s="1"/>
  <c r="O72" i="414" s="1"/>
  <c r="P165" i="414"/>
  <c r="O177" i="414"/>
  <c r="H218" i="414"/>
  <c r="H219" i="414" s="1"/>
  <c r="G29" i="414"/>
  <c r="G31" i="414" s="1"/>
  <c r="G42" i="414" s="1"/>
  <c r="G228" i="414"/>
  <c r="E53" i="419"/>
  <c r="E8" i="419"/>
  <c r="E9" i="419" s="1"/>
  <c r="O140" i="419"/>
  <c r="P140" i="419" s="1"/>
  <c r="Q140" i="419" s="1"/>
  <c r="R140" i="419" s="1"/>
  <c r="S140" i="419" s="1"/>
  <c r="T140" i="419" s="1"/>
  <c r="U140" i="419" s="1"/>
  <c r="V140" i="419" s="1"/>
  <c r="W140" i="419" s="1"/>
  <c r="X140" i="419" s="1"/>
  <c r="O141" i="419"/>
  <c r="P141" i="419" s="1"/>
  <c r="Q141" i="419" s="1"/>
  <c r="R141" i="419" s="1"/>
  <c r="S141" i="419" s="1"/>
  <c r="T141" i="419" s="1"/>
  <c r="U141" i="419" s="1"/>
  <c r="V141" i="419" s="1"/>
  <c r="W141" i="419" s="1"/>
  <c r="X141" i="419" s="1"/>
  <c r="C109" i="415"/>
  <c r="D23" i="419"/>
  <c r="F23" i="419"/>
  <c r="E8" i="420"/>
  <c r="E53" i="420"/>
  <c r="I208" i="420"/>
  <c r="I57" i="420" s="1"/>
  <c r="I208" i="419"/>
  <c r="I57" i="419" s="1"/>
  <c r="E44" i="420"/>
  <c r="E5" i="420"/>
  <c r="H51" i="420"/>
  <c r="H51" i="419"/>
  <c r="H52" i="419" s="1"/>
  <c r="F51" i="420"/>
  <c r="F51" i="419"/>
  <c r="N6" i="417"/>
  <c r="O5" i="417"/>
  <c r="G50" i="419"/>
  <c r="G52" i="419" s="1"/>
  <c r="H52" i="420"/>
  <c r="G175" i="420"/>
  <c r="G173" i="420" s="1"/>
  <c r="G176" i="420" s="1"/>
  <c r="H180" i="420"/>
  <c r="H187" i="420" s="1"/>
  <c r="F50" i="419"/>
  <c r="F52" i="419" s="1"/>
  <c r="E80" i="419"/>
  <c r="E81" i="419" s="1"/>
  <c r="G80" i="419"/>
  <c r="G81" i="419" s="1"/>
  <c r="I80" i="419"/>
  <c r="I81" i="419" s="1"/>
  <c r="J167" i="419"/>
  <c r="K160" i="419" s="1"/>
  <c r="K167" i="419" s="1"/>
  <c r="L160" i="419" s="1"/>
  <c r="L167" i="419" s="1"/>
  <c r="M160" i="419" s="1"/>
  <c r="M167" i="419" s="1"/>
  <c r="N160" i="419" s="1"/>
  <c r="N167" i="419" s="1"/>
  <c r="O160" i="419" s="1"/>
  <c r="O167" i="419" s="1"/>
  <c r="F28" i="419"/>
  <c r="F31" i="419" s="1"/>
  <c r="F42" i="419" s="1"/>
  <c r="M28" i="419"/>
  <c r="F52" i="420"/>
  <c r="Q238" i="419"/>
  <c r="Q239" i="419" s="1"/>
  <c r="Q272" i="419" s="1"/>
  <c r="Q238" i="420"/>
  <c r="Q239" i="420" s="1"/>
  <c r="Q272" i="420" s="1"/>
  <c r="V101" i="420"/>
  <c r="R101" i="420"/>
  <c r="N101" i="420"/>
  <c r="J101" i="420"/>
  <c r="F101" i="420"/>
  <c r="W101" i="420"/>
  <c r="Q101" i="420"/>
  <c r="L101" i="420"/>
  <c r="G101" i="420"/>
  <c r="U101" i="420"/>
  <c r="P101" i="420"/>
  <c r="K101" i="420"/>
  <c r="E101" i="420"/>
  <c r="O101" i="420"/>
  <c r="D101" i="420"/>
  <c r="S101" i="420"/>
  <c r="M101" i="420"/>
  <c r="X101" i="420"/>
  <c r="I101" i="420"/>
  <c r="H101" i="420"/>
  <c r="W101" i="419"/>
  <c r="S101" i="419"/>
  <c r="O101" i="419"/>
  <c r="K101" i="419"/>
  <c r="G101" i="419"/>
  <c r="V101" i="419"/>
  <c r="R101" i="419"/>
  <c r="N101" i="419"/>
  <c r="N262" i="419" s="1"/>
  <c r="N264" i="419" s="1"/>
  <c r="J101" i="419"/>
  <c r="F101" i="419"/>
  <c r="X101" i="419"/>
  <c r="P101" i="419"/>
  <c r="H101" i="419"/>
  <c r="U101" i="419"/>
  <c r="M101" i="419"/>
  <c r="E101" i="419"/>
  <c r="T101" i="420"/>
  <c r="T101" i="419"/>
  <c r="L101" i="419"/>
  <c r="D101" i="419"/>
  <c r="Q101" i="419"/>
  <c r="I101" i="419"/>
  <c r="L65" i="418"/>
  <c r="H88" i="418"/>
  <c r="H92" i="418"/>
  <c r="I257" i="420" s="1"/>
  <c r="I259" i="420" s="1"/>
  <c r="H96" i="418"/>
  <c r="I89" i="418"/>
  <c r="I93" i="418"/>
  <c r="H83" i="418"/>
  <c r="H86" i="418"/>
  <c r="G257" i="420" s="1"/>
  <c r="G259" i="420" s="1"/>
  <c r="I86" i="418"/>
  <c r="I90" i="418"/>
  <c r="I94" i="418"/>
  <c r="H90" i="418"/>
  <c r="H94" i="418"/>
  <c r="I87" i="418"/>
  <c r="I91" i="418"/>
  <c r="I95" i="418"/>
  <c r="H89" i="418"/>
  <c r="H93" i="418"/>
  <c r="V206" i="420"/>
  <c r="J269" i="419"/>
  <c r="J106" i="419"/>
  <c r="J270" i="419"/>
  <c r="K269" i="419"/>
  <c r="Q194" i="420"/>
  <c r="Q194" i="419"/>
  <c r="O195" i="419"/>
  <c r="P195" i="419" s="1"/>
  <c r="Q195" i="419" s="1"/>
  <c r="R195" i="419" s="1"/>
  <c r="S195" i="419" s="1"/>
  <c r="T195" i="419" s="1"/>
  <c r="U195" i="419" s="1"/>
  <c r="V195" i="419" s="1"/>
  <c r="W195" i="419" s="1"/>
  <c r="X195" i="419" s="1"/>
  <c r="O194" i="419"/>
  <c r="V100" i="419"/>
  <c r="P198" i="419"/>
  <c r="P258" i="419"/>
  <c r="H214" i="419"/>
  <c r="H216" i="419"/>
  <c r="P160" i="420"/>
  <c r="P167" i="420" s="1"/>
  <c r="O174" i="420"/>
  <c r="O152" i="420"/>
  <c r="O170" i="420"/>
  <c r="R194" i="420"/>
  <c r="R194" i="419"/>
  <c r="O57" i="419"/>
  <c r="O59" i="419" s="1"/>
  <c r="O60" i="419" s="1"/>
  <c r="O209" i="419"/>
  <c r="O121" i="419" s="1"/>
  <c r="O123" i="419" s="1"/>
  <c r="O124" i="419" s="1"/>
  <c r="R127" i="420"/>
  <c r="O154" i="420"/>
  <c r="E219" i="419"/>
  <c r="E30" i="419" s="1"/>
  <c r="E35" i="419"/>
  <c r="E218" i="419"/>
  <c r="N116" i="419"/>
  <c r="O116" i="419" s="1"/>
  <c r="J275" i="419"/>
  <c r="J274" i="419"/>
  <c r="K275" i="419"/>
  <c r="E270" i="419"/>
  <c r="E269" i="419"/>
  <c r="D106" i="419"/>
  <c r="H106" i="419"/>
  <c r="I269" i="419"/>
  <c r="I270" i="419"/>
  <c r="H269" i="419"/>
  <c r="G116" i="419"/>
  <c r="I275" i="419"/>
  <c r="I274" i="419"/>
  <c r="G275" i="419"/>
  <c r="H275" i="419"/>
  <c r="H274" i="419"/>
  <c r="D175" i="419"/>
  <c r="D173" i="419" s="1"/>
  <c r="D176" i="419" s="1"/>
  <c r="D203" i="419" s="1"/>
  <c r="D38" i="419" s="1"/>
  <c r="E180" i="419"/>
  <c r="E187" i="419" s="1"/>
  <c r="M133" i="419"/>
  <c r="P184" i="419"/>
  <c r="O64" i="419"/>
  <c r="G194" i="419"/>
  <c r="J28" i="419" s="1"/>
  <c r="J31" i="419" s="1"/>
  <c r="J42" i="419" s="1"/>
  <c r="H194" i="419"/>
  <c r="G58" i="419"/>
  <c r="G59" i="419"/>
  <c r="G18" i="419" s="1"/>
  <c r="O212" i="420"/>
  <c r="O212" i="419"/>
  <c r="W100" i="420"/>
  <c r="S100" i="420"/>
  <c r="S262" i="420" s="1"/>
  <c r="O100" i="420"/>
  <c r="V100" i="420"/>
  <c r="Q100" i="420"/>
  <c r="L100" i="420"/>
  <c r="L262" i="420" s="1"/>
  <c r="L264" i="420" s="1"/>
  <c r="H100" i="420"/>
  <c r="D100" i="420"/>
  <c r="U100" i="420"/>
  <c r="P100" i="420"/>
  <c r="P262" i="420" s="1"/>
  <c r="K100" i="420"/>
  <c r="K262" i="420" s="1"/>
  <c r="G100" i="420"/>
  <c r="N100" i="420"/>
  <c r="F100" i="420"/>
  <c r="F262" i="420" s="1"/>
  <c r="F264" i="420" s="1"/>
  <c r="X100" i="420"/>
  <c r="X262" i="420" s="1"/>
  <c r="J100" i="420"/>
  <c r="T100" i="420"/>
  <c r="I100" i="420"/>
  <c r="I262" i="420" s="1"/>
  <c r="I264" i="420" s="1"/>
  <c r="R100" i="420"/>
  <c r="R262" i="420" s="1"/>
  <c r="E100" i="420"/>
  <c r="X100" i="419"/>
  <c r="T100" i="419"/>
  <c r="T262" i="419" s="1"/>
  <c r="P100" i="419"/>
  <c r="L100" i="419"/>
  <c r="H100" i="419"/>
  <c r="E100" i="419"/>
  <c r="E262" i="419" s="1"/>
  <c r="E264" i="419" s="1"/>
  <c r="M100" i="420"/>
  <c r="W100" i="419"/>
  <c r="S100" i="419"/>
  <c r="O100" i="419"/>
  <c r="K100" i="419"/>
  <c r="K262" i="419" s="1"/>
  <c r="K264" i="419" s="1"/>
  <c r="G100" i="419"/>
  <c r="D100" i="419"/>
  <c r="U100" i="419"/>
  <c r="U262" i="419" s="1"/>
  <c r="M100" i="419"/>
  <c r="M262" i="419" s="1"/>
  <c r="M264" i="419" s="1"/>
  <c r="R100" i="419"/>
  <c r="J100" i="419"/>
  <c r="Q100" i="419"/>
  <c r="Q262" i="419" s="1"/>
  <c r="I100" i="419"/>
  <c r="I262" i="419" s="1"/>
  <c r="I264" i="419" s="1"/>
  <c r="R236" i="420"/>
  <c r="M9" i="419"/>
  <c r="K8" i="419"/>
  <c r="K9" i="419" s="1"/>
  <c r="I245" i="419"/>
  <c r="L268" i="419"/>
  <c r="L258" i="419"/>
  <c r="N53" i="419"/>
  <c r="O53" i="419" s="1"/>
  <c r="N8" i="419"/>
  <c r="N9" i="419" s="1"/>
  <c r="M214" i="419"/>
  <c r="M216" i="419" s="1"/>
  <c r="G273" i="419"/>
  <c r="G274" i="419" s="1"/>
  <c r="G263" i="419"/>
  <c r="K270" i="419"/>
  <c r="O128" i="419"/>
  <c r="N133" i="419"/>
  <c r="D5" i="420"/>
  <c r="D44" i="420"/>
  <c r="P231" i="419"/>
  <c r="P194" i="419"/>
  <c r="T248" i="419"/>
  <c r="T194" i="419"/>
  <c r="U194" i="419" s="1"/>
  <c r="V194" i="419" s="1"/>
  <c r="W194" i="419" s="1"/>
  <c r="X194" i="419" s="1"/>
  <c r="X248" i="419"/>
  <c r="L214" i="419"/>
  <c r="L216" i="419" s="1"/>
  <c r="O201" i="419"/>
  <c r="K214" i="419"/>
  <c r="K216" i="419"/>
  <c r="G214" i="419"/>
  <c r="G216" i="419" s="1"/>
  <c r="E33" i="420"/>
  <c r="E36" i="420" s="1"/>
  <c r="E43" i="420" s="1"/>
  <c r="F100" i="419"/>
  <c r="D140" i="419"/>
  <c r="E140" i="419"/>
  <c r="N20" i="419" s="1"/>
  <c r="N19" i="419" s="1"/>
  <c r="H140" i="419"/>
  <c r="I140" i="419"/>
  <c r="G28" i="419"/>
  <c r="E28" i="419"/>
  <c r="I28" i="419"/>
  <c r="I31" i="419" s="1"/>
  <c r="I42" i="419" s="1"/>
  <c r="H152" i="419"/>
  <c r="H150" i="419"/>
  <c r="H153" i="419"/>
  <c r="H151" i="419"/>
  <c r="E219" i="420"/>
  <c r="E30" i="420" s="1"/>
  <c r="E35" i="420"/>
  <c r="E218" i="420"/>
  <c r="I11" i="420"/>
  <c r="I10" i="420" s="1"/>
  <c r="H11" i="420"/>
  <c r="H10" i="420" s="1"/>
  <c r="H20" i="420"/>
  <c r="H19" i="420" s="1"/>
  <c r="H21" i="420" s="1"/>
  <c r="K11" i="420"/>
  <c r="K10" i="420" s="1"/>
  <c r="E260" i="420"/>
  <c r="E83" i="420"/>
  <c r="E81" i="420"/>
  <c r="F260" i="420"/>
  <c r="E20" i="420"/>
  <c r="E19" i="420" s="1"/>
  <c r="E21" i="420" s="1"/>
  <c r="I20" i="420"/>
  <c r="I19" i="420" s="1"/>
  <c r="I21" i="420" s="1"/>
  <c r="I81" i="420"/>
  <c r="I260" i="420"/>
  <c r="I83" i="420"/>
  <c r="G83" i="420"/>
  <c r="G11" i="420"/>
  <c r="G10" i="420" s="1"/>
  <c r="M265" i="420"/>
  <c r="M269" i="420"/>
  <c r="L106" i="420"/>
  <c r="L269" i="420"/>
  <c r="E68" i="420"/>
  <c r="E65" i="420"/>
  <c r="I68" i="420"/>
  <c r="I65" i="420"/>
  <c r="M65" i="420"/>
  <c r="M68" i="420"/>
  <c r="G254" i="420"/>
  <c r="G260" i="420"/>
  <c r="G255" i="420"/>
  <c r="H254" i="420"/>
  <c r="G81" i="420"/>
  <c r="K255" i="420"/>
  <c r="L255" i="420"/>
  <c r="K81" i="420"/>
  <c r="E257" i="420"/>
  <c r="E259" i="420" s="1"/>
  <c r="H81" i="420"/>
  <c r="F257" i="420"/>
  <c r="F259" i="420" s="1"/>
  <c r="F81" i="420"/>
  <c r="D191" i="420"/>
  <c r="D28" i="420"/>
  <c r="E194" i="420"/>
  <c r="E28" i="420" s="1"/>
  <c r="E31" i="420" s="1"/>
  <c r="E42" i="420" s="1"/>
  <c r="F194" i="420"/>
  <c r="I194" i="420"/>
  <c r="J194" i="420"/>
  <c r="J218" i="420"/>
  <c r="J219" i="420" s="1"/>
  <c r="J30" i="420" s="1"/>
  <c r="K215" i="420"/>
  <c r="K216" i="420" s="1"/>
  <c r="K34" i="420"/>
  <c r="K227" i="420"/>
  <c r="K224" i="420"/>
  <c r="E133" i="419"/>
  <c r="E18" i="420"/>
  <c r="O258" i="419"/>
  <c r="O74" i="419"/>
  <c r="O145" i="419"/>
  <c r="O263" i="419"/>
  <c r="O76" i="419"/>
  <c r="P76" i="419" s="1"/>
  <c r="O77" i="419"/>
  <c r="P185" i="420"/>
  <c r="P273" i="420"/>
  <c r="O65" i="420"/>
  <c r="P65" i="420" s="1"/>
  <c r="M268" i="419"/>
  <c r="L122" i="419"/>
  <c r="F116" i="419"/>
  <c r="M18" i="420"/>
  <c r="M83" i="420"/>
  <c r="N265" i="420"/>
  <c r="O98" i="420"/>
  <c r="J11" i="420"/>
  <c r="J10" i="420" s="1"/>
  <c r="E274" i="420"/>
  <c r="O278" i="420"/>
  <c r="O195" i="420"/>
  <c r="P195" i="420" s="1"/>
  <c r="Q195" i="420" s="1"/>
  <c r="R195" i="420" s="1"/>
  <c r="S195" i="420" s="1"/>
  <c r="T195" i="420" s="1"/>
  <c r="U195" i="420" s="1"/>
  <c r="V195" i="420" s="1"/>
  <c r="W195" i="420" s="1"/>
  <c r="X195" i="420" s="1"/>
  <c r="O194" i="420"/>
  <c r="I17" i="420"/>
  <c r="I53" i="420"/>
  <c r="L17" i="420"/>
  <c r="L18" i="420" s="1"/>
  <c r="L53" i="420"/>
  <c r="G58" i="420"/>
  <c r="G59" i="420" s="1"/>
  <c r="G18" i="420" s="1"/>
  <c r="K58" i="420"/>
  <c r="K59" i="420" s="1"/>
  <c r="K18" i="420" s="1"/>
  <c r="N310" i="420"/>
  <c r="M310" i="420"/>
  <c r="F214" i="420"/>
  <c r="F216" i="420"/>
  <c r="G52" i="420"/>
  <c r="K52" i="420"/>
  <c r="D52" i="420"/>
  <c r="D8" i="420" s="1"/>
  <c r="D9" i="420" s="1"/>
  <c r="D13" i="420" s="1"/>
  <c r="D15" i="420" s="1"/>
  <c r="D40" i="420" s="1"/>
  <c r="T163" i="420"/>
  <c r="S63" i="419"/>
  <c r="D216" i="420"/>
  <c r="I9" i="420"/>
  <c r="I13" i="420" s="1"/>
  <c r="I15" i="420" s="1"/>
  <c r="I40" i="420" s="1"/>
  <c r="E275" i="420"/>
  <c r="F275" i="420"/>
  <c r="E273" i="420"/>
  <c r="E253" i="420"/>
  <c r="E254" i="420" s="1"/>
  <c r="E268" i="420"/>
  <c r="E263" i="420"/>
  <c r="D17" i="420"/>
  <c r="D18" i="420" s="1"/>
  <c r="D53" i="420"/>
  <c r="J17" i="420"/>
  <c r="J18" i="420" s="1"/>
  <c r="J53" i="420"/>
  <c r="F68" i="420"/>
  <c r="F65" i="420"/>
  <c r="J65" i="420"/>
  <c r="N68" i="420"/>
  <c r="D81" i="420"/>
  <c r="H255" i="420"/>
  <c r="G106" i="420"/>
  <c r="G269" i="420"/>
  <c r="H274" i="420"/>
  <c r="P184" i="420"/>
  <c r="O64" i="420"/>
  <c r="H257" i="420"/>
  <c r="H259" i="420" s="1"/>
  <c r="J310" i="420"/>
  <c r="N153" i="419"/>
  <c r="O153" i="419" s="1"/>
  <c r="P153" i="419" s="1"/>
  <c r="N151" i="419"/>
  <c r="O151" i="419" s="1"/>
  <c r="F273" i="420"/>
  <c r="F274" i="420" s="1"/>
  <c r="F258" i="420"/>
  <c r="N134" i="420"/>
  <c r="J123" i="420"/>
  <c r="J122" i="420" s="1"/>
  <c r="J68" i="420"/>
  <c r="J9" i="420" s="1"/>
  <c r="K65" i="420"/>
  <c r="T162" i="420"/>
  <c r="S63" i="420"/>
  <c r="M123" i="420"/>
  <c r="M122" i="420" s="1"/>
  <c r="J132" i="420"/>
  <c r="M134" i="420"/>
  <c r="N124" i="420"/>
  <c r="N132" i="420"/>
  <c r="O132" i="420" s="1"/>
  <c r="P132" i="420" s="1"/>
  <c r="Q132" i="420" s="1"/>
  <c r="R132" i="420" s="1"/>
  <c r="S132" i="420" s="1"/>
  <c r="T132" i="420" s="1"/>
  <c r="U132" i="420" s="1"/>
  <c r="V132" i="420" s="1"/>
  <c r="W132" i="420" s="1"/>
  <c r="X132" i="420" s="1"/>
  <c r="L134" i="420"/>
  <c r="K132" i="420"/>
  <c r="L132" i="420"/>
  <c r="X248" i="420"/>
  <c r="O231" i="420"/>
  <c r="N194" i="420"/>
  <c r="K192" i="420"/>
  <c r="U248" i="420"/>
  <c r="S194" i="420"/>
  <c r="T194" i="420" s="1"/>
  <c r="U194" i="420" s="1"/>
  <c r="V194" i="420" s="1"/>
  <c r="W194" i="420"/>
  <c r="X194" i="420" s="1"/>
  <c r="M194" i="420"/>
  <c r="J192" i="420"/>
  <c r="N140" i="420"/>
  <c r="L131" i="420"/>
  <c r="N129" i="420"/>
  <c r="K128" i="420"/>
  <c r="N117" i="420"/>
  <c r="N116" i="420" s="1"/>
  <c r="O116" i="420" s="1"/>
  <c r="J117" i="420"/>
  <c r="J116" i="420" s="1"/>
  <c r="N107" i="420"/>
  <c r="L99" i="420"/>
  <c r="N84" i="420"/>
  <c r="L82" i="420"/>
  <c r="O140" i="420"/>
  <c r="P140" i="420" s="1"/>
  <c r="Q140" i="420" s="1"/>
  <c r="R140" i="420" s="1"/>
  <c r="S140" i="420" s="1"/>
  <c r="T140" i="420" s="1"/>
  <c r="U140" i="420" s="1"/>
  <c r="V140" i="420" s="1"/>
  <c r="W140" i="420" s="1"/>
  <c r="X140" i="420" s="1"/>
  <c r="M131" i="420"/>
  <c r="M133" i="420" s="1"/>
  <c r="J130" i="420"/>
  <c r="J133" i="420" s="1"/>
  <c r="L128" i="420"/>
  <c r="N118" i="420"/>
  <c r="L108" i="420"/>
  <c r="M99" i="420"/>
  <c r="J98" i="420"/>
  <c r="H18" i="420"/>
  <c r="H83" i="420"/>
  <c r="H260" i="420"/>
  <c r="E150" i="420"/>
  <c r="E152" i="420"/>
  <c r="H151" i="420"/>
  <c r="H152" i="420"/>
  <c r="H150" i="420"/>
  <c r="K150" i="420"/>
  <c r="K152" i="420"/>
  <c r="J105" i="420"/>
  <c r="J106" i="420" s="1"/>
  <c r="M216" i="420"/>
  <c r="N215" i="420"/>
  <c r="N216" i="420" s="1"/>
  <c r="N224" i="420"/>
  <c r="R23" i="420"/>
  <c r="S23" i="420" s="1"/>
  <c r="E155" i="420"/>
  <c r="M155" i="420"/>
  <c r="H29" i="420"/>
  <c r="L150" i="420"/>
  <c r="M347" i="414" l="1"/>
  <c r="M338" i="414"/>
  <c r="M340" i="414"/>
  <c r="P253" i="419"/>
  <c r="P268" i="419"/>
  <c r="P218" i="419"/>
  <c r="P144" i="419"/>
  <c r="Q144" i="419" s="1"/>
  <c r="P186" i="419"/>
  <c r="P273" i="419"/>
  <c r="O149" i="414"/>
  <c r="P149" i="414" s="1"/>
  <c r="O154" i="414"/>
  <c r="Q77" i="420"/>
  <c r="P80" i="419"/>
  <c r="P73" i="419"/>
  <c r="Q73" i="419" s="1"/>
  <c r="Q75" i="420"/>
  <c r="L254" i="420"/>
  <c r="K254" i="420"/>
  <c r="K333" i="420"/>
  <c r="P58" i="419"/>
  <c r="P146" i="419"/>
  <c r="J333" i="420"/>
  <c r="K274" i="419"/>
  <c r="Q186" i="420"/>
  <c r="R186" i="420" s="1"/>
  <c r="S186" i="420" s="1"/>
  <c r="Q144" i="420"/>
  <c r="Q235" i="420"/>
  <c r="Q145" i="420"/>
  <c r="Q76" i="419"/>
  <c r="Q253" i="420"/>
  <c r="Q258" i="420"/>
  <c r="Q273" i="420"/>
  <c r="Q263" i="420"/>
  <c r="P200" i="419"/>
  <c r="O153" i="414"/>
  <c r="O217" i="414"/>
  <c r="O262" i="414"/>
  <c r="O90" i="414"/>
  <c r="O79" i="414"/>
  <c r="P79" i="414" s="1"/>
  <c r="O267" i="414"/>
  <c r="O78" i="414"/>
  <c r="O84" i="414"/>
  <c r="O108" i="414"/>
  <c r="O111" i="414" s="1"/>
  <c r="O274" i="414" s="1"/>
  <c r="O77" i="414"/>
  <c r="P208" i="420"/>
  <c r="O209" i="420"/>
  <c r="O121" i="420" s="1"/>
  <c r="O123" i="420" s="1"/>
  <c r="O207" i="420"/>
  <c r="O213" i="420" s="1"/>
  <c r="O216" i="420" s="1"/>
  <c r="O57" i="420"/>
  <c r="O59" i="420" s="1"/>
  <c r="Q202" i="420"/>
  <c r="Q58" i="420"/>
  <c r="R58" i="420" s="1"/>
  <c r="P202" i="419"/>
  <c r="P214" i="419"/>
  <c r="Q214" i="419" s="1"/>
  <c r="Q236" i="419"/>
  <c r="O147" i="414"/>
  <c r="O257" i="414"/>
  <c r="O258" i="414" s="1"/>
  <c r="O150" i="414"/>
  <c r="P240" i="414"/>
  <c r="P78" i="419"/>
  <c r="Q79" i="420"/>
  <c r="M194" i="414"/>
  <c r="O251" i="414"/>
  <c r="P75" i="419"/>
  <c r="Q146" i="420"/>
  <c r="R146" i="420" s="1"/>
  <c r="O14" i="419"/>
  <c r="O222" i="419"/>
  <c r="O217" i="419"/>
  <c r="O112" i="419"/>
  <c r="P235" i="419"/>
  <c r="Q235" i="419" s="1"/>
  <c r="P147" i="419"/>
  <c r="N53" i="420"/>
  <c r="N8" i="420"/>
  <c r="N9" i="420" s="1"/>
  <c r="Q214" i="420"/>
  <c r="Q150" i="420"/>
  <c r="Q147" i="420"/>
  <c r="O66" i="420"/>
  <c r="P77" i="419"/>
  <c r="P74" i="419"/>
  <c r="L274" i="419"/>
  <c r="Q268" i="420"/>
  <c r="P208" i="419"/>
  <c r="P57" i="419" s="1"/>
  <c r="P59" i="419" s="1"/>
  <c r="P185" i="419"/>
  <c r="P263" i="419"/>
  <c r="O83" i="414"/>
  <c r="O156" i="414"/>
  <c r="O76" i="414"/>
  <c r="O205" i="414"/>
  <c r="O277" i="414"/>
  <c r="O272" i="414"/>
  <c r="O201" i="414"/>
  <c r="O204" i="414" s="1"/>
  <c r="Q80" i="420"/>
  <c r="Q78" i="420"/>
  <c r="O202" i="414"/>
  <c r="P202" i="414" s="1"/>
  <c r="O103" i="414"/>
  <c r="Q73" i="420"/>
  <c r="J319" i="420"/>
  <c r="J320" i="420" s="1"/>
  <c r="J322" i="420" s="1"/>
  <c r="J325" i="420"/>
  <c r="K273" i="420"/>
  <c r="K258" i="420"/>
  <c r="K253" i="420"/>
  <c r="K263" i="420"/>
  <c r="K268" i="420"/>
  <c r="K269" i="420" s="1"/>
  <c r="Q98" i="419"/>
  <c r="P265" i="419"/>
  <c r="Q200" i="420"/>
  <c r="Q153" i="420"/>
  <c r="Q199" i="420"/>
  <c r="P198" i="420"/>
  <c r="O201" i="420"/>
  <c r="Q151" i="420"/>
  <c r="R151" i="420" s="1"/>
  <c r="S151" i="420" s="1"/>
  <c r="G25" i="420"/>
  <c r="G22" i="420"/>
  <c r="G24" i="420" s="1"/>
  <c r="G41" i="420" s="1"/>
  <c r="H8" i="419"/>
  <c r="H9" i="419" s="1"/>
  <c r="H53" i="419"/>
  <c r="D8" i="419"/>
  <c r="D9" i="419" s="1"/>
  <c r="D53" i="419"/>
  <c r="N21" i="419"/>
  <c r="N25" i="419"/>
  <c r="N22" i="419"/>
  <c r="N24" i="419" s="1"/>
  <c r="N41" i="419" s="1"/>
  <c r="G219" i="419"/>
  <c r="G30" i="419" s="1"/>
  <c r="G35" i="419"/>
  <c r="G218" i="419"/>
  <c r="L308" i="414"/>
  <c r="L351" i="414" s="1"/>
  <c r="L306" i="414"/>
  <c r="M20" i="420"/>
  <c r="M19" i="420" s="1"/>
  <c r="L218" i="419"/>
  <c r="L219" i="419"/>
  <c r="L30" i="419" s="1"/>
  <c r="L35" i="419"/>
  <c r="M219" i="419"/>
  <c r="M30" i="419" s="1"/>
  <c r="M31" i="419" s="1"/>
  <c r="M42" i="419" s="1"/>
  <c r="M218" i="419"/>
  <c r="M35" i="419"/>
  <c r="N218" i="420"/>
  <c r="O218" i="420" s="1"/>
  <c r="P218" i="420" s="1"/>
  <c r="Q218" i="420" s="1"/>
  <c r="R218" i="420" s="1"/>
  <c r="N219" i="420"/>
  <c r="N30" i="420" s="1"/>
  <c r="N35" i="420"/>
  <c r="H22" i="420"/>
  <c r="H24" i="420" s="1"/>
  <c r="H41" i="420" s="1"/>
  <c r="H25" i="420"/>
  <c r="N11" i="420"/>
  <c r="N10" i="420" s="1"/>
  <c r="N83" i="420"/>
  <c r="P116" i="420"/>
  <c r="O117" i="420"/>
  <c r="O232" i="420"/>
  <c r="O233" i="420"/>
  <c r="Q184" i="420"/>
  <c r="P64" i="420"/>
  <c r="P66" i="420" s="1"/>
  <c r="D25" i="420"/>
  <c r="D22" i="420"/>
  <c r="D24" i="420" s="1"/>
  <c r="D41" i="420" s="1"/>
  <c r="D218" i="420"/>
  <c r="D219" i="420"/>
  <c r="D30" i="420" s="1"/>
  <c r="D35" i="420"/>
  <c r="D36" i="420" s="1"/>
  <c r="D43" i="420" s="1"/>
  <c r="P98" i="420"/>
  <c r="O265" i="420"/>
  <c r="F275" i="419"/>
  <c r="E20" i="419"/>
  <c r="E19" i="419" s="1"/>
  <c r="E274" i="419"/>
  <c r="F274" i="419"/>
  <c r="E275" i="419"/>
  <c r="K35" i="420"/>
  <c r="K218" i="420"/>
  <c r="K219" i="420" s="1"/>
  <c r="K30" i="420" s="1"/>
  <c r="M257" i="420"/>
  <c r="M259" i="420" s="1"/>
  <c r="D11" i="419"/>
  <c r="D10" i="419" s="1"/>
  <c r="G11" i="419"/>
  <c r="G10" i="419" s="1"/>
  <c r="F20" i="419"/>
  <c r="F19" i="419" s="1"/>
  <c r="J11" i="419"/>
  <c r="J10" i="419" s="1"/>
  <c r="J13" i="419" s="1"/>
  <c r="J15" i="419" s="1"/>
  <c r="J40" i="419" s="1"/>
  <c r="K20" i="419"/>
  <c r="K19" i="419" s="1"/>
  <c r="N11" i="419"/>
  <c r="N10" i="419" s="1"/>
  <c r="N13" i="419" s="1"/>
  <c r="N15" i="419" s="1"/>
  <c r="N40" i="419" s="1"/>
  <c r="H11" i="419"/>
  <c r="H10" i="419" s="1"/>
  <c r="L11" i="419"/>
  <c r="L10" i="419" s="1"/>
  <c r="L13" i="419" s="1"/>
  <c r="L15" i="419" s="1"/>
  <c r="L40" i="419" s="1"/>
  <c r="N275" i="419"/>
  <c r="N274" i="419"/>
  <c r="R258" i="420"/>
  <c r="R253" i="420"/>
  <c r="S236" i="420"/>
  <c r="R199" i="420"/>
  <c r="R235" i="420"/>
  <c r="S235" i="420" s="1"/>
  <c r="R263" i="420"/>
  <c r="R268" i="420"/>
  <c r="R145" i="420"/>
  <c r="R144" i="420"/>
  <c r="R247" i="420"/>
  <c r="R147" i="420"/>
  <c r="S147" i="420" s="1"/>
  <c r="R273" i="420"/>
  <c r="J262" i="419"/>
  <c r="J264" i="419" s="1"/>
  <c r="S262" i="419"/>
  <c r="H262" i="419"/>
  <c r="H264" i="419" s="1"/>
  <c r="X262" i="419"/>
  <c r="T262" i="420"/>
  <c r="N262" i="420"/>
  <c r="N264" i="420" s="1"/>
  <c r="U262" i="420"/>
  <c r="Q262" i="420"/>
  <c r="W262" i="420"/>
  <c r="Q184" i="419"/>
  <c r="P64" i="419"/>
  <c r="E11" i="419"/>
  <c r="E10" i="419" s="1"/>
  <c r="P116" i="419"/>
  <c r="O117" i="419"/>
  <c r="O118" i="419" s="1"/>
  <c r="R153" i="420"/>
  <c r="S153" i="420" s="1"/>
  <c r="P152" i="420"/>
  <c r="Q247" i="419"/>
  <c r="Q268" i="419"/>
  <c r="K11" i="419"/>
  <c r="K10" i="419" s="1"/>
  <c r="K13" i="419" s="1"/>
  <c r="K15" i="419" s="1"/>
  <c r="K40" i="419" s="1"/>
  <c r="K28" i="419"/>
  <c r="O170" i="419"/>
  <c r="P160" i="419"/>
  <c r="P167" i="419" s="1"/>
  <c r="O174" i="419"/>
  <c r="O152" i="419"/>
  <c r="H8" i="420"/>
  <c r="H9" i="420" s="1"/>
  <c r="H13" i="420" s="1"/>
  <c r="H15" i="420" s="1"/>
  <c r="H40" i="420" s="1"/>
  <c r="H53" i="420"/>
  <c r="I58" i="420"/>
  <c r="I59" i="420"/>
  <c r="P67" i="414"/>
  <c r="P70" i="414" s="1"/>
  <c r="Q165" i="414"/>
  <c r="E257" i="419"/>
  <c r="E259" i="419" s="1"/>
  <c r="M305" i="414"/>
  <c r="K257" i="414"/>
  <c r="K272" i="414"/>
  <c r="K267" i="414"/>
  <c r="K277" i="414"/>
  <c r="K278" i="414" s="1"/>
  <c r="K262" i="414"/>
  <c r="K42" i="414"/>
  <c r="L329" i="414"/>
  <c r="Q78" i="419"/>
  <c r="R79" i="420"/>
  <c r="L20" i="414"/>
  <c r="L19" i="414" s="1"/>
  <c r="L21" i="414" s="1"/>
  <c r="L264" i="414"/>
  <c r="L85" i="414"/>
  <c r="L87" i="414"/>
  <c r="M261" i="414"/>
  <c r="M263" i="414" s="1"/>
  <c r="L279" i="414"/>
  <c r="J268" i="414"/>
  <c r="J269" i="414"/>
  <c r="P241" i="414"/>
  <c r="O141" i="414"/>
  <c r="O140" i="414"/>
  <c r="O112" i="414"/>
  <c r="J194" i="414"/>
  <c r="M269" i="414"/>
  <c r="M268" i="414"/>
  <c r="K11" i="414"/>
  <c r="K10" i="414" s="1"/>
  <c r="K13" i="414" s="1"/>
  <c r="K15" i="414" s="1"/>
  <c r="K87" i="414"/>
  <c r="R219" i="414"/>
  <c r="S218" i="414"/>
  <c r="F53" i="414"/>
  <c r="K257" i="419"/>
  <c r="K259" i="419" s="1"/>
  <c r="M269" i="419"/>
  <c r="D59" i="389"/>
  <c r="D60" i="389" s="1"/>
  <c r="N28" i="419"/>
  <c r="N31" i="419" s="1"/>
  <c r="N42" i="419" s="1"/>
  <c r="H38" i="414"/>
  <c r="H37" i="414"/>
  <c r="N53" i="414"/>
  <c r="N257" i="419"/>
  <c r="N259" i="419" s="1"/>
  <c r="K258" i="414"/>
  <c r="E65" i="389"/>
  <c r="M35" i="420"/>
  <c r="M218" i="420"/>
  <c r="M219" i="420" s="1"/>
  <c r="M30" i="420" s="1"/>
  <c r="K264" i="420"/>
  <c r="K265" i="420"/>
  <c r="J265" i="420"/>
  <c r="J20" i="420"/>
  <c r="J19" i="420" s="1"/>
  <c r="J21" i="420" s="1"/>
  <c r="L133" i="420"/>
  <c r="M274" i="420" s="1"/>
  <c r="L11" i="420"/>
  <c r="L10" i="420" s="1"/>
  <c r="L13" i="420" s="1"/>
  <c r="L15" i="420" s="1"/>
  <c r="K133" i="420"/>
  <c r="J191" i="420"/>
  <c r="J28" i="420"/>
  <c r="J31" i="420" s="1"/>
  <c r="J301" i="420"/>
  <c r="N257" i="420"/>
  <c r="N259" i="420" s="1"/>
  <c r="K8" i="420"/>
  <c r="K9" i="420" s="1"/>
  <c r="K13" i="420" s="1"/>
  <c r="K15" i="420" s="1"/>
  <c r="K53" i="420"/>
  <c r="M301" i="420"/>
  <c r="E22" i="420"/>
  <c r="E24" i="420" s="1"/>
  <c r="E41" i="420" s="1"/>
  <c r="E25" i="420"/>
  <c r="E31" i="419"/>
  <c r="E42" i="419" s="1"/>
  <c r="F262" i="419"/>
  <c r="F264" i="419" s="1"/>
  <c r="P233" i="419"/>
  <c r="P232" i="419"/>
  <c r="P128" i="419"/>
  <c r="O133" i="419"/>
  <c r="R262" i="419"/>
  <c r="G262" i="419"/>
  <c r="G264" i="419" s="1"/>
  <c r="W262" i="419"/>
  <c r="L262" i="419"/>
  <c r="L264" i="419" s="1"/>
  <c r="E262" i="420"/>
  <c r="E264" i="420" s="1"/>
  <c r="J262" i="420"/>
  <c r="J264" i="420" s="1"/>
  <c r="G262" i="420"/>
  <c r="G264" i="420" s="1"/>
  <c r="V262" i="420"/>
  <c r="P212" i="419"/>
  <c r="M274" i="419"/>
  <c r="M275" i="419"/>
  <c r="M20" i="419"/>
  <c r="M19" i="419" s="1"/>
  <c r="I20" i="419"/>
  <c r="I19" i="419" s="1"/>
  <c r="I21" i="419" s="1"/>
  <c r="L20" i="419"/>
  <c r="L19" i="419" s="1"/>
  <c r="H20" i="419"/>
  <c r="H19" i="419" s="1"/>
  <c r="D20" i="419"/>
  <c r="D19" i="419" s="1"/>
  <c r="R150" i="420"/>
  <c r="P174" i="420"/>
  <c r="V262" i="419"/>
  <c r="R214" i="420"/>
  <c r="L28" i="419"/>
  <c r="G53" i="419"/>
  <c r="G8" i="419"/>
  <c r="G9" i="419" s="1"/>
  <c r="G13" i="419" s="1"/>
  <c r="G15" i="419" s="1"/>
  <c r="G40" i="419" s="1"/>
  <c r="E13" i="419"/>
  <c r="E15" i="419" s="1"/>
  <c r="E40" i="419" s="1"/>
  <c r="L40" i="414"/>
  <c r="L352" i="414"/>
  <c r="R76" i="420"/>
  <c r="S76" i="420" s="1"/>
  <c r="D56" i="389"/>
  <c r="O38" i="389"/>
  <c r="N337" i="414"/>
  <c r="J323" i="414"/>
  <c r="J329" i="414" s="1"/>
  <c r="K305" i="414"/>
  <c r="N308" i="414"/>
  <c r="N351" i="414" s="1"/>
  <c r="H257" i="414"/>
  <c r="H258" i="414" s="1"/>
  <c r="H277" i="414"/>
  <c r="H278" i="414" s="1"/>
  <c r="H272" i="414"/>
  <c r="H267" i="414"/>
  <c r="H268" i="414" s="1"/>
  <c r="H262" i="414"/>
  <c r="H263" i="414" s="1"/>
  <c r="F37" i="414"/>
  <c r="F38" i="414"/>
  <c r="P262" i="414"/>
  <c r="P108" i="414"/>
  <c r="P78" i="414"/>
  <c r="L257" i="419"/>
  <c r="L259" i="419" s="1"/>
  <c r="R80" i="420"/>
  <c r="S80" i="420" s="1"/>
  <c r="R78" i="420"/>
  <c r="S78" i="420" s="1"/>
  <c r="R239" i="420"/>
  <c r="R272" i="420" s="1"/>
  <c r="P58" i="414"/>
  <c r="O236" i="414"/>
  <c r="P236" i="414"/>
  <c r="O237" i="414"/>
  <c r="N11" i="414"/>
  <c r="N10" i="414" s="1"/>
  <c r="N13" i="414" s="1"/>
  <c r="N15" i="414" s="1"/>
  <c r="N87" i="414"/>
  <c r="O87" i="414" s="1"/>
  <c r="P87" i="414" s="1"/>
  <c r="Q87" i="414" s="1"/>
  <c r="R87" i="414" s="1"/>
  <c r="S87" i="414" s="1"/>
  <c r="T87" i="414" s="1"/>
  <c r="U87" i="414" s="1"/>
  <c r="V87" i="414" s="1"/>
  <c r="W87" i="414" s="1"/>
  <c r="X87" i="414" s="1"/>
  <c r="K279" i="414"/>
  <c r="O195" i="414"/>
  <c r="P193" i="414"/>
  <c r="P247" i="414"/>
  <c r="O261" i="414"/>
  <c r="M20" i="414"/>
  <c r="M19" i="414" s="1"/>
  <c r="M264" i="414"/>
  <c r="M85" i="414"/>
  <c r="N261" i="414"/>
  <c r="N263" i="414" s="1"/>
  <c r="J110" i="414"/>
  <c r="J273" i="414"/>
  <c r="J274" i="414"/>
  <c r="N269" i="414"/>
  <c r="O102" i="414"/>
  <c r="N268" i="414"/>
  <c r="I5" i="414"/>
  <c r="I44" i="414"/>
  <c r="M13" i="414"/>
  <c r="M15" i="414" s="1"/>
  <c r="R73" i="420"/>
  <c r="S73" i="420" s="1"/>
  <c r="K257" i="420"/>
  <c r="K259" i="420" s="1"/>
  <c r="E269" i="420"/>
  <c r="Q54" i="389"/>
  <c r="Q49" i="389"/>
  <c r="Q43" i="389"/>
  <c r="G2" i="389"/>
  <c r="Q41" i="389"/>
  <c r="F57" i="389" s="1"/>
  <c r="F58" i="389" s="1"/>
  <c r="Q53" i="389"/>
  <c r="Q48" i="389"/>
  <c r="Q46" i="389"/>
  <c r="F62" i="389" s="1"/>
  <c r="Q42" i="389"/>
  <c r="F59" i="389" s="1"/>
  <c r="Q52" i="389"/>
  <c r="Q47" i="389"/>
  <c r="F64" i="389" s="1"/>
  <c r="F65" i="389" s="1"/>
  <c r="Q45" i="389"/>
  <c r="Q40" i="389"/>
  <c r="Q50" i="389"/>
  <c r="F4" i="389"/>
  <c r="F38" i="389" s="1"/>
  <c r="Q44" i="389"/>
  <c r="O12" i="419"/>
  <c r="Q166" i="414"/>
  <c r="P23" i="414"/>
  <c r="M324" i="414"/>
  <c r="M326" i="414"/>
  <c r="J257" i="419"/>
  <c r="J259" i="419" s="1"/>
  <c r="H273" i="414"/>
  <c r="O88" i="414"/>
  <c r="O11" i="414" s="1"/>
  <c r="O10" i="414" s="1"/>
  <c r="O13" i="414" s="1"/>
  <c r="O15" i="414" s="1"/>
  <c r="O263" i="414"/>
  <c r="O20" i="414"/>
  <c r="O19" i="414" s="1"/>
  <c r="O25" i="414" s="1"/>
  <c r="O264" i="414"/>
  <c r="P189" i="414"/>
  <c r="C58" i="389"/>
  <c r="D58" i="389"/>
  <c r="E58" i="389"/>
  <c r="H257" i="419"/>
  <c r="H259" i="419" s="1"/>
  <c r="P170" i="414"/>
  <c r="M11" i="420"/>
  <c r="M10" i="420" s="1"/>
  <c r="M13" i="420" s="1"/>
  <c r="M15" i="420" s="1"/>
  <c r="J275" i="420"/>
  <c r="J274" i="420"/>
  <c r="N269" i="420"/>
  <c r="N106" i="420"/>
  <c r="O106" i="420" s="1"/>
  <c r="P106" i="420" s="1"/>
  <c r="Q106" i="420" s="1"/>
  <c r="R106" i="420" s="1"/>
  <c r="S106" i="420" s="1"/>
  <c r="T106" i="420" s="1"/>
  <c r="U106" i="420" s="1"/>
  <c r="V106" i="420" s="1"/>
  <c r="W106" i="420" s="1"/>
  <c r="X106" i="420" s="1"/>
  <c r="N270" i="420"/>
  <c r="O129" i="420"/>
  <c r="N133" i="420"/>
  <c r="K191" i="420"/>
  <c r="K28" i="420"/>
  <c r="J13" i="420"/>
  <c r="J15" i="420" s="1"/>
  <c r="G53" i="420"/>
  <c r="G8" i="420"/>
  <c r="G9" i="420" s="1"/>
  <c r="G13" i="420" s="1"/>
  <c r="G15" i="420" s="1"/>
  <c r="G40" i="420" s="1"/>
  <c r="N301" i="420"/>
  <c r="I18" i="420"/>
  <c r="M22" i="420"/>
  <c r="M24" i="420" s="1"/>
  <c r="M41" i="420" s="1"/>
  <c r="P105" i="420"/>
  <c r="Q185" i="420"/>
  <c r="P145" i="419"/>
  <c r="K37" i="420"/>
  <c r="N28" i="420"/>
  <c r="N31" i="420" s="1"/>
  <c r="G28" i="420"/>
  <c r="G31" i="420" s="1"/>
  <c r="G42" i="420" s="1"/>
  <c r="I28" i="420"/>
  <c r="I31" i="420" s="1"/>
  <c r="I42" i="420" s="1"/>
  <c r="M28" i="420"/>
  <c r="H28" i="420"/>
  <c r="H31" i="420" s="1"/>
  <c r="H42" i="420" s="1"/>
  <c r="F28" i="420"/>
  <c r="F31" i="420" s="1"/>
  <c r="F42" i="420" s="1"/>
  <c r="L28" i="420"/>
  <c r="L31" i="420" s="1"/>
  <c r="J257" i="420"/>
  <c r="J259" i="420" s="1"/>
  <c r="D33" i="419"/>
  <c r="D36" i="419" s="1"/>
  <c r="D43" i="419" s="1"/>
  <c r="F33" i="420"/>
  <c r="F36" i="420" s="1"/>
  <c r="F43" i="420" s="1"/>
  <c r="M262" i="420"/>
  <c r="M264" i="420" s="1"/>
  <c r="P262" i="419"/>
  <c r="P264" i="419" s="1"/>
  <c r="H262" i="420"/>
  <c r="H264" i="420" s="1"/>
  <c r="O262" i="420"/>
  <c r="O264" i="420" s="1"/>
  <c r="O99" i="420"/>
  <c r="P212" i="420"/>
  <c r="F180" i="419"/>
  <c r="F187" i="419" s="1"/>
  <c r="E175" i="419"/>
  <c r="E173" i="419" s="1"/>
  <c r="E176" i="419" s="1"/>
  <c r="M11" i="419"/>
  <c r="M10" i="419" s="1"/>
  <c r="M13" i="419" s="1"/>
  <c r="M15" i="419" s="1"/>
  <c r="M40" i="419" s="1"/>
  <c r="F11" i="419"/>
  <c r="F10" i="419" s="1"/>
  <c r="O207" i="419"/>
  <c r="O213" i="419" s="1"/>
  <c r="O216" i="419" s="1"/>
  <c r="Q160" i="420"/>
  <c r="Q167" i="420" s="1"/>
  <c r="P170" i="420"/>
  <c r="P201" i="419"/>
  <c r="R202" i="420"/>
  <c r="S202" i="420" s="1"/>
  <c r="J20" i="419"/>
  <c r="J19" i="419" s="1"/>
  <c r="F8" i="420"/>
  <c r="F9" i="420" s="1"/>
  <c r="F13" i="420" s="1"/>
  <c r="F15" i="420" s="1"/>
  <c r="F40" i="420" s="1"/>
  <c r="F53" i="420"/>
  <c r="H28" i="419"/>
  <c r="F53" i="419"/>
  <c r="F8" i="419"/>
  <c r="F9" i="419" s="1"/>
  <c r="F13" i="419" s="1"/>
  <c r="F15" i="419" s="1"/>
  <c r="F40" i="419" s="1"/>
  <c r="I180" i="420"/>
  <c r="I187" i="420" s="1"/>
  <c r="H175" i="420"/>
  <c r="H173" i="420" s="1"/>
  <c r="H176" i="420" s="1"/>
  <c r="R200" i="420"/>
  <c r="S200" i="420" s="1"/>
  <c r="H35" i="414"/>
  <c r="H222" i="414"/>
  <c r="H223" i="414"/>
  <c r="H30" i="414" s="1"/>
  <c r="M257" i="419"/>
  <c r="M259" i="419" s="1"/>
  <c r="C60" i="389"/>
  <c r="J337" i="414"/>
  <c r="N323" i="414"/>
  <c r="N329" i="414" s="1"/>
  <c r="J316" i="414"/>
  <c r="J305" i="414"/>
  <c r="L347" i="414"/>
  <c r="L340" i="414"/>
  <c r="L338" i="414"/>
  <c r="G262" i="414"/>
  <c r="G263" i="414" s="1"/>
  <c r="G277" i="414"/>
  <c r="G278" i="414" s="1"/>
  <c r="G257" i="414"/>
  <c r="G272" i="414"/>
  <c r="G273" i="414" s="1"/>
  <c r="G267" i="414"/>
  <c r="G268" i="414" s="1"/>
  <c r="F223" i="414"/>
  <c r="F30" i="414" s="1"/>
  <c r="F35" i="414"/>
  <c r="F222" i="414"/>
  <c r="Q185" i="414"/>
  <c r="P109" i="414"/>
  <c r="P147" i="414"/>
  <c r="O33" i="414"/>
  <c r="P201" i="414"/>
  <c r="L257" i="420"/>
  <c r="L259" i="420" s="1"/>
  <c r="R239" i="419"/>
  <c r="R272" i="419" s="1"/>
  <c r="N85" i="414"/>
  <c r="O85" i="414" s="1"/>
  <c r="P85" i="414" s="1"/>
  <c r="Q85" i="414" s="1"/>
  <c r="R85" i="414" s="1"/>
  <c r="S85" i="414" s="1"/>
  <c r="T85" i="414" s="1"/>
  <c r="U85" i="414" s="1"/>
  <c r="V85" i="414" s="1"/>
  <c r="W85" i="414" s="1"/>
  <c r="X85" i="414" s="1"/>
  <c r="N20" i="414"/>
  <c r="N19" i="414" s="1"/>
  <c r="N21" i="414" s="1"/>
  <c r="N264" i="414"/>
  <c r="L269" i="414"/>
  <c r="M110" i="414"/>
  <c r="M273" i="414"/>
  <c r="M274" i="414"/>
  <c r="O248" i="414"/>
  <c r="O249" i="414" s="1"/>
  <c r="R74" i="420"/>
  <c r="S74" i="420" s="1"/>
  <c r="G257" i="419"/>
  <c r="G259" i="419" s="1"/>
  <c r="O107" i="419"/>
  <c r="P104" i="419"/>
  <c r="O67" i="419"/>
  <c r="E44" i="414"/>
  <c r="E5" i="414"/>
  <c r="N194" i="414"/>
  <c r="F257" i="419"/>
  <c r="F259" i="419" s="1"/>
  <c r="L83" i="420"/>
  <c r="M260" i="420"/>
  <c r="L81" i="420"/>
  <c r="L260" i="420"/>
  <c r="L20" i="420"/>
  <c r="L19" i="420" s="1"/>
  <c r="U162" i="420"/>
  <c r="T63" i="420"/>
  <c r="O154" i="419"/>
  <c r="P151" i="419"/>
  <c r="Q151" i="419" s="1"/>
  <c r="O65" i="419"/>
  <c r="U163" i="420"/>
  <c r="T23" i="420"/>
  <c r="F218" i="420"/>
  <c r="F219" i="420"/>
  <c r="F30" i="420" s="1"/>
  <c r="F35" i="420"/>
  <c r="D31" i="420"/>
  <c r="D42" i="420" s="1"/>
  <c r="G31" i="419"/>
  <c r="G42" i="419" s="1"/>
  <c r="K219" i="419"/>
  <c r="K30" i="419" s="1"/>
  <c r="K218" i="419"/>
  <c r="K35" i="419"/>
  <c r="O262" i="419"/>
  <c r="O264" i="419" s="1"/>
  <c r="O99" i="419"/>
  <c r="P99" i="419" s="1"/>
  <c r="Q99" i="419" s="1"/>
  <c r="O66" i="419"/>
  <c r="D44" i="419"/>
  <c r="D5" i="419"/>
  <c r="G20" i="419"/>
  <c r="G19" i="419" s="1"/>
  <c r="G21" i="419" s="1"/>
  <c r="I11" i="419"/>
  <c r="I10" i="419" s="1"/>
  <c r="I13" i="419" s="1"/>
  <c r="I15" i="419" s="1"/>
  <c r="I40" i="419" s="1"/>
  <c r="S127" i="420"/>
  <c r="S146" i="420"/>
  <c r="H218" i="419"/>
  <c r="H219" i="419"/>
  <c r="H30" i="419" s="1"/>
  <c r="H35" i="419"/>
  <c r="W206" i="420"/>
  <c r="G203" i="420"/>
  <c r="G38" i="420" s="1"/>
  <c r="G33" i="420"/>
  <c r="G36" i="420" s="1"/>
  <c r="G43" i="420" s="1"/>
  <c r="O240" i="419"/>
  <c r="O6" i="417"/>
  <c r="O240" i="420"/>
  <c r="P5" i="417"/>
  <c r="I58" i="419"/>
  <c r="I59" i="419" s="1"/>
  <c r="I18" i="419" s="1"/>
  <c r="E9" i="420"/>
  <c r="E13" i="420" s="1"/>
  <c r="E15" i="420" s="1"/>
  <c r="E40" i="420" s="1"/>
  <c r="P177" i="414"/>
  <c r="J8" i="414"/>
  <c r="J9" i="414" s="1"/>
  <c r="J53" i="414"/>
  <c r="R209" i="414"/>
  <c r="Q216" i="414"/>
  <c r="I257" i="419"/>
  <c r="I259" i="419" s="1"/>
  <c r="D61" i="389"/>
  <c r="D67" i="389"/>
  <c r="P232" i="420"/>
  <c r="K337" i="414"/>
  <c r="K323" i="414"/>
  <c r="K329" i="414" s="1"/>
  <c r="L316" i="414"/>
  <c r="L277" i="414"/>
  <c r="L278" i="414" s="1"/>
  <c r="L257" i="414"/>
  <c r="L258" i="414" s="1"/>
  <c r="L262" i="414"/>
  <c r="L272" i="414"/>
  <c r="L267" i="414"/>
  <c r="L268" i="414" s="1"/>
  <c r="M222" i="414"/>
  <c r="M223" i="414"/>
  <c r="M30" i="414" s="1"/>
  <c r="M35" i="414"/>
  <c r="J44" i="414"/>
  <c r="J5" i="414"/>
  <c r="F178" i="414"/>
  <c r="F176" i="414" s="1"/>
  <c r="F179" i="414" s="1"/>
  <c r="G183" i="414"/>
  <c r="G190" i="414" s="1"/>
  <c r="J21" i="414"/>
  <c r="J22" i="414"/>
  <c r="J24" i="414" s="1"/>
  <c r="J41" i="414" s="1"/>
  <c r="J25" i="414"/>
  <c r="P148" i="414"/>
  <c r="O28" i="414"/>
  <c r="O57" i="414"/>
  <c r="O59" i="414" s="1"/>
  <c r="O64" i="414" s="1"/>
  <c r="O212" i="414"/>
  <c r="O125" i="414" s="1"/>
  <c r="O127" i="414" s="1"/>
  <c r="O210" i="414"/>
  <c r="P211" i="414"/>
  <c r="R77" i="420"/>
  <c r="S77" i="420" s="1"/>
  <c r="S238" i="420"/>
  <c r="S239" i="420" s="1"/>
  <c r="S272" i="420" s="1"/>
  <c r="T4" i="417"/>
  <c r="S238" i="419"/>
  <c r="S239" i="419" s="1"/>
  <c r="S272" i="419" s="1"/>
  <c r="Q187" i="414"/>
  <c r="P68" i="414"/>
  <c r="E22" i="414"/>
  <c r="E24" i="414" s="1"/>
  <c r="E41" i="414" s="1"/>
  <c r="E21" i="414"/>
  <c r="E25" i="414"/>
  <c r="L22" i="414"/>
  <c r="L24" i="414" s="1"/>
  <c r="L41" i="414" s="1"/>
  <c r="L25" i="414"/>
  <c r="N274" i="414"/>
  <c r="N110" i="414"/>
  <c r="O110" i="414" s="1"/>
  <c r="P110" i="414" s="1"/>
  <c r="Q110" i="414" s="1"/>
  <c r="R110" i="414" s="1"/>
  <c r="S110" i="414" s="1"/>
  <c r="T110" i="414" s="1"/>
  <c r="U110" i="414" s="1"/>
  <c r="V110" i="414" s="1"/>
  <c r="W110" i="414" s="1"/>
  <c r="X110" i="414" s="1"/>
  <c r="N273" i="414"/>
  <c r="O273" i="414"/>
  <c r="N126" i="414"/>
  <c r="O126" i="414" s="1"/>
  <c r="P126" i="414" s="1"/>
  <c r="Q126" i="414" s="1"/>
  <c r="R126" i="414" s="1"/>
  <c r="S126" i="414" s="1"/>
  <c r="T126" i="414" s="1"/>
  <c r="U126" i="414" s="1"/>
  <c r="V126" i="414" s="1"/>
  <c r="W126" i="414" s="1"/>
  <c r="X126" i="414" s="1"/>
  <c r="K264" i="414"/>
  <c r="K85" i="414"/>
  <c r="K20" i="414"/>
  <c r="K19" i="414" s="1"/>
  <c r="L261" i="414"/>
  <c r="K263" i="414"/>
  <c r="K268" i="414"/>
  <c r="K269" i="414"/>
  <c r="N136" i="414"/>
  <c r="O131" i="414"/>
  <c r="K110" i="414"/>
  <c r="L274" i="414"/>
  <c r="K274" i="414"/>
  <c r="L273" i="414"/>
  <c r="K273" i="414"/>
  <c r="M279" i="414"/>
  <c r="M278" i="414"/>
  <c r="J87" i="414"/>
  <c r="J11" i="414"/>
  <c r="J10" i="414" s="1"/>
  <c r="Q35" i="414"/>
  <c r="Q223" i="414"/>
  <c r="Q30" i="414" s="1"/>
  <c r="O81" i="414"/>
  <c r="O82" i="414"/>
  <c r="O80" i="414"/>
  <c r="R75" i="420"/>
  <c r="S75" i="420" s="1"/>
  <c r="P104" i="420"/>
  <c r="P153" i="414"/>
  <c r="G258" i="414"/>
  <c r="L269" i="419"/>
  <c r="P259" i="414"/>
  <c r="Q75" i="414"/>
  <c r="P86" i="414"/>
  <c r="P155" i="414"/>
  <c r="E59" i="389"/>
  <c r="R151" i="419" l="1"/>
  <c r="P103" i="414"/>
  <c r="K334" i="420"/>
  <c r="E60" i="389"/>
  <c r="M21" i="420"/>
  <c r="M25" i="420"/>
  <c r="Q202" i="414"/>
  <c r="O69" i="414"/>
  <c r="O157" i="414"/>
  <c r="O160" i="414" s="1"/>
  <c r="J334" i="420"/>
  <c r="J336" i="420" s="1"/>
  <c r="Q80" i="419"/>
  <c r="P82" i="414"/>
  <c r="L21" i="420"/>
  <c r="L25" i="420"/>
  <c r="Q185" i="419"/>
  <c r="Q105" i="419" s="1"/>
  <c r="P105" i="419"/>
  <c r="P80" i="414"/>
  <c r="Q80" i="414" s="1"/>
  <c r="O68" i="419"/>
  <c r="Q65" i="420"/>
  <c r="P90" i="414"/>
  <c r="P203" i="414"/>
  <c r="Q203" i="414" s="1"/>
  <c r="P222" i="414"/>
  <c r="Q222" i="414" s="1"/>
  <c r="P257" i="414"/>
  <c r="P258" i="414" s="1"/>
  <c r="Q240" i="414"/>
  <c r="Q90" i="414" s="1"/>
  <c r="P205" i="414"/>
  <c r="Q205" i="414" s="1"/>
  <c r="P154" i="414"/>
  <c r="Q154" i="414" s="1"/>
  <c r="P272" i="414"/>
  <c r="P251" i="414"/>
  <c r="P77" i="414"/>
  <c r="Q77" i="414" s="1"/>
  <c r="P239" i="414"/>
  <c r="Q239" i="414" s="1"/>
  <c r="P188" i="414"/>
  <c r="P277" i="414"/>
  <c r="P267" i="414"/>
  <c r="P84" i="414"/>
  <c r="Q84" i="414" s="1"/>
  <c r="P217" i="414"/>
  <c r="Q217" i="414" s="1"/>
  <c r="Q199" i="419"/>
  <c r="R236" i="419"/>
  <c r="R153" i="419" s="1"/>
  <c r="Q75" i="419"/>
  <c r="R75" i="419" s="1"/>
  <c r="S75" i="419" s="1"/>
  <c r="Q198" i="419"/>
  <c r="Q79" i="419"/>
  <c r="Q150" i="419"/>
  <c r="Q258" i="419"/>
  <c r="Q253" i="419"/>
  <c r="Q153" i="419"/>
  <c r="Q208" i="419"/>
  <c r="Q57" i="419" s="1"/>
  <c r="Q59" i="419" s="1"/>
  <c r="Q263" i="419"/>
  <c r="Q264" i="419" s="1"/>
  <c r="Q273" i="419"/>
  <c r="Q58" i="419"/>
  <c r="Q146" i="419"/>
  <c r="R146" i="419" s="1"/>
  <c r="P99" i="420"/>
  <c r="P112" i="414"/>
  <c r="K321" i="420"/>
  <c r="J326" i="420"/>
  <c r="P156" i="414"/>
  <c r="Q156" i="414" s="1"/>
  <c r="Q74" i="419"/>
  <c r="P150" i="414"/>
  <c r="Q150" i="414" s="1"/>
  <c r="Q200" i="419"/>
  <c r="R200" i="419" s="1"/>
  <c r="Q218" i="419"/>
  <c r="R218" i="419" s="1"/>
  <c r="S218" i="419" s="1"/>
  <c r="P81" i="414"/>
  <c r="Q81" i="414" s="1"/>
  <c r="R99" i="419"/>
  <c r="P209" i="419"/>
  <c r="P121" i="419" s="1"/>
  <c r="P123" i="419" s="1"/>
  <c r="N13" i="420"/>
  <c r="N15" i="420" s="1"/>
  <c r="Q198" i="420"/>
  <c r="P201" i="420"/>
  <c r="P83" i="414"/>
  <c r="Q77" i="419"/>
  <c r="Q202" i="419"/>
  <c r="R202" i="419" s="1"/>
  <c r="P209" i="420"/>
  <c r="Q208" i="420"/>
  <c r="P57" i="420"/>
  <c r="P59" i="420" s="1"/>
  <c r="L263" i="414"/>
  <c r="P65" i="419"/>
  <c r="Q65" i="419" s="1"/>
  <c r="P261" i="414"/>
  <c r="R98" i="419"/>
  <c r="Q265" i="419"/>
  <c r="Q147" i="419"/>
  <c r="R147" i="419" s="1"/>
  <c r="Q186" i="419"/>
  <c r="R186" i="419" s="1"/>
  <c r="I25" i="419"/>
  <c r="I22" i="419"/>
  <c r="I24" i="419" s="1"/>
  <c r="I41" i="419" s="1"/>
  <c r="O35" i="419"/>
  <c r="O219" i="419"/>
  <c r="O30" i="419" s="1"/>
  <c r="K325" i="414"/>
  <c r="J330" i="414"/>
  <c r="K330" i="414"/>
  <c r="M325" i="414"/>
  <c r="M330" i="414"/>
  <c r="L330" i="414"/>
  <c r="N325" i="414"/>
  <c r="N330" i="414"/>
  <c r="L325" i="414"/>
  <c r="N40" i="420"/>
  <c r="Q86" i="414"/>
  <c r="R75" i="414"/>
  <c r="Q259" i="414"/>
  <c r="O136" i="414"/>
  <c r="P131" i="414"/>
  <c r="T238" i="419"/>
  <c r="T239" i="419" s="1"/>
  <c r="T272" i="419" s="1"/>
  <c r="T238" i="420"/>
  <c r="T239" i="420" s="1"/>
  <c r="T272" i="420" s="1"/>
  <c r="U4" i="417"/>
  <c r="P57" i="414"/>
  <c r="P59" i="414" s="1"/>
  <c r="P64" i="414" s="1"/>
  <c r="P210" i="414"/>
  <c r="P212" i="414"/>
  <c r="P125" i="414" s="1"/>
  <c r="P127" i="414" s="1"/>
  <c r="Q211" i="414"/>
  <c r="Q5" i="417"/>
  <c r="P6" i="417"/>
  <c r="P240" i="419"/>
  <c r="P240" i="420"/>
  <c r="S200" i="419"/>
  <c r="V162" i="420"/>
  <c r="U63" i="420"/>
  <c r="O269" i="419"/>
  <c r="O270" i="419"/>
  <c r="O108" i="419"/>
  <c r="K317" i="414"/>
  <c r="N307" i="414"/>
  <c r="K307" i="414"/>
  <c r="L317" i="414"/>
  <c r="M317" i="414"/>
  <c r="N317" i="414"/>
  <c r="M307" i="414"/>
  <c r="J317" i="414"/>
  <c r="L307" i="414"/>
  <c r="J338" i="414"/>
  <c r="J340" i="414"/>
  <c r="N40" i="414"/>
  <c r="N352" i="414"/>
  <c r="J22" i="419"/>
  <c r="J24" i="419" s="1"/>
  <c r="J41" i="419" s="1"/>
  <c r="J25" i="419"/>
  <c r="J21" i="419"/>
  <c r="Q212" i="420"/>
  <c r="M40" i="420"/>
  <c r="P129" i="420"/>
  <c r="O133" i="420"/>
  <c r="G63" i="389"/>
  <c r="F63" i="389"/>
  <c r="R41" i="389"/>
  <c r="G57" i="389" s="1"/>
  <c r="G58" i="389" s="1"/>
  <c r="R50" i="389"/>
  <c r="R42" i="389"/>
  <c r="G59" i="389" s="1"/>
  <c r="G60" i="389" s="1"/>
  <c r="R40" i="389"/>
  <c r="R49" i="389"/>
  <c r="R45" i="389"/>
  <c r="G4" i="389"/>
  <c r="G38" i="389" s="1"/>
  <c r="R53" i="389"/>
  <c r="R48" i="389"/>
  <c r="R46" i="389"/>
  <c r="G62" i="389" s="1"/>
  <c r="R44" i="389"/>
  <c r="R54" i="389"/>
  <c r="R43" i="389"/>
  <c r="R52" i="389"/>
  <c r="T40" i="389"/>
  <c r="R47" i="389"/>
  <c r="G64" i="389" s="1"/>
  <c r="G65" i="389" s="1"/>
  <c r="S40" i="389"/>
  <c r="M21" i="414"/>
  <c r="M22" i="414"/>
  <c r="M24" i="414" s="1"/>
  <c r="M41" i="414" s="1"/>
  <c r="M25" i="414"/>
  <c r="Q108" i="414"/>
  <c r="P111" i="414"/>
  <c r="K306" i="414"/>
  <c r="K308" i="414"/>
  <c r="K351" i="414" s="1"/>
  <c r="K352" i="414" s="1"/>
  <c r="N338" i="414"/>
  <c r="N340" i="414"/>
  <c r="D21" i="419"/>
  <c r="D25" i="419"/>
  <c r="D22" i="419"/>
  <c r="D24" i="419" s="1"/>
  <c r="D41" i="419" s="1"/>
  <c r="M21" i="419"/>
  <c r="M22" i="419"/>
  <c r="M24" i="419" s="1"/>
  <c r="M41" i="419" s="1"/>
  <c r="M25" i="419"/>
  <c r="Q212" i="419"/>
  <c r="P51" i="419"/>
  <c r="P50" i="419"/>
  <c r="P234" i="419"/>
  <c r="P49" i="419"/>
  <c r="K40" i="420"/>
  <c r="H44" i="414"/>
  <c r="H5" i="414"/>
  <c r="T218" i="414"/>
  <c r="S219" i="414"/>
  <c r="M306" i="414"/>
  <c r="M308" i="414"/>
  <c r="M351" i="414" s="1"/>
  <c r="M352" i="414" s="1"/>
  <c r="R165" i="414"/>
  <c r="Q67" i="414"/>
  <c r="Q70" i="414" s="1"/>
  <c r="Q160" i="419"/>
  <c r="Q167" i="419" s="1"/>
  <c r="P170" i="419"/>
  <c r="S144" i="420"/>
  <c r="K22" i="419"/>
  <c r="K24" i="419" s="1"/>
  <c r="K41" i="419" s="1"/>
  <c r="K25" i="419"/>
  <c r="K21" i="419"/>
  <c r="E21" i="419"/>
  <c r="E25" i="419"/>
  <c r="E22" i="419"/>
  <c r="E24" i="419" s="1"/>
  <c r="E41" i="419" s="1"/>
  <c r="R184" i="420"/>
  <c r="Q64" i="420"/>
  <c r="Q66" i="420" s="1"/>
  <c r="O234" i="420"/>
  <c r="O51" i="420"/>
  <c r="P233" i="420"/>
  <c r="O49" i="420"/>
  <c r="O50" i="420"/>
  <c r="Q153" i="414"/>
  <c r="P157" i="414"/>
  <c r="P160" i="414" s="1"/>
  <c r="N279" i="414"/>
  <c r="N278" i="414"/>
  <c r="Q148" i="414"/>
  <c r="P28" i="414"/>
  <c r="K324" i="414"/>
  <c r="K326" i="414"/>
  <c r="S209" i="414"/>
  <c r="R216" i="414"/>
  <c r="O244" i="420"/>
  <c r="O245" i="420" s="1"/>
  <c r="O242" i="420"/>
  <c r="O241" i="420"/>
  <c r="O257" i="420"/>
  <c r="O72" i="420"/>
  <c r="G5" i="420"/>
  <c r="G44" i="420"/>
  <c r="T127" i="420"/>
  <c r="G22" i="419"/>
  <c r="G24" i="419" s="1"/>
  <c r="G41" i="419" s="1"/>
  <c r="P69" i="414"/>
  <c r="P204" i="414"/>
  <c r="Q201" i="414"/>
  <c r="Q147" i="414"/>
  <c r="P33" i="414"/>
  <c r="N324" i="414"/>
  <c r="N326" i="414"/>
  <c r="F60" i="389"/>
  <c r="H203" i="420"/>
  <c r="H38" i="420" s="1"/>
  <c r="H33" i="420"/>
  <c r="H36" i="420" s="1"/>
  <c r="H43" i="420" s="1"/>
  <c r="H31" i="419"/>
  <c r="H42" i="419" s="1"/>
  <c r="R160" i="420"/>
  <c r="R167" i="420" s="1"/>
  <c r="Q170" i="420"/>
  <c r="E203" i="419"/>
  <c r="E38" i="419" s="1"/>
  <c r="E33" i="419"/>
  <c r="E36" i="419" s="1"/>
  <c r="E43" i="419" s="1"/>
  <c r="N42" i="420"/>
  <c r="I22" i="420"/>
  <c r="I24" i="420" s="1"/>
  <c r="I41" i="420" s="1"/>
  <c r="I25" i="420"/>
  <c r="K31" i="420"/>
  <c r="O21" i="414"/>
  <c r="O22" i="414"/>
  <c r="O24" i="414" s="1"/>
  <c r="O229" i="414" s="1"/>
  <c r="N22" i="414"/>
  <c r="N24" i="414" s="1"/>
  <c r="N41" i="414" s="1"/>
  <c r="Q23" i="414"/>
  <c r="R166" i="414"/>
  <c r="F56" i="389"/>
  <c r="Q38" i="389"/>
  <c r="F66" i="389"/>
  <c r="O238" i="414"/>
  <c r="O47" i="414"/>
  <c r="P237" i="414"/>
  <c r="O45" i="414"/>
  <c r="O46" i="414"/>
  <c r="T186" i="420"/>
  <c r="S150" i="420"/>
  <c r="H25" i="419"/>
  <c r="H21" i="419"/>
  <c r="H22" i="419"/>
  <c r="H24" i="419" s="1"/>
  <c r="H41" i="419" s="1"/>
  <c r="O275" i="419"/>
  <c r="O274" i="419"/>
  <c r="K20" i="420"/>
  <c r="K19" i="420" s="1"/>
  <c r="K275" i="420"/>
  <c r="K274" i="420"/>
  <c r="R223" i="414"/>
  <c r="R30" i="414" s="1"/>
  <c r="R35" i="414"/>
  <c r="Q188" i="414"/>
  <c r="M316" i="414"/>
  <c r="P72" i="414"/>
  <c r="R150" i="419"/>
  <c r="Q154" i="419"/>
  <c r="R208" i="419"/>
  <c r="Q209" i="419"/>
  <c r="Q121" i="419" s="1"/>
  <c r="Q123" i="419" s="1"/>
  <c r="S58" i="420"/>
  <c r="R184" i="419"/>
  <c r="Q64" i="419"/>
  <c r="Q66" i="419" s="1"/>
  <c r="S145" i="420"/>
  <c r="S199" i="420"/>
  <c r="H13" i="419"/>
  <c r="H15" i="419" s="1"/>
  <c r="H40" i="419" s="1"/>
  <c r="P263" i="414"/>
  <c r="P264" i="414"/>
  <c r="P88" i="414"/>
  <c r="P11" i="414" s="1"/>
  <c r="P10" i="414" s="1"/>
  <c r="P13" i="414" s="1"/>
  <c r="P15" i="414" s="1"/>
  <c r="P20" i="414"/>
  <c r="P19" i="414" s="1"/>
  <c r="Q104" i="420"/>
  <c r="P107" i="420"/>
  <c r="R187" i="414"/>
  <c r="Q68" i="414"/>
  <c r="H183" i="414"/>
  <c r="H190" i="414" s="1"/>
  <c r="G178" i="414"/>
  <c r="G176" i="414" s="1"/>
  <c r="G179" i="414" s="1"/>
  <c r="K338" i="414"/>
  <c r="K340" i="414"/>
  <c r="G25" i="419"/>
  <c r="V163" i="420"/>
  <c r="U23" i="420"/>
  <c r="O157" i="419"/>
  <c r="J180" i="420"/>
  <c r="J187" i="420" s="1"/>
  <c r="I175" i="420"/>
  <c r="I173" i="420" s="1"/>
  <c r="I176" i="420" s="1"/>
  <c r="Q201" i="419"/>
  <c r="F175" i="419"/>
  <c r="F173" i="419" s="1"/>
  <c r="F176" i="419" s="1"/>
  <c r="G180" i="419"/>
  <c r="G187" i="419" s="1"/>
  <c r="S202" i="419"/>
  <c r="M31" i="420"/>
  <c r="Q145" i="419"/>
  <c r="J40" i="420"/>
  <c r="N25" i="414"/>
  <c r="F67" i="389"/>
  <c r="F61" i="389"/>
  <c r="Q247" i="414"/>
  <c r="P248" i="414"/>
  <c r="P249" i="414" s="1"/>
  <c r="J324" i="414"/>
  <c r="J326" i="414"/>
  <c r="P76" i="414"/>
  <c r="L31" i="419"/>
  <c r="L42" i="419" s="1"/>
  <c r="R185" i="419"/>
  <c r="L22" i="419"/>
  <c r="L24" i="419" s="1"/>
  <c r="L41" i="419" s="1"/>
  <c r="L21" i="419"/>
  <c r="L25" i="419"/>
  <c r="Q128" i="419"/>
  <c r="P133" i="419"/>
  <c r="M302" i="420"/>
  <c r="J25" i="420"/>
  <c r="J302" i="420"/>
  <c r="J312" i="420" s="1"/>
  <c r="J304" i="420"/>
  <c r="L40" i="420"/>
  <c r="P152" i="419"/>
  <c r="Q152" i="419" s="1"/>
  <c r="K31" i="419"/>
  <c r="K42" i="419" s="1"/>
  <c r="R258" i="419"/>
  <c r="R253" i="419"/>
  <c r="R268" i="419"/>
  <c r="S236" i="419"/>
  <c r="R273" i="419"/>
  <c r="R263" i="419"/>
  <c r="R264" i="419" s="1"/>
  <c r="R247" i="419"/>
  <c r="P154" i="419"/>
  <c r="P207" i="419"/>
  <c r="P213" i="419" s="1"/>
  <c r="P216" i="419" s="1"/>
  <c r="Q116" i="419"/>
  <c r="P117" i="419"/>
  <c r="T236" i="420"/>
  <c r="T200" i="420" s="1"/>
  <c r="S258" i="420"/>
  <c r="S247" i="420"/>
  <c r="S268" i="420"/>
  <c r="S263" i="420"/>
  <c r="S253" i="420"/>
  <c r="S273" i="420"/>
  <c r="O134" i="419"/>
  <c r="F21" i="419"/>
  <c r="F25" i="419"/>
  <c r="F22" i="419"/>
  <c r="F24" i="419" s="1"/>
  <c r="F41" i="419" s="1"/>
  <c r="R76" i="419"/>
  <c r="S76" i="419" s="1"/>
  <c r="Q98" i="420"/>
  <c r="P264" i="420"/>
  <c r="P265" i="420"/>
  <c r="O107" i="420"/>
  <c r="K21" i="414"/>
  <c r="K25" i="414"/>
  <c r="K22" i="414"/>
  <c r="K24" i="414" s="1"/>
  <c r="K41" i="414" s="1"/>
  <c r="K347" i="414"/>
  <c r="J13" i="414"/>
  <c r="J15" i="414" s="1"/>
  <c r="O241" i="419"/>
  <c r="O257" i="419"/>
  <c r="O242" i="419"/>
  <c r="O72" i="419"/>
  <c r="O244" i="419"/>
  <c r="O245" i="419" s="1"/>
  <c r="O48" i="419" s="1"/>
  <c r="O248" i="419"/>
  <c r="X206" i="420"/>
  <c r="P107" i="419"/>
  <c r="Q104" i="419"/>
  <c r="O137" i="414"/>
  <c r="R185" i="414"/>
  <c r="Q109" i="414"/>
  <c r="J306" i="414"/>
  <c r="J308" i="414"/>
  <c r="J351" i="414" s="1"/>
  <c r="J347" i="414"/>
  <c r="R144" i="419"/>
  <c r="O35" i="420"/>
  <c r="L42" i="420"/>
  <c r="Q105" i="420"/>
  <c r="R185" i="420"/>
  <c r="N302" i="420"/>
  <c r="N275" i="420"/>
  <c r="N274" i="420"/>
  <c r="N20" i="420"/>
  <c r="N19" i="420" s="1"/>
  <c r="Q163" i="414"/>
  <c r="Q170" i="414" s="1"/>
  <c r="Q177" i="414" s="1"/>
  <c r="P173" i="414"/>
  <c r="M40" i="414"/>
  <c r="O268" i="414"/>
  <c r="O269" i="414"/>
  <c r="P102" i="414"/>
  <c r="Q103" i="414" s="1"/>
  <c r="P195" i="414"/>
  <c r="Q193" i="414"/>
  <c r="Q257" i="414"/>
  <c r="Q258" i="414" s="1"/>
  <c r="Q272" i="414"/>
  <c r="R240" i="414"/>
  <c r="R90" i="414" s="1"/>
  <c r="Q277" i="414"/>
  <c r="Q251" i="414"/>
  <c r="Q267" i="414"/>
  <c r="Q262" i="414"/>
  <c r="F44" i="414"/>
  <c r="F5" i="414"/>
  <c r="K316" i="414"/>
  <c r="N347" i="414"/>
  <c r="S214" i="420"/>
  <c r="T214" i="420" s="1"/>
  <c r="Q174" i="420"/>
  <c r="R174" i="420" s="1"/>
  <c r="J22" i="420"/>
  <c r="J24" i="420" s="1"/>
  <c r="J41" i="420" s="1"/>
  <c r="J42" i="420"/>
  <c r="L274" i="420"/>
  <c r="L275" i="420"/>
  <c r="K40" i="414"/>
  <c r="Q112" i="414"/>
  <c r="Q241" i="414"/>
  <c r="S79" i="420"/>
  <c r="Q149" i="414"/>
  <c r="R149" i="414" s="1"/>
  <c r="Q83" i="414"/>
  <c r="P174" i="419"/>
  <c r="Q174" i="419" s="1"/>
  <c r="Q152" i="420"/>
  <c r="P154" i="420"/>
  <c r="R65" i="420"/>
  <c r="L22" i="420"/>
  <c r="L24" i="420" s="1"/>
  <c r="L41" i="420" s="1"/>
  <c r="O248" i="420"/>
  <c r="Q116" i="420"/>
  <c r="P117" i="420"/>
  <c r="S218" i="420"/>
  <c r="T218" i="420" s="1"/>
  <c r="M275" i="420"/>
  <c r="D13" i="419"/>
  <c r="D15" i="419" s="1"/>
  <c r="D40" i="419" s="1"/>
  <c r="Q82" i="414" l="1"/>
  <c r="Q99" i="420"/>
  <c r="J347" i="420"/>
  <c r="J348" i="420" s="1"/>
  <c r="T151" i="420"/>
  <c r="Q201" i="420"/>
  <c r="R198" i="420"/>
  <c r="J327" i="420"/>
  <c r="J323" i="420"/>
  <c r="R78" i="419"/>
  <c r="S78" i="419" s="1"/>
  <c r="T78" i="419" s="1"/>
  <c r="R80" i="419"/>
  <c r="P121" i="420"/>
  <c r="P123" i="420" s="1"/>
  <c r="P207" i="420"/>
  <c r="S65" i="420"/>
  <c r="T65" i="420" s="1"/>
  <c r="T79" i="420"/>
  <c r="T80" i="420"/>
  <c r="T77" i="420"/>
  <c r="P134" i="419"/>
  <c r="T147" i="420"/>
  <c r="U147" i="420" s="1"/>
  <c r="S77" i="419"/>
  <c r="R198" i="419"/>
  <c r="T199" i="420"/>
  <c r="P51" i="420"/>
  <c r="P66" i="419"/>
  <c r="R77" i="419"/>
  <c r="K322" i="420"/>
  <c r="K325" i="420"/>
  <c r="R58" i="419"/>
  <c r="S58" i="419" s="1"/>
  <c r="R79" i="419"/>
  <c r="R199" i="419"/>
  <c r="S199" i="419" s="1"/>
  <c r="R73" i="419"/>
  <c r="S73" i="419" s="1"/>
  <c r="T73" i="419" s="1"/>
  <c r="R214" i="419"/>
  <c r="J343" i="420"/>
  <c r="R265" i="419"/>
  <c r="S98" i="419"/>
  <c r="R208" i="420"/>
  <c r="Q57" i="420"/>
  <c r="Q59" i="420" s="1"/>
  <c r="Q209" i="420"/>
  <c r="Q121" i="420" s="1"/>
  <c r="Q123" i="420" s="1"/>
  <c r="R74" i="419"/>
  <c r="S74" i="419" s="1"/>
  <c r="Q58" i="414"/>
  <c r="Q79" i="414"/>
  <c r="Q189" i="414"/>
  <c r="Q78" i="414"/>
  <c r="R235" i="419"/>
  <c r="P140" i="414"/>
  <c r="P25" i="414" s="1"/>
  <c r="O227" i="414"/>
  <c r="O228" i="414" s="1"/>
  <c r="O34" i="414"/>
  <c r="O36" i="414" s="1"/>
  <c r="O43" i="414" s="1"/>
  <c r="O231" i="414"/>
  <c r="P35" i="419"/>
  <c r="J313" i="420"/>
  <c r="K303" i="420"/>
  <c r="O52" i="419"/>
  <c r="O270" i="420"/>
  <c r="O269" i="420"/>
  <c r="O108" i="420"/>
  <c r="P108" i="420" s="1"/>
  <c r="R154" i="414"/>
  <c r="K21" i="420"/>
  <c r="K25" i="420"/>
  <c r="K22" i="420"/>
  <c r="K24" i="420" s="1"/>
  <c r="K41" i="420" s="1"/>
  <c r="O159" i="414"/>
  <c r="O63" i="414"/>
  <c r="O61" i="414"/>
  <c r="O221" i="414"/>
  <c r="O62" i="414"/>
  <c r="O226" i="414"/>
  <c r="O116" i="414"/>
  <c r="O158" i="414"/>
  <c r="O14" i="414"/>
  <c r="O128" i="414"/>
  <c r="O122" i="414"/>
  <c r="E44" i="419"/>
  <c r="E5" i="419"/>
  <c r="Q204" i="414"/>
  <c r="R201" i="414"/>
  <c r="T209" i="414"/>
  <c r="S216" i="414"/>
  <c r="R148" i="414"/>
  <c r="Q28" i="414"/>
  <c r="T144" i="420"/>
  <c r="S165" i="414"/>
  <c r="R67" i="414"/>
  <c r="R70" i="414" s="1"/>
  <c r="P217" i="419"/>
  <c r="P112" i="419"/>
  <c r="P222" i="419"/>
  <c r="P14" i="419"/>
  <c r="P124" i="419"/>
  <c r="P156" i="419"/>
  <c r="P157" i="419" s="1"/>
  <c r="P53" i="419"/>
  <c r="P155" i="419"/>
  <c r="P60" i="419"/>
  <c r="R108" i="414"/>
  <c r="Q111" i="414"/>
  <c r="G56" i="389"/>
  <c r="R38" i="389"/>
  <c r="J318" i="414"/>
  <c r="J357" i="414" s="1"/>
  <c r="J358" i="414" s="1"/>
  <c r="J353" i="414"/>
  <c r="J354" i="414" s="1"/>
  <c r="J313" i="414"/>
  <c r="J355" i="414" s="1"/>
  <c r="J356" i="414" s="1"/>
  <c r="L318" i="414"/>
  <c r="L357" i="414" s="1"/>
  <c r="L358" i="414" s="1"/>
  <c r="L353" i="414"/>
  <c r="L354" i="414" s="1"/>
  <c r="L313" i="414"/>
  <c r="L355" i="414" s="1"/>
  <c r="L356" i="414" s="1"/>
  <c r="Q6" i="417"/>
  <c r="Q240" i="419"/>
  <c r="R5" i="417"/>
  <c r="Q240" i="420"/>
  <c r="Q20" i="414"/>
  <c r="Q19" i="414" s="1"/>
  <c r="Q264" i="414"/>
  <c r="Q88" i="414"/>
  <c r="Q11" i="414" s="1"/>
  <c r="Q10" i="414" s="1"/>
  <c r="Q13" i="414" s="1"/>
  <c r="Q15" i="414" s="1"/>
  <c r="M331" i="414"/>
  <c r="M327" i="414"/>
  <c r="R112" i="414"/>
  <c r="R251" i="414"/>
  <c r="R82" i="414" s="1"/>
  <c r="R277" i="414"/>
  <c r="R262" i="414"/>
  <c r="R257" i="414"/>
  <c r="S240" i="414"/>
  <c r="S149" i="414" s="1"/>
  <c r="R267" i="414"/>
  <c r="R272" i="414"/>
  <c r="S184" i="419"/>
  <c r="R64" i="419"/>
  <c r="R247" i="414"/>
  <c r="Q248" i="414"/>
  <c r="Q249" i="414" s="1"/>
  <c r="H180" i="419"/>
  <c r="H187" i="419" s="1"/>
  <c r="G175" i="419"/>
  <c r="G173" i="419" s="1"/>
  <c r="G176" i="419" s="1"/>
  <c r="I203" i="420"/>
  <c r="I38" i="420" s="1"/>
  <c r="I33" i="420"/>
  <c r="I36" i="420" s="1"/>
  <c r="I43" i="420" s="1"/>
  <c r="W163" i="420"/>
  <c r="V23" i="420"/>
  <c r="S80" i="419"/>
  <c r="P270" i="420"/>
  <c r="P269" i="420"/>
  <c r="P118" i="419"/>
  <c r="Q207" i="419"/>
  <c r="Q213" i="419" s="1"/>
  <c r="S150" i="419"/>
  <c r="R188" i="414"/>
  <c r="R222" i="414"/>
  <c r="R84" i="414"/>
  <c r="S166" i="414"/>
  <c r="R23" i="414"/>
  <c r="R153" i="414"/>
  <c r="Q157" i="414"/>
  <c r="Q160" i="414" s="1"/>
  <c r="O111" i="420"/>
  <c r="O112" i="420" s="1"/>
  <c r="O190" i="420"/>
  <c r="P50" i="420"/>
  <c r="O14" i="420"/>
  <c r="O222" i="420"/>
  <c r="O53" i="420"/>
  <c r="O156" i="420"/>
  <c r="O217" i="420"/>
  <c r="O60" i="420"/>
  <c r="O155" i="420"/>
  <c r="O118" i="420"/>
  <c r="O124" i="420"/>
  <c r="U151" i="420"/>
  <c r="S223" i="414"/>
  <c r="S30" i="414" s="1"/>
  <c r="S35" i="414"/>
  <c r="R78" i="414"/>
  <c r="O275" i="420"/>
  <c r="O274" i="420"/>
  <c r="P242" i="420"/>
  <c r="P244" i="420"/>
  <c r="P245" i="420" s="1"/>
  <c r="P241" i="420"/>
  <c r="P248" i="420"/>
  <c r="P247" i="420" s="1"/>
  <c r="T75" i="420"/>
  <c r="N327" i="414"/>
  <c r="N331" i="414"/>
  <c r="O134" i="420"/>
  <c r="S185" i="420"/>
  <c r="R105" i="420"/>
  <c r="T202" i="419"/>
  <c r="R239" i="414"/>
  <c r="R152" i="420"/>
  <c r="Q154" i="420"/>
  <c r="Q107" i="419"/>
  <c r="R104" i="419"/>
  <c r="J352" i="414"/>
  <c r="J40" i="414"/>
  <c r="R150" i="414"/>
  <c r="O247" i="420"/>
  <c r="O86" i="420"/>
  <c r="R163" i="414"/>
  <c r="R170" i="414" s="1"/>
  <c r="Q173" i="414"/>
  <c r="R205" i="414"/>
  <c r="P269" i="419"/>
  <c r="P270" i="419"/>
  <c r="R116" i="419"/>
  <c r="Q117" i="419"/>
  <c r="O53" i="414"/>
  <c r="P275" i="419"/>
  <c r="P274" i="419"/>
  <c r="S214" i="419"/>
  <c r="Q76" i="414"/>
  <c r="Q261" i="414"/>
  <c r="Q263" i="414" s="1"/>
  <c r="R77" i="414"/>
  <c r="T73" i="420"/>
  <c r="R189" i="414"/>
  <c r="S189" i="414" s="1"/>
  <c r="R145" i="419"/>
  <c r="F33" i="419"/>
  <c r="F36" i="419" s="1"/>
  <c r="F43" i="419" s="1"/>
  <c r="F203" i="419"/>
  <c r="F38" i="419" s="1"/>
  <c r="J175" i="420"/>
  <c r="J173" i="420" s="1"/>
  <c r="J176" i="420" s="1"/>
  <c r="K180" i="420"/>
  <c r="K187" i="420" s="1"/>
  <c r="T146" i="420"/>
  <c r="R104" i="420"/>
  <c r="Q107" i="420"/>
  <c r="T145" i="420"/>
  <c r="T58" i="420"/>
  <c r="R209" i="419"/>
  <c r="R121" i="419" s="1"/>
  <c r="R123" i="419" s="1"/>
  <c r="R57" i="419"/>
  <c r="R59" i="419" s="1"/>
  <c r="S208" i="419"/>
  <c r="R217" i="414"/>
  <c r="P238" i="414"/>
  <c r="P137" i="414" s="1"/>
  <c r="Q237" i="414"/>
  <c r="P47" i="414"/>
  <c r="P46" i="414"/>
  <c r="P45" i="414"/>
  <c r="K42" i="420"/>
  <c r="S160" i="420"/>
  <c r="S167" i="420" s="1"/>
  <c r="S174" i="420" s="1"/>
  <c r="R170" i="420"/>
  <c r="H44" i="420"/>
  <c r="H5" i="420"/>
  <c r="Q69" i="414"/>
  <c r="R69" i="414" s="1"/>
  <c r="U127" i="420"/>
  <c r="P72" i="420"/>
  <c r="O48" i="420"/>
  <c r="P49" i="420"/>
  <c r="T235" i="420"/>
  <c r="Q170" i="419"/>
  <c r="R160" i="419"/>
  <c r="R167" i="419" s="1"/>
  <c r="U218" i="414"/>
  <c r="T219" i="414"/>
  <c r="P111" i="419"/>
  <c r="P190" i="419" s="1"/>
  <c r="T76" i="420"/>
  <c r="R58" i="414"/>
  <c r="G66" i="389"/>
  <c r="G61" i="389"/>
  <c r="G67" i="389"/>
  <c r="Q129" i="420"/>
  <c r="P133" i="420"/>
  <c r="R212" i="420"/>
  <c r="N318" i="414"/>
  <c r="N357" i="414" s="1"/>
  <c r="N358" i="414" s="1"/>
  <c r="N313" i="414"/>
  <c r="N355" i="414" s="1"/>
  <c r="N356" i="414" s="1"/>
  <c r="N353" i="414"/>
  <c r="N354" i="414" s="1"/>
  <c r="P108" i="419"/>
  <c r="W162" i="420"/>
  <c r="V63" i="420"/>
  <c r="P244" i="419"/>
  <c r="P245" i="419" s="1"/>
  <c r="P241" i="419"/>
  <c r="P242" i="419"/>
  <c r="P248" i="419"/>
  <c r="P247" i="419" s="1"/>
  <c r="P136" i="414"/>
  <c r="Q131" i="414"/>
  <c r="Q155" i="414"/>
  <c r="R155" i="414" s="1"/>
  <c r="K327" i="414"/>
  <c r="K331" i="414"/>
  <c r="R203" i="414"/>
  <c r="S203" i="414" s="1"/>
  <c r="R116" i="420"/>
  <c r="Q117" i="420"/>
  <c r="Q195" i="414"/>
  <c r="R193" i="414"/>
  <c r="K339" i="414"/>
  <c r="N348" i="414"/>
  <c r="J348" i="414"/>
  <c r="K348" i="414"/>
  <c r="L348" i="414"/>
  <c r="M348" i="414"/>
  <c r="M339" i="414"/>
  <c r="N339" i="414"/>
  <c r="L339" i="414"/>
  <c r="R109" i="414"/>
  <c r="S185" i="414"/>
  <c r="P72" i="419"/>
  <c r="S258" i="419"/>
  <c r="S247" i="419"/>
  <c r="S273" i="419"/>
  <c r="T236" i="419"/>
  <c r="T75" i="419" s="1"/>
  <c r="S253" i="419"/>
  <c r="S263" i="419"/>
  <c r="S264" i="419" s="1"/>
  <c r="S268" i="419"/>
  <c r="S146" i="419"/>
  <c r="T146" i="419" s="1"/>
  <c r="R202" i="414"/>
  <c r="R83" i="414"/>
  <c r="R241" i="414"/>
  <c r="R156" i="414"/>
  <c r="S156" i="414" s="1"/>
  <c r="R79" i="414"/>
  <c r="P269" i="414"/>
  <c r="Q102" i="414"/>
  <c r="P268" i="414"/>
  <c r="N21" i="420"/>
  <c r="N25" i="420"/>
  <c r="N22" i="420"/>
  <c r="N24" i="420" s="1"/>
  <c r="N41" i="420" s="1"/>
  <c r="S144" i="419"/>
  <c r="S79" i="419"/>
  <c r="T79" i="419" s="1"/>
  <c r="O86" i="419"/>
  <c r="O83" i="419"/>
  <c r="O247" i="419"/>
  <c r="Q265" i="420"/>
  <c r="Q264" i="420"/>
  <c r="R98" i="420"/>
  <c r="R99" i="420" s="1"/>
  <c r="T263" i="420"/>
  <c r="T273" i="420"/>
  <c r="U236" i="420"/>
  <c r="U218" i="420" s="1"/>
  <c r="T258" i="420"/>
  <c r="T253" i="420"/>
  <c r="T268" i="420"/>
  <c r="T247" i="420"/>
  <c r="T153" i="420"/>
  <c r="R152" i="419"/>
  <c r="R128" i="419"/>
  <c r="Q133" i="419"/>
  <c r="R105" i="419"/>
  <c r="S185" i="419"/>
  <c r="T78" i="420"/>
  <c r="M42" i="420"/>
  <c r="R201" i="419"/>
  <c r="S198" i="419"/>
  <c r="T74" i="420"/>
  <c r="S186" i="419"/>
  <c r="T186" i="419" s="1"/>
  <c r="H178" i="414"/>
  <c r="H176" i="414" s="1"/>
  <c r="H179" i="414" s="1"/>
  <c r="I183" i="414"/>
  <c r="I190" i="414" s="1"/>
  <c r="R68" i="414"/>
  <c r="S187" i="414"/>
  <c r="P21" i="414"/>
  <c r="P22" i="414"/>
  <c r="P24" i="414" s="1"/>
  <c r="P229" i="414" s="1"/>
  <c r="T150" i="420"/>
  <c r="T202" i="420"/>
  <c r="R147" i="414"/>
  <c r="Q33" i="414"/>
  <c r="S151" i="419"/>
  <c r="T151" i="419" s="1"/>
  <c r="S147" i="419"/>
  <c r="T147" i="419" s="1"/>
  <c r="O83" i="420"/>
  <c r="P234" i="420"/>
  <c r="R64" i="420"/>
  <c r="R66" i="420" s="1"/>
  <c r="S184" i="420"/>
  <c r="S235" i="419"/>
  <c r="T235" i="419" s="1"/>
  <c r="Q72" i="414"/>
  <c r="R212" i="419"/>
  <c r="Q216" i="419"/>
  <c r="P274" i="414"/>
  <c r="P273" i="414"/>
  <c r="M353" i="414"/>
  <c r="M354" i="414" s="1"/>
  <c r="M318" i="414"/>
  <c r="M357" i="414" s="1"/>
  <c r="M358" i="414" s="1"/>
  <c r="M313" i="414"/>
  <c r="M355" i="414" s="1"/>
  <c r="M356" i="414" s="1"/>
  <c r="K318" i="414"/>
  <c r="K357" i="414" s="1"/>
  <c r="K358" i="414" s="1"/>
  <c r="K313" i="414"/>
  <c r="K355" i="414" s="1"/>
  <c r="K356" i="414" s="1"/>
  <c r="K353" i="414"/>
  <c r="K354" i="414" s="1"/>
  <c r="R65" i="419"/>
  <c r="Q210" i="414"/>
  <c r="R211" i="414"/>
  <c r="Q212" i="414"/>
  <c r="Q125" i="414" s="1"/>
  <c r="Q127" i="414" s="1"/>
  <c r="Q57" i="414"/>
  <c r="Q59" i="414" s="1"/>
  <c r="Q64" i="414" s="1"/>
  <c r="U238" i="419"/>
  <c r="U239" i="419" s="1"/>
  <c r="U272" i="419" s="1"/>
  <c r="U238" i="420"/>
  <c r="U239" i="420" s="1"/>
  <c r="U272" i="420" s="1"/>
  <c r="V4" i="417"/>
  <c r="O279" i="414"/>
  <c r="O278" i="414"/>
  <c r="R86" i="414"/>
  <c r="R258" i="414"/>
  <c r="S75" i="414"/>
  <c r="R259" i="414"/>
  <c r="S153" i="419"/>
  <c r="T153" i="419" s="1"/>
  <c r="L331" i="414"/>
  <c r="L327" i="414"/>
  <c r="J327" i="414"/>
  <c r="J331" i="414"/>
  <c r="P53" i="414" l="1"/>
  <c r="P53" i="420"/>
  <c r="L321" i="420"/>
  <c r="K326" i="420"/>
  <c r="P83" i="419"/>
  <c r="Q83" i="419" s="1"/>
  <c r="R83" i="419" s="1"/>
  <c r="S83" i="419" s="1"/>
  <c r="T83" i="419" s="1"/>
  <c r="S202" i="414"/>
  <c r="U80" i="420"/>
  <c r="S58" i="414"/>
  <c r="S217" i="414"/>
  <c r="S205" i="414"/>
  <c r="S78" i="414"/>
  <c r="S222" i="414"/>
  <c r="R80" i="414"/>
  <c r="S265" i="419"/>
  <c r="T98" i="419"/>
  <c r="U74" i="420"/>
  <c r="S83" i="414"/>
  <c r="U146" i="420"/>
  <c r="S77" i="414"/>
  <c r="S150" i="414"/>
  <c r="P134" i="420"/>
  <c r="S188" i="414"/>
  <c r="P128" i="414"/>
  <c r="Q128" i="414" s="1"/>
  <c r="P63" i="414"/>
  <c r="J344" i="420"/>
  <c r="K335" i="420"/>
  <c r="U77" i="420"/>
  <c r="S79" i="414"/>
  <c r="P48" i="419"/>
  <c r="R207" i="419"/>
  <c r="R213" i="419" s="1"/>
  <c r="S239" i="414"/>
  <c r="T239" i="414" s="1"/>
  <c r="R57" i="420"/>
  <c r="R59" i="420" s="1"/>
  <c r="R209" i="420"/>
  <c r="R121" i="420" s="1"/>
  <c r="R123" i="420" s="1"/>
  <c r="S208" i="420"/>
  <c r="S99" i="419"/>
  <c r="T99" i="419" s="1"/>
  <c r="P213" i="420"/>
  <c r="P216" i="420" s="1"/>
  <c r="P35" i="420" s="1"/>
  <c r="Q207" i="420"/>
  <c r="R201" i="420"/>
  <c r="S198" i="420"/>
  <c r="Q140" i="414"/>
  <c r="P231" i="414"/>
  <c r="P34" i="414"/>
  <c r="P36" i="414" s="1"/>
  <c r="P43" i="414" s="1"/>
  <c r="P52" i="419"/>
  <c r="S147" i="414"/>
  <c r="R33" i="414"/>
  <c r="Q269" i="414"/>
  <c r="R102" i="414"/>
  <c r="Q268" i="414"/>
  <c r="Q72" i="419"/>
  <c r="K349" i="414"/>
  <c r="K345" i="414"/>
  <c r="R195" i="414"/>
  <c r="S193" i="414"/>
  <c r="S116" i="420"/>
  <c r="R117" i="420"/>
  <c r="R129" i="420"/>
  <c r="Q133" i="420"/>
  <c r="V127" i="420"/>
  <c r="Q238" i="414"/>
  <c r="Q137" i="414" s="1"/>
  <c r="Q45" i="414"/>
  <c r="R237" i="414"/>
  <c r="Q47" i="414"/>
  <c r="Q46" i="414"/>
  <c r="U145" i="420"/>
  <c r="F44" i="419"/>
  <c r="F5" i="419"/>
  <c r="R76" i="414"/>
  <c r="R261" i="414"/>
  <c r="Q53" i="414"/>
  <c r="P86" i="420"/>
  <c r="O87" i="420"/>
  <c r="O88" i="420" s="1"/>
  <c r="Q270" i="419"/>
  <c r="Q269" i="419"/>
  <c r="T185" i="420"/>
  <c r="S105" i="420"/>
  <c r="P155" i="420"/>
  <c r="O67" i="420"/>
  <c r="O157" i="420"/>
  <c r="I44" i="420"/>
  <c r="I5" i="420"/>
  <c r="S247" i="414"/>
  <c r="R248" i="414"/>
  <c r="R249" i="414" s="1"/>
  <c r="S64" i="419"/>
  <c r="T184" i="419"/>
  <c r="Q21" i="414"/>
  <c r="Q22" i="414"/>
  <c r="Q24" i="414" s="1"/>
  <c r="Q229" i="414" s="1"/>
  <c r="Q241" i="419"/>
  <c r="Q244" i="419"/>
  <c r="Q245" i="419" s="1"/>
  <c r="Q48" i="419" s="1"/>
  <c r="Q242" i="419"/>
  <c r="Q231" i="419"/>
  <c r="S108" i="414"/>
  <c r="R111" i="414"/>
  <c r="P12" i="419"/>
  <c r="T165" i="414"/>
  <c r="S67" i="414"/>
  <c r="S70" i="414" s="1"/>
  <c r="U209" i="414"/>
  <c r="T216" i="414"/>
  <c r="P226" i="414"/>
  <c r="P141" i="414"/>
  <c r="Q63" i="414"/>
  <c r="O8" i="419"/>
  <c r="O9" i="419" s="1"/>
  <c r="O54" i="419"/>
  <c r="O17" i="419" s="1"/>
  <c r="O18" i="419" s="1"/>
  <c r="J314" i="420"/>
  <c r="J309" i="420"/>
  <c r="J349" i="420"/>
  <c r="J350" i="420" s="1"/>
  <c r="V238" i="419"/>
  <c r="V239" i="419" s="1"/>
  <c r="V272" i="419" s="1"/>
  <c r="V238" i="420"/>
  <c r="V239" i="420" s="1"/>
  <c r="V272" i="420" s="1"/>
  <c r="W4" i="417"/>
  <c r="Q35" i="419"/>
  <c r="R263" i="414"/>
  <c r="R20" i="414"/>
  <c r="R19" i="414" s="1"/>
  <c r="R88" i="414"/>
  <c r="R11" i="414" s="1"/>
  <c r="R10" i="414" s="1"/>
  <c r="R13" i="414" s="1"/>
  <c r="R15" i="414" s="1"/>
  <c r="R264" i="414"/>
  <c r="R57" i="414"/>
  <c r="R59" i="414" s="1"/>
  <c r="R64" i="414" s="1"/>
  <c r="R212" i="414"/>
  <c r="R125" i="414" s="1"/>
  <c r="R127" i="414" s="1"/>
  <c r="S211" i="414"/>
  <c r="R210" i="414"/>
  <c r="S212" i="419"/>
  <c r="R216" i="419"/>
  <c r="Q25" i="414"/>
  <c r="T184" i="420"/>
  <c r="S64" i="420"/>
  <c r="S66" i="420" s="1"/>
  <c r="U202" i="420"/>
  <c r="U150" i="420"/>
  <c r="S68" i="414"/>
  <c r="T187" i="414"/>
  <c r="U153" i="420"/>
  <c r="R264" i="420"/>
  <c r="R265" i="420"/>
  <c r="S98" i="420"/>
  <c r="S99" i="420" s="1"/>
  <c r="S241" i="414"/>
  <c r="T185" i="414"/>
  <c r="S109" i="414"/>
  <c r="J349" i="414"/>
  <c r="J345" i="414"/>
  <c r="Q136" i="414"/>
  <c r="R131" i="414"/>
  <c r="Q108" i="419"/>
  <c r="U76" i="420"/>
  <c r="T223" i="414"/>
  <c r="T30" i="414" s="1"/>
  <c r="T35" i="414"/>
  <c r="P48" i="420"/>
  <c r="O52" i="420"/>
  <c r="U73" i="420"/>
  <c r="T214" i="419"/>
  <c r="R173" i="414"/>
  <c r="S163" i="414"/>
  <c r="S170" i="414" s="1"/>
  <c r="T76" i="419"/>
  <c r="T218" i="419"/>
  <c r="P124" i="420"/>
  <c r="P60" i="420"/>
  <c r="P222" i="420"/>
  <c r="P111" i="420"/>
  <c r="T166" i="414"/>
  <c r="S23" i="414"/>
  <c r="T150" i="419"/>
  <c r="G203" i="419"/>
  <c r="G38" i="419" s="1"/>
  <c r="G33" i="419"/>
  <c r="G36" i="419" s="1"/>
  <c r="G43" i="419" s="1"/>
  <c r="S267" i="414"/>
  <c r="S257" i="414"/>
  <c r="S251" i="414"/>
  <c r="S82" i="414" s="1"/>
  <c r="S262" i="414"/>
  <c r="S277" i="414"/>
  <c r="S272" i="414"/>
  <c r="T240" i="414"/>
  <c r="T203" i="414" s="1"/>
  <c r="R81" i="414"/>
  <c r="T58" i="419"/>
  <c r="T199" i="419"/>
  <c r="P14" i="414"/>
  <c r="Q14" i="414" s="1"/>
  <c r="P62" i="414"/>
  <c r="Q62" i="414" s="1"/>
  <c r="O12" i="414"/>
  <c r="P159" i="414"/>
  <c r="Q159" i="414" s="1"/>
  <c r="Q108" i="420"/>
  <c r="T77" i="419"/>
  <c r="P219" i="419"/>
  <c r="P30" i="419" s="1"/>
  <c r="P227" i="414"/>
  <c r="O29" i="414"/>
  <c r="P83" i="420"/>
  <c r="Q83" i="420" s="1"/>
  <c r="R83" i="420" s="1"/>
  <c r="S83" i="420" s="1"/>
  <c r="T83" i="420" s="1"/>
  <c r="U83" i="420" s="1"/>
  <c r="Q275" i="419"/>
  <c r="Q274" i="419"/>
  <c r="U268" i="420"/>
  <c r="V236" i="420"/>
  <c r="U263" i="420"/>
  <c r="U247" i="420"/>
  <c r="U273" i="420"/>
  <c r="U253" i="420"/>
  <c r="U258" i="420"/>
  <c r="T144" i="419"/>
  <c r="M345" i="414"/>
  <c r="M349" i="414"/>
  <c r="N349" i="414"/>
  <c r="N345" i="414"/>
  <c r="U79" i="420"/>
  <c r="P279" i="414"/>
  <c r="P278" i="414"/>
  <c r="S212" i="420"/>
  <c r="V218" i="414"/>
  <c r="U219" i="414"/>
  <c r="U235" i="420"/>
  <c r="Q269" i="420"/>
  <c r="Q270" i="420"/>
  <c r="L180" i="420"/>
  <c r="L187" i="420" s="1"/>
  <c r="K175" i="420"/>
  <c r="K173" i="420" s="1"/>
  <c r="K176" i="420" s="1"/>
  <c r="S116" i="419"/>
  <c r="R117" i="419"/>
  <c r="U214" i="420"/>
  <c r="U199" i="420"/>
  <c r="P118" i="420"/>
  <c r="P217" i="420"/>
  <c r="O219" i="420"/>
  <c r="O30" i="420" s="1"/>
  <c r="P14" i="420"/>
  <c r="S84" i="414"/>
  <c r="R154" i="419"/>
  <c r="X163" i="420"/>
  <c r="W23" i="420"/>
  <c r="I180" i="419"/>
  <c r="I187" i="419" s="1"/>
  <c r="H175" i="419"/>
  <c r="H173" i="419" s="1"/>
  <c r="H176" i="419" s="1"/>
  <c r="S112" i="414"/>
  <c r="Q244" i="420"/>
  <c r="Q245" i="420" s="1"/>
  <c r="Q242" i="420"/>
  <c r="Q241" i="420"/>
  <c r="Q231" i="420"/>
  <c r="T200" i="419"/>
  <c r="P67" i="419"/>
  <c r="R103" i="414"/>
  <c r="S103" i="414" s="1"/>
  <c r="S148" i="414"/>
  <c r="R28" i="414"/>
  <c r="T74" i="419"/>
  <c r="P158" i="414"/>
  <c r="Q158" i="414" s="1"/>
  <c r="O71" i="414"/>
  <c r="P71" i="414" s="1"/>
  <c r="Q71" i="414" s="1"/>
  <c r="P221" i="414"/>
  <c r="Q221" i="414" s="1"/>
  <c r="U186" i="420"/>
  <c r="S90" i="414"/>
  <c r="K312" i="420"/>
  <c r="K304" i="420"/>
  <c r="O37" i="414"/>
  <c r="O38" i="414"/>
  <c r="O5" i="414" s="1"/>
  <c r="S105" i="419"/>
  <c r="T185" i="419"/>
  <c r="X162" i="420"/>
  <c r="X63" i="420" s="1"/>
  <c r="W63" i="420"/>
  <c r="S259" i="414"/>
  <c r="S258" i="414"/>
  <c r="T75" i="414"/>
  <c r="S86" i="414"/>
  <c r="S65" i="419"/>
  <c r="T65" i="419" s="1"/>
  <c r="I178" i="414"/>
  <c r="I176" i="414" s="1"/>
  <c r="I179" i="414" s="1"/>
  <c r="J183" i="414"/>
  <c r="J190" i="414" s="1"/>
  <c r="S201" i="419"/>
  <c r="T198" i="419"/>
  <c r="U78" i="420"/>
  <c r="V78" i="420" s="1"/>
  <c r="S128" i="419"/>
  <c r="R133" i="419"/>
  <c r="P86" i="419"/>
  <c r="O87" i="419"/>
  <c r="O88" i="419" s="1"/>
  <c r="T247" i="419"/>
  <c r="T263" i="419"/>
  <c r="T258" i="419"/>
  <c r="T253" i="419"/>
  <c r="U236" i="419"/>
  <c r="U202" i="419" s="1"/>
  <c r="T273" i="419"/>
  <c r="T268" i="419"/>
  <c r="L345" i="414"/>
  <c r="L349" i="414"/>
  <c r="P275" i="420"/>
  <c r="P274" i="420"/>
  <c r="S160" i="419"/>
  <c r="S167" i="419" s="1"/>
  <c r="R170" i="419"/>
  <c r="Q72" i="420"/>
  <c r="T160" i="420"/>
  <c r="T167" i="420" s="1"/>
  <c r="T174" i="420" s="1"/>
  <c r="S170" i="420"/>
  <c r="T208" i="419"/>
  <c r="S209" i="419"/>
  <c r="S121" i="419" s="1"/>
  <c r="S123" i="419" s="1"/>
  <c r="S57" i="419"/>
  <c r="S59" i="419" s="1"/>
  <c r="U58" i="420"/>
  <c r="S104" i="420"/>
  <c r="R107" i="420"/>
  <c r="J203" i="420"/>
  <c r="J38" i="420" s="1"/>
  <c r="J33" i="420"/>
  <c r="J36" i="420" s="1"/>
  <c r="J43" i="420" s="1"/>
  <c r="S145" i="419"/>
  <c r="R174" i="419"/>
  <c r="S174" i="419" s="1"/>
  <c r="R107" i="419"/>
  <c r="S104" i="419"/>
  <c r="S152" i="420"/>
  <c r="R154" i="420"/>
  <c r="U75" i="420"/>
  <c r="P112" i="420"/>
  <c r="O12" i="420"/>
  <c r="P156" i="420"/>
  <c r="S153" i="414"/>
  <c r="S69" i="414" s="1"/>
  <c r="R157" i="414"/>
  <c r="R160" i="414" s="1"/>
  <c r="T222" i="414"/>
  <c r="T80" i="419"/>
  <c r="R66" i="419"/>
  <c r="R240" i="420"/>
  <c r="R240" i="419"/>
  <c r="S5" i="417"/>
  <c r="R6" i="417"/>
  <c r="Q274" i="414"/>
  <c r="Q273" i="414"/>
  <c r="R72" i="414"/>
  <c r="U144" i="420"/>
  <c r="R204" i="414"/>
  <c r="S201" i="414"/>
  <c r="P122" i="414"/>
  <c r="Q122" i="414" s="1"/>
  <c r="P116" i="414"/>
  <c r="Q116" i="414" s="1"/>
  <c r="P61" i="414"/>
  <c r="Q61" i="414" s="1"/>
  <c r="S154" i="414"/>
  <c r="R177" i="414"/>
  <c r="U200" i="420"/>
  <c r="U235" i="419" l="1"/>
  <c r="U76" i="419"/>
  <c r="S201" i="420"/>
  <c r="T198" i="420"/>
  <c r="K323" i="420"/>
  <c r="K327" i="420"/>
  <c r="S57" i="420"/>
  <c r="S59" i="420" s="1"/>
  <c r="T208" i="420"/>
  <c r="S209" i="420"/>
  <c r="S121" i="420" s="1"/>
  <c r="S123" i="420" s="1"/>
  <c r="K343" i="420"/>
  <c r="K336" i="420"/>
  <c r="K347" i="420" s="1"/>
  <c r="K348" i="420" s="1"/>
  <c r="U98" i="419"/>
  <c r="T265" i="419"/>
  <c r="L325" i="420"/>
  <c r="L322" i="420"/>
  <c r="V58" i="420"/>
  <c r="S207" i="420"/>
  <c r="S213" i="420" s="1"/>
  <c r="S216" i="420" s="1"/>
  <c r="V79" i="420"/>
  <c r="Q213" i="420"/>
  <c r="Q216" i="420" s="1"/>
  <c r="Q35" i="420" s="1"/>
  <c r="R207" i="420"/>
  <c r="R213" i="420" s="1"/>
  <c r="R216" i="420" s="1"/>
  <c r="J341" i="420"/>
  <c r="J351" i="420" s="1"/>
  <c r="J352" i="420" s="1"/>
  <c r="J345" i="420"/>
  <c r="U99" i="419"/>
  <c r="R108" i="420"/>
  <c r="J353" i="420"/>
  <c r="J354" i="420" s="1"/>
  <c r="U80" i="419"/>
  <c r="V80" i="419" s="1"/>
  <c r="S207" i="419"/>
  <c r="S213" i="419" s="1"/>
  <c r="S216" i="419" s="1"/>
  <c r="T264" i="419"/>
  <c r="Q231" i="414"/>
  <c r="R140" i="414"/>
  <c r="R25" i="414" s="1"/>
  <c r="Q34" i="414"/>
  <c r="Q36" i="414" s="1"/>
  <c r="Q43" i="414" s="1"/>
  <c r="R242" i="419"/>
  <c r="R241" i="419"/>
  <c r="R244" i="419"/>
  <c r="R245" i="419" s="1"/>
  <c r="R48" i="419" s="1"/>
  <c r="R270" i="419"/>
  <c r="R269" i="419"/>
  <c r="T57" i="419"/>
  <c r="T59" i="419" s="1"/>
  <c r="U208" i="419"/>
  <c r="T209" i="419"/>
  <c r="T121" i="419" s="1"/>
  <c r="T123" i="419" s="1"/>
  <c r="R72" i="420"/>
  <c r="O89" i="419"/>
  <c r="O71" i="419" s="1"/>
  <c r="O90" i="419"/>
  <c r="P68" i="419"/>
  <c r="H203" i="419"/>
  <c r="H38" i="419" s="1"/>
  <c r="H33" i="419"/>
  <c r="H36" i="419" s="1"/>
  <c r="H43" i="419" s="1"/>
  <c r="X23" i="420"/>
  <c r="L175" i="420"/>
  <c r="L173" i="420" s="1"/>
  <c r="L176" i="420" s="1"/>
  <c r="M180" i="420"/>
  <c r="M187" i="420" s="1"/>
  <c r="R35" i="420"/>
  <c r="V253" i="420"/>
  <c r="V263" i="420"/>
  <c r="V268" i="420"/>
  <c r="V273" i="420"/>
  <c r="W236" i="420"/>
  <c r="V258" i="420"/>
  <c r="V247" i="420"/>
  <c r="V74" i="420"/>
  <c r="O31" i="414"/>
  <c r="O42" i="414" s="1"/>
  <c r="T267" i="414"/>
  <c r="T277" i="414"/>
  <c r="U240" i="414"/>
  <c r="U222" i="414" s="1"/>
  <c r="T251" i="414"/>
  <c r="T82" i="414" s="1"/>
  <c r="T272" i="414"/>
  <c r="T262" i="414"/>
  <c r="T257" i="414"/>
  <c r="T163" i="414"/>
  <c r="T170" i="414" s="1"/>
  <c r="S173" i="414"/>
  <c r="O54" i="420"/>
  <c r="O17" i="420" s="1"/>
  <c r="O18" i="420" s="1"/>
  <c r="O8" i="420"/>
  <c r="V76" i="420"/>
  <c r="W76" i="420" s="1"/>
  <c r="R136" i="414"/>
  <c r="S131" i="414"/>
  <c r="T241" i="414"/>
  <c r="V153" i="420"/>
  <c r="W153" i="420" s="1"/>
  <c r="V150" i="420"/>
  <c r="T212" i="419"/>
  <c r="Q226" i="414"/>
  <c r="Q141" i="414"/>
  <c r="S72" i="414"/>
  <c r="T247" i="414"/>
  <c r="S248" i="414"/>
  <c r="S249" i="414" s="1"/>
  <c r="T188" i="414"/>
  <c r="U188" i="414" s="1"/>
  <c r="V80" i="420"/>
  <c r="R72" i="419"/>
  <c r="S102" i="414"/>
  <c r="R268" i="414"/>
  <c r="R269" i="414"/>
  <c r="P54" i="419"/>
  <c r="P17" i="419" s="1"/>
  <c r="P18" i="419" s="1"/>
  <c r="P8" i="419"/>
  <c r="P37" i="414"/>
  <c r="P38" i="414"/>
  <c r="P5" i="414" s="1"/>
  <c r="V200" i="420"/>
  <c r="R241" i="420"/>
  <c r="R242" i="420"/>
  <c r="R244" i="420"/>
  <c r="R245" i="420" s="1"/>
  <c r="P12" i="420"/>
  <c r="J44" i="420"/>
  <c r="J5" i="420"/>
  <c r="V236" i="419"/>
  <c r="V235" i="419" s="1"/>
  <c r="U263" i="419"/>
  <c r="U264" i="419" s="1"/>
  <c r="U258" i="419"/>
  <c r="U268" i="419"/>
  <c r="U247" i="419"/>
  <c r="U273" i="419"/>
  <c r="U253" i="419"/>
  <c r="P87" i="419"/>
  <c r="P88" i="419" s="1"/>
  <c r="Q86" i="419"/>
  <c r="T201" i="419"/>
  <c r="U198" i="419"/>
  <c r="U78" i="419"/>
  <c r="V78" i="419" s="1"/>
  <c r="K313" i="420"/>
  <c r="L303" i="420"/>
  <c r="S28" i="414"/>
  <c r="T148" i="414"/>
  <c r="I175" i="419"/>
  <c r="I173" i="419" s="1"/>
  <c r="I176" i="419" s="1"/>
  <c r="J180" i="419"/>
  <c r="J187" i="419" s="1"/>
  <c r="T150" i="414"/>
  <c r="U150" i="414" s="1"/>
  <c r="T116" i="419"/>
  <c r="U116" i="419" s="1"/>
  <c r="V116" i="419" s="1"/>
  <c r="W116" i="419" s="1"/>
  <c r="X116" i="419" s="1"/>
  <c r="S117" i="419"/>
  <c r="V235" i="420"/>
  <c r="W235" i="420" s="1"/>
  <c r="T212" i="420"/>
  <c r="T202" i="414"/>
  <c r="U202" i="414" s="1"/>
  <c r="U144" i="419"/>
  <c r="U151" i="419"/>
  <c r="V151" i="419" s="1"/>
  <c r="P29" i="414"/>
  <c r="Q227" i="414"/>
  <c r="U199" i="419"/>
  <c r="V199" i="419" s="1"/>
  <c r="G44" i="419"/>
  <c r="G5" i="419"/>
  <c r="P52" i="420"/>
  <c r="Q48" i="420"/>
  <c r="Q278" i="414"/>
  <c r="Q279" i="414"/>
  <c r="S264" i="420"/>
  <c r="T98" i="420"/>
  <c r="T99" i="420" s="1"/>
  <c r="S265" i="420"/>
  <c r="U186" i="419"/>
  <c r="V186" i="419" s="1"/>
  <c r="U184" i="420"/>
  <c r="T64" i="420"/>
  <c r="T66" i="420" s="1"/>
  <c r="U153" i="419"/>
  <c r="V153" i="419" s="1"/>
  <c r="W238" i="419"/>
  <c r="W239" i="419" s="1"/>
  <c r="W272" i="419" s="1"/>
  <c r="W238" i="420"/>
  <c r="W239" i="420" s="1"/>
  <c r="W272" i="420" s="1"/>
  <c r="X4" i="417"/>
  <c r="T67" i="414"/>
  <c r="T70" i="414" s="1"/>
  <c r="U165" i="414"/>
  <c r="R274" i="414"/>
  <c r="R273" i="414"/>
  <c r="U184" i="419"/>
  <c r="T64" i="419"/>
  <c r="T66" i="419" s="1"/>
  <c r="P67" i="420"/>
  <c r="O68" i="420"/>
  <c r="U65" i="420"/>
  <c r="O89" i="420"/>
  <c r="O71" i="420" s="1"/>
  <c r="O90" i="420"/>
  <c r="S261" i="414"/>
  <c r="S263" i="414" s="1"/>
  <c r="S76" i="414"/>
  <c r="V146" i="420"/>
  <c r="W146" i="420" s="1"/>
  <c r="T58" i="414"/>
  <c r="U58" i="414" s="1"/>
  <c r="T147" i="414"/>
  <c r="S33" i="414"/>
  <c r="S177" i="414"/>
  <c r="T177" i="414" s="1"/>
  <c r="V144" i="420"/>
  <c r="S157" i="414"/>
  <c r="S160" i="414" s="1"/>
  <c r="T153" i="414"/>
  <c r="T69" i="414" s="1"/>
  <c r="T152" i="420"/>
  <c r="S154" i="420"/>
  <c r="R270" i="420"/>
  <c r="R269" i="420"/>
  <c r="U160" i="420"/>
  <c r="U167" i="420" s="1"/>
  <c r="T170" i="420"/>
  <c r="U146" i="419"/>
  <c r="V146" i="419" s="1"/>
  <c r="R275" i="419"/>
  <c r="R274" i="419"/>
  <c r="S20" i="414"/>
  <c r="S19" i="414" s="1"/>
  <c r="S264" i="414"/>
  <c r="S88" i="414"/>
  <c r="S11" i="414" s="1"/>
  <c r="S10" i="414" s="1"/>
  <c r="S13" i="414" s="1"/>
  <c r="S15" i="414" s="1"/>
  <c r="T90" i="414"/>
  <c r="U90" i="414" s="1"/>
  <c r="T103" i="414"/>
  <c r="U200" i="419"/>
  <c r="V200" i="419" s="1"/>
  <c r="T84" i="414"/>
  <c r="U84" i="414" s="1"/>
  <c r="V199" i="420"/>
  <c r="V214" i="420"/>
  <c r="W214" i="420" s="1"/>
  <c r="T77" i="414"/>
  <c r="U77" i="414" s="1"/>
  <c r="U223" i="414"/>
  <c r="U30" i="414" s="1"/>
  <c r="U35" i="414"/>
  <c r="T83" i="414"/>
  <c r="U83" i="414" s="1"/>
  <c r="U83" i="419"/>
  <c r="V83" i="419" s="1"/>
  <c r="V83" i="420"/>
  <c r="P12" i="414"/>
  <c r="Q12" i="414" s="1"/>
  <c r="U150" i="419"/>
  <c r="U166" i="414"/>
  <c r="T23" i="414"/>
  <c r="T78" i="414"/>
  <c r="U78" i="414" s="1"/>
  <c r="U214" i="419"/>
  <c r="V214" i="419" s="1"/>
  <c r="T149" i="414"/>
  <c r="U149" i="414" s="1"/>
  <c r="T109" i="414"/>
  <c r="U185" i="414"/>
  <c r="U187" i="414"/>
  <c r="T68" i="414"/>
  <c r="V202" i="420"/>
  <c r="S212" i="414"/>
  <c r="S125" i="414" s="1"/>
  <c r="S127" i="414" s="1"/>
  <c r="T211" i="414"/>
  <c r="S57" i="414"/>
  <c r="S59" i="414" s="1"/>
  <c r="S64" i="414" s="1"/>
  <c r="S210" i="414"/>
  <c r="S155" i="414"/>
  <c r="T155" i="414" s="1"/>
  <c r="T108" i="414"/>
  <c r="S111" i="414"/>
  <c r="T112" i="414" s="1"/>
  <c r="S66" i="419"/>
  <c r="P190" i="420"/>
  <c r="P157" i="420"/>
  <c r="U185" i="420"/>
  <c r="T105" i="420"/>
  <c r="P87" i="420"/>
  <c r="P88" i="420" s="1"/>
  <c r="Q86" i="420"/>
  <c r="T189" i="414"/>
  <c r="U189" i="414" s="1"/>
  <c r="S237" i="414"/>
  <c r="R47" i="414"/>
  <c r="R46" i="414"/>
  <c r="R45" i="414"/>
  <c r="R238" i="414"/>
  <c r="R221" i="414" s="1"/>
  <c r="Q274" i="420"/>
  <c r="Q275" i="420"/>
  <c r="S117" i="420"/>
  <c r="T116" i="420"/>
  <c r="U116" i="420" s="1"/>
  <c r="V116" i="420" s="1"/>
  <c r="W116" i="420" s="1"/>
  <c r="X116" i="420" s="1"/>
  <c r="U79" i="419"/>
  <c r="V79" i="419" s="1"/>
  <c r="V218" i="420"/>
  <c r="T154" i="414"/>
  <c r="U154" i="414" s="1"/>
  <c r="T201" i="414"/>
  <c r="S204" i="414"/>
  <c r="S240" i="419"/>
  <c r="S6" i="417"/>
  <c r="T5" i="417"/>
  <c r="S240" i="420"/>
  <c r="V75" i="420"/>
  <c r="T104" i="419"/>
  <c r="S107" i="419"/>
  <c r="T145" i="419"/>
  <c r="T104" i="420"/>
  <c r="S107" i="420"/>
  <c r="S108" i="420" s="1"/>
  <c r="S170" i="419"/>
  <c r="T160" i="419"/>
  <c r="T167" i="419" s="1"/>
  <c r="T156" i="414"/>
  <c r="U156" i="414" s="1"/>
  <c r="T128" i="419"/>
  <c r="S133" i="419"/>
  <c r="J178" i="414"/>
  <c r="J176" i="414" s="1"/>
  <c r="J179" i="414" s="1"/>
  <c r="K183" i="414"/>
  <c r="K190" i="414" s="1"/>
  <c r="U73" i="419"/>
  <c r="V73" i="419" s="1"/>
  <c r="T259" i="414"/>
  <c r="T258" i="414"/>
  <c r="U75" i="414"/>
  <c r="T86" i="414"/>
  <c r="T105" i="419"/>
  <c r="U185" i="419"/>
  <c r="V186" i="420"/>
  <c r="W186" i="420" s="1"/>
  <c r="U74" i="419"/>
  <c r="V74" i="419" s="1"/>
  <c r="R231" i="420"/>
  <c r="Q232" i="420"/>
  <c r="Q233" i="420"/>
  <c r="P219" i="420"/>
  <c r="P30" i="420" s="1"/>
  <c r="T205" i="414"/>
  <c r="U205" i="414" s="1"/>
  <c r="K203" i="420"/>
  <c r="K38" i="420" s="1"/>
  <c r="K33" i="420"/>
  <c r="K36" i="420" s="1"/>
  <c r="K43" i="420" s="1"/>
  <c r="T217" i="414"/>
  <c r="U217" i="414" s="1"/>
  <c r="W218" i="414"/>
  <c r="V219" i="414"/>
  <c r="T79" i="414"/>
  <c r="U79" i="414" s="1"/>
  <c r="V77" i="420"/>
  <c r="U77" i="419"/>
  <c r="V77" i="419" s="1"/>
  <c r="R62" i="414"/>
  <c r="U58" i="419"/>
  <c r="V58" i="419" s="1"/>
  <c r="S81" i="414"/>
  <c r="S80" i="414"/>
  <c r="T80" i="414" s="1"/>
  <c r="U218" i="419"/>
  <c r="V218" i="419" s="1"/>
  <c r="V73" i="420"/>
  <c r="W73" i="420" s="1"/>
  <c r="R108" i="419"/>
  <c r="S108" i="419" s="1"/>
  <c r="U147" i="419"/>
  <c r="V147" i="419" s="1"/>
  <c r="R35" i="419"/>
  <c r="R21" i="414"/>
  <c r="R22" i="414"/>
  <c r="R24" i="414" s="1"/>
  <c r="R229" i="414" s="1"/>
  <c r="V209" i="414"/>
  <c r="U216" i="414"/>
  <c r="R231" i="419"/>
  <c r="Q232" i="419"/>
  <c r="Q233" i="419"/>
  <c r="V151" i="420"/>
  <c r="V147" i="420"/>
  <c r="W147" i="420" s="1"/>
  <c r="R53" i="414"/>
  <c r="V145" i="420"/>
  <c r="W127" i="420"/>
  <c r="S129" i="420"/>
  <c r="R133" i="420"/>
  <c r="T193" i="414"/>
  <c r="S195" i="414"/>
  <c r="S152" i="419"/>
  <c r="P228" i="414"/>
  <c r="U75" i="419"/>
  <c r="V75" i="419" s="1"/>
  <c r="W151" i="420" l="1"/>
  <c r="X151" i="420" s="1"/>
  <c r="T81" i="414"/>
  <c r="W77" i="420"/>
  <c r="W75" i="420"/>
  <c r="W199" i="420"/>
  <c r="W74" i="420"/>
  <c r="P9" i="419"/>
  <c r="L326" i="420"/>
  <c r="M321" i="420"/>
  <c r="K344" i="420"/>
  <c r="L335" i="420"/>
  <c r="W218" i="420"/>
  <c r="W202" i="420"/>
  <c r="W83" i="420"/>
  <c r="X83" i="420" s="1"/>
  <c r="W200" i="420"/>
  <c r="X200" i="420" s="1"/>
  <c r="W80" i="420"/>
  <c r="V99" i="419"/>
  <c r="U265" i="419"/>
  <c r="V98" i="419"/>
  <c r="T209" i="420"/>
  <c r="T57" i="420"/>
  <c r="T59" i="420" s="1"/>
  <c r="U208" i="420"/>
  <c r="U198" i="420"/>
  <c r="T201" i="420"/>
  <c r="S140" i="414"/>
  <c r="S25" i="414" s="1"/>
  <c r="R231" i="414"/>
  <c r="R34" i="414"/>
  <c r="R36" i="414" s="1"/>
  <c r="R43" i="414" s="1"/>
  <c r="P89" i="419"/>
  <c r="P71" i="419" s="1"/>
  <c r="P89" i="420"/>
  <c r="P71" i="420" s="1"/>
  <c r="W145" i="420"/>
  <c r="R233" i="419"/>
  <c r="Q234" i="419"/>
  <c r="Q49" i="419"/>
  <c r="Q51" i="419"/>
  <c r="Q50" i="419"/>
  <c r="S231" i="420"/>
  <c r="R232" i="420"/>
  <c r="L183" i="414"/>
  <c r="L190" i="414" s="1"/>
  <c r="K178" i="414"/>
  <c r="K176" i="414" s="1"/>
  <c r="K179" i="414" s="1"/>
  <c r="T107" i="420"/>
  <c r="U104" i="420"/>
  <c r="U104" i="419"/>
  <c r="T107" i="419"/>
  <c r="T6" i="417"/>
  <c r="T240" i="420"/>
  <c r="U5" i="417"/>
  <c r="T240" i="419"/>
  <c r="U201" i="414"/>
  <c r="T204" i="414"/>
  <c r="U105" i="420"/>
  <c r="V185" i="420"/>
  <c r="V185" i="414"/>
  <c r="U109" i="414"/>
  <c r="V150" i="419"/>
  <c r="S21" i="414"/>
  <c r="S22" i="414"/>
  <c r="S24" i="414" s="1"/>
  <c r="S229" i="414" s="1"/>
  <c r="P90" i="420"/>
  <c r="R128" i="414"/>
  <c r="R159" i="414"/>
  <c r="U212" i="420"/>
  <c r="K309" i="420"/>
  <c r="K349" i="420"/>
  <c r="K350" i="420" s="1"/>
  <c r="K314" i="420"/>
  <c r="U201" i="419"/>
  <c r="V198" i="419"/>
  <c r="S72" i="419"/>
  <c r="W150" i="420"/>
  <c r="U241" i="414"/>
  <c r="O9" i="420"/>
  <c r="V76" i="419"/>
  <c r="W247" i="420"/>
  <c r="X236" i="420"/>
  <c r="X73" i="420" s="1"/>
  <c r="W253" i="420"/>
  <c r="W258" i="420"/>
  <c r="W263" i="420"/>
  <c r="W268" i="420"/>
  <c r="W273" i="420"/>
  <c r="W58" i="420"/>
  <c r="U193" i="414"/>
  <c r="T195" i="414"/>
  <c r="X127" i="420"/>
  <c r="V216" i="414"/>
  <c r="W209" i="414"/>
  <c r="V35" i="414"/>
  <c r="V223" i="414"/>
  <c r="V30" i="414" s="1"/>
  <c r="K5" i="420"/>
  <c r="K44" i="420"/>
  <c r="T264" i="414"/>
  <c r="T88" i="414"/>
  <c r="T11" i="414" s="1"/>
  <c r="T10" i="414" s="1"/>
  <c r="T13" i="414" s="1"/>
  <c r="T15" i="414" s="1"/>
  <c r="T20" i="414"/>
  <c r="T19" i="414" s="1"/>
  <c r="U160" i="419"/>
  <c r="U167" i="419" s="1"/>
  <c r="T170" i="419"/>
  <c r="Q87" i="420"/>
  <c r="Q88" i="420" s="1"/>
  <c r="R86" i="420"/>
  <c r="S273" i="414"/>
  <c r="S274" i="414"/>
  <c r="T157" i="414"/>
  <c r="T160" i="414" s="1"/>
  <c r="U153" i="414"/>
  <c r="U69" i="414" s="1"/>
  <c r="W144" i="420"/>
  <c r="P68" i="420"/>
  <c r="Q29" i="414"/>
  <c r="R227" i="414"/>
  <c r="R228" i="414" s="1"/>
  <c r="V144" i="419"/>
  <c r="K180" i="419"/>
  <c r="K187" i="419" s="1"/>
  <c r="J175" i="419"/>
  <c r="J173" i="419" s="1"/>
  <c r="J176" i="419" s="1"/>
  <c r="L304" i="420"/>
  <c r="L312" i="420"/>
  <c r="R116" i="414"/>
  <c r="X80" i="420"/>
  <c r="U247" i="414"/>
  <c r="T248" i="414"/>
  <c r="T249" i="414" s="1"/>
  <c r="R226" i="414"/>
  <c r="R141" i="414"/>
  <c r="S35" i="419"/>
  <c r="T131" i="414"/>
  <c r="S136" i="414"/>
  <c r="R14" i="414"/>
  <c r="W79" i="420"/>
  <c r="N180" i="420"/>
  <c r="N187" i="420" s="1"/>
  <c r="M175" i="420"/>
  <c r="M173" i="420" s="1"/>
  <c r="M176" i="420" s="1"/>
  <c r="W78" i="420"/>
  <c r="U203" i="414"/>
  <c r="T207" i="419"/>
  <c r="T213" i="419" s="1"/>
  <c r="R61" i="414"/>
  <c r="Q37" i="414"/>
  <c r="Q38" i="414"/>
  <c r="Q5" i="414" s="1"/>
  <c r="R275" i="420"/>
  <c r="R274" i="420"/>
  <c r="S231" i="419"/>
  <c r="R232" i="419"/>
  <c r="X218" i="414"/>
  <c r="X219" i="414" s="1"/>
  <c r="W219" i="414"/>
  <c r="R233" i="420"/>
  <c r="Q234" i="420"/>
  <c r="Q51" i="420"/>
  <c r="Q50" i="420"/>
  <c r="Q49" i="420"/>
  <c r="R49" i="420" s="1"/>
  <c r="V75" i="414"/>
  <c r="U86" i="414"/>
  <c r="U258" i="414"/>
  <c r="U259" i="414"/>
  <c r="S275" i="419"/>
  <c r="S274" i="419"/>
  <c r="U145" i="419"/>
  <c r="S244" i="419"/>
  <c r="S245" i="419" s="1"/>
  <c r="S48" i="419" s="1"/>
  <c r="S241" i="419"/>
  <c r="S242" i="419"/>
  <c r="X218" i="420"/>
  <c r="T111" i="414"/>
  <c r="U112" i="414" s="1"/>
  <c r="U108" i="414"/>
  <c r="R12" i="414"/>
  <c r="X199" i="420"/>
  <c r="R158" i="414"/>
  <c r="R122" i="414"/>
  <c r="T261" i="414"/>
  <c r="T263" i="414" s="1"/>
  <c r="T76" i="414"/>
  <c r="O255" i="420"/>
  <c r="O82" i="420"/>
  <c r="O254" i="420"/>
  <c r="V165" i="414"/>
  <c r="U67" i="414"/>
  <c r="U70" i="414" s="1"/>
  <c r="Y4" i="417"/>
  <c r="Z4" i="417" s="1"/>
  <c r="AA4" i="417" s="1"/>
  <c r="AB4" i="417" s="1"/>
  <c r="AC4" i="417" s="1"/>
  <c r="AD4" i="417" s="1"/>
  <c r="AE4" i="417" s="1"/>
  <c r="AF4" i="417" s="1"/>
  <c r="AG4" i="417" s="1"/>
  <c r="AH4" i="417" s="1"/>
  <c r="AI4" i="417" s="1"/>
  <c r="AJ4" i="417" s="1"/>
  <c r="AK4" i="417" s="1"/>
  <c r="AL4" i="417" s="1"/>
  <c r="AM4" i="417" s="1"/>
  <c r="AN4" i="417" s="1"/>
  <c r="AO4" i="417" s="1"/>
  <c r="AP4" i="417" s="1"/>
  <c r="AQ4" i="417" s="1"/>
  <c r="AR4" i="417" s="1"/>
  <c r="AS4" i="417" s="1"/>
  <c r="AT4" i="417" s="1"/>
  <c r="AU4" i="417" s="1"/>
  <c r="AV4" i="417" s="1"/>
  <c r="AW4" i="417" s="1"/>
  <c r="AX4" i="417" s="1"/>
  <c r="AY4" i="417" s="1"/>
  <c r="AZ4" i="417" s="1"/>
  <c r="BA4" i="417" s="1"/>
  <c r="BB4" i="417" s="1"/>
  <c r="BC4" i="417" s="1"/>
  <c r="BD4" i="417" s="1"/>
  <c r="BE4" i="417" s="1"/>
  <c r="BF4" i="417" s="1"/>
  <c r="X238" i="419"/>
  <c r="X239" i="419" s="1"/>
  <c r="X272" i="419" s="1"/>
  <c r="X238" i="420"/>
  <c r="X239" i="420" s="1"/>
  <c r="X272" i="420" s="1"/>
  <c r="U98" i="420"/>
  <c r="T265" i="420"/>
  <c r="T264" i="420"/>
  <c r="R48" i="420"/>
  <c r="P31" i="414"/>
  <c r="P42" i="414" s="1"/>
  <c r="I33" i="419"/>
  <c r="I36" i="419" s="1"/>
  <c r="I43" i="419" s="1"/>
  <c r="I203" i="419"/>
  <c r="I38" i="419" s="1"/>
  <c r="R86" i="419"/>
  <c r="Q87" i="419"/>
  <c r="Q88" i="419" s="1"/>
  <c r="V247" i="419"/>
  <c r="V258" i="419"/>
  <c r="V263" i="419"/>
  <c r="V264" i="419" s="1"/>
  <c r="V268" i="419"/>
  <c r="V253" i="419"/>
  <c r="W236" i="419"/>
  <c r="W151" i="419" s="1"/>
  <c r="V273" i="419"/>
  <c r="T174" i="419"/>
  <c r="U174" i="419" s="1"/>
  <c r="R137" i="414"/>
  <c r="S268" i="414"/>
  <c r="S269" i="414"/>
  <c r="T102" i="414"/>
  <c r="U212" i="419"/>
  <c r="T216" i="419"/>
  <c r="R279" i="414"/>
  <c r="R278" i="414"/>
  <c r="V240" i="414"/>
  <c r="V156" i="414" s="1"/>
  <c r="U272" i="414"/>
  <c r="U251" i="414"/>
  <c r="U82" i="414" s="1"/>
  <c r="U277" i="414"/>
  <c r="U262" i="414"/>
  <c r="U267" i="414"/>
  <c r="U257" i="414"/>
  <c r="L33" i="420"/>
  <c r="L36" i="420" s="1"/>
  <c r="L43" i="420" s="1"/>
  <c r="L203" i="420"/>
  <c r="L38" i="420" s="1"/>
  <c r="P90" i="419"/>
  <c r="U209" i="419"/>
  <c r="U121" i="419" s="1"/>
  <c r="U123" i="419" s="1"/>
  <c r="V208" i="419"/>
  <c r="U207" i="419"/>
  <c r="U213" i="419" s="1"/>
  <c r="U57" i="419"/>
  <c r="U59" i="419" s="1"/>
  <c r="Q228" i="414"/>
  <c r="V202" i="419"/>
  <c r="W202" i="419" s="1"/>
  <c r="T152" i="419"/>
  <c r="S154" i="419"/>
  <c r="T129" i="420"/>
  <c r="S133" i="420"/>
  <c r="T108" i="419"/>
  <c r="U105" i="419"/>
  <c r="V185" i="419"/>
  <c r="U128" i="419"/>
  <c r="T133" i="419"/>
  <c r="S269" i="420"/>
  <c r="S270" i="420"/>
  <c r="S269" i="419"/>
  <c r="S270" i="419"/>
  <c r="S242" i="420"/>
  <c r="S241" i="420"/>
  <c r="S244" i="420"/>
  <c r="S245" i="420" s="1"/>
  <c r="W79" i="419"/>
  <c r="T237" i="414"/>
  <c r="S47" i="414"/>
  <c r="S238" i="414"/>
  <c r="S221" i="414" s="1"/>
  <c r="S45" i="414"/>
  <c r="S46" i="414"/>
  <c r="R63" i="414"/>
  <c r="S63" i="414" s="1"/>
  <c r="T212" i="414"/>
  <c r="T125" i="414" s="1"/>
  <c r="T127" i="414" s="1"/>
  <c r="U211" i="414"/>
  <c r="T57" i="414"/>
  <c r="T59" i="414" s="1"/>
  <c r="T64" i="414" s="1"/>
  <c r="T210" i="414"/>
  <c r="V187" i="414"/>
  <c r="U68" i="414"/>
  <c r="W214" i="419"/>
  <c r="U23" i="414"/>
  <c r="V166" i="414"/>
  <c r="V90" i="414"/>
  <c r="V160" i="420"/>
  <c r="V167" i="420" s="1"/>
  <c r="U170" i="420"/>
  <c r="U152" i="420"/>
  <c r="T154" i="420"/>
  <c r="U147" i="414"/>
  <c r="T33" i="414"/>
  <c r="V65" i="420"/>
  <c r="W65" i="420" s="1"/>
  <c r="V184" i="419"/>
  <c r="U64" i="419"/>
  <c r="T72" i="414"/>
  <c r="U64" i="420"/>
  <c r="U66" i="420" s="1"/>
  <c r="V184" i="420"/>
  <c r="P54" i="420"/>
  <c r="P17" i="420" s="1"/>
  <c r="P18" i="420" s="1"/>
  <c r="P8" i="420"/>
  <c r="P9" i="420" s="1"/>
  <c r="W199" i="419"/>
  <c r="S35" i="420"/>
  <c r="U148" i="414"/>
  <c r="T28" i="414"/>
  <c r="U65" i="419"/>
  <c r="U163" i="414"/>
  <c r="U170" i="414" s="1"/>
  <c r="U155" i="414" s="1"/>
  <c r="T173" i="414"/>
  <c r="H44" i="419"/>
  <c r="H5" i="419"/>
  <c r="O255" i="419"/>
  <c r="O254" i="419"/>
  <c r="O82" i="419"/>
  <c r="S72" i="420"/>
  <c r="U239" i="414"/>
  <c r="U174" i="420"/>
  <c r="V174" i="420" s="1"/>
  <c r="V84" i="414" l="1"/>
  <c r="Q52" i="420"/>
  <c r="X147" i="420"/>
  <c r="X214" i="420"/>
  <c r="M325" i="420"/>
  <c r="M322" i="420"/>
  <c r="X77" i="420"/>
  <c r="X79" i="420"/>
  <c r="X202" i="420"/>
  <c r="U201" i="420"/>
  <c r="V198" i="420"/>
  <c r="W98" i="419"/>
  <c r="V265" i="419"/>
  <c r="K345" i="420"/>
  <c r="K353" i="420" s="1"/>
  <c r="K354" i="420" s="1"/>
  <c r="K341" i="420"/>
  <c r="K351" i="420" s="1"/>
  <c r="K352" i="420" s="1"/>
  <c r="L323" i="420"/>
  <c r="L327" i="420"/>
  <c r="W99" i="419"/>
  <c r="L336" i="420"/>
  <c r="L347" i="420" s="1"/>
  <c r="L348" i="420" s="1"/>
  <c r="L343" i="420"/>
  <c r="T121" i="420"/>
  <c r="T123" i="420" s="1"/>
  <c r="T207" i="420"/>
  <c r="X76" i="420"/>
  <c r="V65" i="419"/>
  <c r="U81" i="414"/>
  <c r="X153" i="420"/>
  <c r="X186" i="420"/>
  <c r="X78" i="420"/>
  <c r="X74" i="420"/>
  <c r="V208" i="420"/>
  <c r="U209" i="420"/>
  <c r="U121" i="420" s="1"/>
  <c r="U123" i="420" s="1"/>
  <c r="U57" i="420"/>
  <c r="U59" i="420" s="1"/>
  <c r="Q89" i="420"/>
  <c r="S34" i="414"/>
  <c r="S36" i="414" s="1"/>
  <c r="S43" i="414" s="1"/>
  <c r="S231" i="414"/>
  <c r="T140" i="414"/>
  <c r="T25" i="414" s="1"/>
  <c r="Q89" i="419"/>
  <c r="V239" i="414"/>
  <c r="O84" i="419"/>
  <c r="O11" i="419" s="1"/>
  <c r="O10" i="419" s="1"/>
  <c r="O13" i="419" s="1"/>
  <c r="O15" i="419" s="1"/>
  <c r="O259" i="419"/>
  <c r="O20" i="419"/>
  <c r="O19" i="419" s="1"/>
  <c r="O260" i="419"/>
  <c r="P257" i="419"/>
  <c r="V188" i="414"/>
  <c r="U177" i="414"/>
  <c r="W160" i="420"/>
  <c r="W167" i="420" s="1"/>
  <c r="V170" i="420"/>
  <c r="V211" i="414"/>
  <c r="U212" i="414"/>
  <c r="U125" i="414" s="1"/>
  <c r="U127" i="414" s="1"/>
  <c r="U57" i="414"/>
  <c r="U59" i="414" s="1"/>
  <c r="U64" i="414" s="1"/>
  <c r="U210" i="414"/>
  <c r="V128" i="419"/>
  <c r="U133" i="419"/>
  <c r="S275" i="420"/>
  <c r="S274" i="420"/>
  <c r="S137" i="414"/>
  <c r="W268" i="419"/>
  <c r="W253" i="419"/>
  <c r="X236" i="419"/>
  <c r="W263" i="419"/>
  <c r="W264" i="419" s="1"/>
  <c r="W258" i="419"/>
  <c r="W247" i="419"/>
  <c r="W273" i="419"/>
  <c r="I44" i="419"/>
  <c r="I5" i="419"/>
  <c r="S122" i="414"/>
  <c r="W80" i="419"/>
  <c r="W75" i="414"/>
  <c r="V259" i="414"/>
  <c r="V86" i="414"/>
  <c r="R51" i="420"/>
  <c r="V205" i="414"/>
  <c r="U80" i="414"/>
  <c r="O180" i="420"/>
  <c r="O187" i="420" s="1"/>
  <c r="N175" i="420"/>
  <c r="N173" i="420" s="1"/>
  <c r="L313" i="420"/>
  <c r="M303" i="420"/>
  <c r="X235" i="420"/>
  <c r="Q31" i="414"/>
  <c r="Q42" i="414" s="1"/>
  <c r="X146" i="420"/>
  <c r="V83" i="414"/>
  <c r="X75" i="420"/>
  <c r="T21" i="414"/>
  <c r="T22" i="414"/>
  <c r="T24" i="414" s="1"/>
  <c r="T229" i="414" s="1"/>
  <c r="W74" i="419"/>
  <c r="X74" i="419" s="1"/>
  <c r="W218" i="419"/>
  <c r="W75" i="419"/>
  <c r="X75" i="419" s="1"/>
  <c r="V241" i="414"/>
  <c r="T72" i="419"/>
  <c r="V150" i="414"/>
  <c r="Q90" i="420"/>
  <c r="W200" i="419"/>
  <c r="W150" i="419"/>
  <c r="V189" i="414"/>
  <c r="U204" i="414"/>
  <c r="V201" i="414"/>
  <c r="T270" i="420"/>
  <c r="T269" i="420"/>
  <c r="Q134" i="419"/>
  <c r="Q118" i="419"/>
  <c r="Q14" i="419"/>
  <c r="Q53" i="419"/>
  <c r="Q60" i="419"/>
  <c r="Q222" i="419"/>
  <c r="Q124" i="419"/>
  <c r="Q155" i="419"/>
  <c r="Q156" i="419"/>
  <c r="Q217" i="419"/>
  <c r="X145" i="420"/>
  <c r="T72" i="420"/>
  <c r="W65" i="419"/>
  <c r="W166" i="414"/>
  <c r="V23" i="414"/>
  <c r="W187" i="414"/>
  <c r="V68" i="414"/>
  <c r="U237" i="414"/>
  <c r="T45" i="414"/>
  <c r="T238" i="414"/>
  <c r="T119" i="414" s="1"/>
  <c r="T46" i="414"/>
  <c r="T47" i="414"/>
  <c r="V105" i="419"/>
  <c r="W185" i="419"/>
  <c r="U129" i="420"/>
  <c r="T133" i="420"/>
  <c r="Q90" i="419"/>
  <c r="T269" i="414"/>
  <c r="T268" i="414"/>
  <c r="U102" i="414"/>
  <c r="Q8" i="420"/>
  <c r="U265" i="420"/>
  <c r="V98" i="420"/>
  <c r="U264" i="420"/>
  <c r="U76" i="414"/>
  <c r="U261" i="414"/>
  <c r="V149" i="414"/>
  <c r="W35" i="414"/>
  <c r="W223" i="414"/>
  <c r="W30" i="414" s="1"/>
  <c r="W147" i="419"/>
  <c r="X147" i="419" s="1"/>
  <c r="V203" i="414"/>
  <c r="V247" i="414"/>
  <c r="U248" i="414"/>
  <c r="U249" i="414" s="1"/>
  <c r="S116" i="414"/>
  <c r="T116" i="414" s="1"/>
  <c r="W153" i="419"/>
  <c r="X144" i="420"/>
  <c r="W146" i="419"/>
  <c r="S86" i="420"/>
  <c r="R87" i="420"/>
  <c r="R88" i="420" s="1"/>
  <c r="X209" i="414"/>
  <c r="X216" i="414" s="1"/>
  <c r="W216" i="414"/>
  <c r="X58" i="420"/>
  <c r="W76" i="419"/>
  <c r="X150" i="420"/>
  <c r="X65" i="420" s="1"/>
  <c r="V58" i="414"/>
  <c r="V77" i="414"/>
  <c r="V78" i="414"/>
  <c r="T241" i="419"/>
  <c r="T242" i="419"/>
  <c r="T244" i="419"/>
  <c r="T245" i="419" s="1"/>
  <c r="T269" i="419"/>
  <c r="T270" i="419"/>
  <c r="S232" i="420"/>
  <c r="T231" i="420"/>
  <c r="R50" i="419"/>
  <c r="Q111" i="419"/>
  <c r="T108" i="420"/>
  <c r="W235" i="419"/>
  <c r="V163" i="414"/>
  <c r="V170" i="414" s="1"/>
  <c r="U173" i="414"/>
  <c r="X151" i="419"/>
  <c r="W184" i="420"/>
  <c r="V64" i="420"/>
  <c r="V66" i="420" s="1"/>
  <c r="U66" i="419"/>
  <c r="V152" i="420"/>
  <c r="U154" i="420"/>
  <c r="T63" i="414"/>
  <c r="L44" i="420"/>
  <c r="L5" i="420"/>
  <c r="V272" i="414"/>
  <c r="V251" i="414"/>
  <c r="V82" i="414" s="1"/>
  <c r="V277" i="414"/>
  <c r="W240" i="414"/>
  <c r="W84" i="414" s="1"/>
  <c r="V262" i="414"/>
  <c r="V257" i="414"/>
  <c r="V258" i="414" s="1"/>
  <c r="V267" i="414"/>
  <c r="T35" i="419"/>
  <c r="V202" i="414"/>
  <c r="S48" i="420"/>
  <c r="U72" i="414"/>
  <c r="O259" i="420"/>
  <c r="O20" i="420"/>
  <c r="O19" i="420" s="1"/>
  <c r="O84" i="420"/>
  <c r="O11" i="420" s="1"/>
  <c r="O10" i="420" s="1"/>
  <c r="O13" i="420" s="1"/>
  <c r="O15" i="420" s="1"/>
  <c r="O260" i="420"/>
  <c r="P257" i="420"/>
  <c r="S158" i="414"/>
  <c r="T158" i="414" s="1"/>
  <c r="R71" i="414"/>
  <c r="U111" i="414"/>
  <c r="V108" i="414"/>
  <c r="V145" i="419"/>
  <c r="Q53" i="420"/>
  <c r="Q134" i="420"/>
  <c r="Q118" i="420"/>
  <c r="Q124" i="420"/>
  <c r="Q222" i="420"/>
  <c r="Q14" i="420"/>
  <c r="Q155" i="420"/>
  <c r="Q60" i="420"/>
  <c r="Q156" i="420"/>
  <c r="Q217" i="420"/>
  <c r="X35" i="414"/>
  <c r="X223" i="414"/>
  <c r="X30" i="414" s="1"/>
  <c r="S279" i="414"/>
  <c r="S278" i="414"/>
  <c r="J203" i="419"/>
  <c r="J38" i="419" s="1"/>
  <c r="J33" i="419"/>
  <c r="J36" i="419" s="1"/>
  <c r="J43" i="419" s="1"/>
  <c r="W144" i="419"/>
  <c r="U103" i="414"/>
  <c r="V103" i="414" s="1"/>
  <c r="U170" i="419"/>
  <c r="V160" i="419"/>
  <c r="V167" i="419" s="1"/>
  <c r="W198" i="419"/>
  <c r="V201" i="419"/>
  <c r="V212" i="420"/>
  <c r="W186" i="419"/>
  <c r="X186" i="419" s="1"/>
  <c r="W83" i="419"/>
  <c r="W185" i="420"/>
  <c r="V105" i="420"/>
  <c r="U240" i="419"/>
  <c r="U240" i="420"/>
  <c r="V5" i="417"/>
  <c r="U6" i="417"/>
  <c r="V104" i="419"/>
  <c r="U107" i="419"/>
  <c r="V79" i="414"/>
  <c r="W79" i="414" s="1"/>
  <c r="R51" i="419"/>
  <c r="S233" i="419"/>
  <c r="R234" i="419"/>
  <c r="V222" i="414"/>
  <c r="W222" i="414" s="1"/>
  <c r="R38" i="414"/>
  <c r="R5" i="414" s="1"/>
  <c r="R37" i="414"/>
  <c r="U99" i="420"/>
  <c r="W174" i="420"/>
  <c r="P82" i="419"/>
  <c r="P254" i="419"/>
  <c r="P255" i="419"/>
  <c r="Q71" i="419"/>
  <c r="V148" i="414"/>
  <c r="U28" i="414"/>
  <c r="X199" i="419"/>
  <c r="W184" i="419"/>
  <c r="V64" i="419"/>
  <c r="V66" i="419" s="1"/>
  <c r="U33" i="414"/>
  <c r="V147" i="414"/>
  <c r="X214" i="419"/>
  <c r="X79" i="419"/>
  <c r="T275" i="419"/>
  <c r="T274" i="419"/>
  <c r="V217" i="414"/>
  <c r="U152" i="419"/>
  <c r="T154" i="419"/>
  <c r="X202" i="419"/>
  <c r="V207" i="419"/>
  <c r="V213" i="419" s="1"/>
  <c r="W208" i="419"/>
  <c r="V209" i="419"/>
  <c r="V121" i="419" s="1"/>
  <c r="V123" i="419" s="1"/>
  <c r="V57" i="419"/>
  <c r="V59" i="419" s="1"/>
  <c r="V212" i="419"/>
  <c r="U216" i="419"/>
  <c r="S86" i="419"/>
  <c r="R87" i="419"/>
  <c r="R88" i="419" s="1"/>
  <c r="V67" i="414"/>
  <c r="V70" i="414" s="1"/>
  <c r="W165" i="414"/>
  <c r="P255" i="420"/>
  <c r="P82" i="420"/>
  <c r="P254" i="420"/>
  <c r="Q71" i="420"/>
  <c r="T274" i="414"/>
  <c r="T273" i="414"/>
  <c r="U264" i="414"/>
  <c r="U20" i="414"/>
  <c r="U19" i="414" s="1"/>
  <c r="U88" i="414"/>
  <c r="U11" i="414" s="1"/>
  <c r="U10" i="414" s="1"/>
  <c r="U13" i="414" s="1"/>
  <c r="U15" i="414" s="1"/>
  <c r="U263" i="414"/>
  <c r="R50" i="420"/>
  <c r="Q111" i="420"/>
  <c r="R234" i="420"/>
  <c r="S233" i="420"/>
  <c r="S49" i="420" s="1"/>
  <c r="W77" i="419"/>
  <c r="X77" i="419" s="1"/>
  <c r="T231" i="419"/>
  <c r="S232" i="419"/>
  <c r="S61" i="414"/>
  <c r="T61" i="414" s="1"/>
  <c r="M33" i="420"/>
  <c r="M36" i="420" s="1"/>
  <c r="M43" i="420" s="1"/>
  <c r="M203" i="420"/>
  <c r="M38" i="420" s="1"/>
  <c r="S14" i="414"/>
  <c r="T14" i="414" s="1"/>
  <c r="T136" i="414"/>
  <c r="U131" i="414"/>
  <c r="S226" i="414"/>
  <c r="S141" i="414"/>
  <c r="W78" i="419"/>
  <c r="X78" i="419" s="1"/>
  <c r="K175" i="419"/>
  <c r="K173" i="419" s="1"/>
  <c r="K176" i="419" s="1"/>
  <c r="L180" i="419"/>
  <c r="L187" i="419" s="1"/>
  <c r="S227" i="414"/>
  <c r="S228" i="414" s="1"/>
  <c r="R29" i="414"/>
  <c r="V153" i="414"/>
  <c r="U157" i="414"/>
  <c r="U160" i="414" s="1"/>
  <c r="V154" i="414"/>
  <c r="W73" i="419"/>
  <c r="X73" i="419" s="1"/>
  <c r="S62" i="414"/>
  <c r="T62" i="414" s="1"/>
  <c r="S53" i="414"/>
  <c r="T53" i="414" s="1"/>
  <c r="V193" i="414"/>
  <c r="U195" i="414"/>
  <c r="X263" i="420"/>
  <c r="X247" i="420"/>
  <c r="X273" i="420"/>
  <c r="X258" i="420"/>
  <c r="X268" i="420"/>
  <c r="X253" i="420"/>
  <c r="S159" i="414"/>
  <c r="T159" i="414" s="1"/>
  <c r="S128" i="414"/>
  <c r="T128" i="414" s="1"/>
  <c r="W185" i="414"/>
  <c r="V109" i="414"/>
  <c r="T244" i="420"/>
  <c r="T245" i="420" s="1"/>
  <c r="T241" i="420"/>
  <c r="T242" i="420"/>
  <c r="U107" i="420"/>
  <c r="V104" i="420"/>
  <c r="L178" i="414"/>
  <c r="L176" i="414" s="1"/>
  <c r="L179" i="414" s="1"/>
  <c r="M183" i="414"/>
  <c r="M190" i="414" s="1"/>
  <c r="W58" i="419"/>
  <c r="X58" i="419" s="1"/>
  <c r="R49" i="419"/>
  <c r="Q52" i="419"/>
  <c r="T213" i="420" l="1"/>
  <c r="T216" i="420" s="1"/>
  <c r="T35" i="420" s="1"/>
  <c r="U207" i="420"/>
  <c r="W198" i="420"/>
  <c r="V201" i="420"/>
  <c r="W154" i="414"/>
  <c r="W217" i="414"/>
  <c r="V99" i="420"/>
  <c r="X235" i="419"/>
  <c r="X76" i="419"/>
  <c r="X153" i="419"/>
  <c r="X218" i="419"/>
  <c r="W208" i="420"/>
  <c r="V209" i="420"/>
  <c r="V121" i="420" s="1"/>
  <c r="V123" i="420" s="1"/>
  <c r="V57" i="420"/>
  <c r="V59" i="420" s="1"/>
  <c r="X99" i="419"/>
  <c r="M326" i="420"/>
  <c r="N321" i="420"/>
  <c r="R52" i="420"/>
  <c r="X83" i="419"/>
  <c r="R111" i="419"/>
  <c r="X146" i="419"/>
  <c r="X200" i="419"/>
  <c r="M335" i="420"/>
  <c r="L344" i="420"/>
  <c r="W265" i="419"/>
  <c r="X98" i="419"/>
  <c r="X265" i="419" s="1"/>
  <c r="R8" i="420"/>
  <c r="T34" i="414"/>
  <c r="T36" i="414" s="1"/>
  <c r="T43" i="414" s="1"/>
  <c r="U140" i="414"/>
  <c r="U25" i="414" s="1"/>
  <c r="T231" i="414"/>
  <c r="R89" i="420"/>
  <c r="R89" i="419"/>
  <c r="U270" i="420"/>
  <c r="U269" i="420"/>
  <c r="L175" i="419"/>
  <c r="L173" i="419" s="1"/>
  <c r="L176" i="419" s="1"/>
  <c r="M180" i="419"/>
  <c r="M187" i="419" s="1"/>
  <c r="T226" i="414"/>
  <c r="T141" i="414"/>
  <c r="M5" i="420"/>
  <c r="M44" i="420"/>
  <c r="U231" i="419"/>
  <c r="T232" i="419"/>
  <c r="V72" i="414"/>
  <c r="W212" i="419"/>
  <c r="V216" i="419"/>
  <c r="W64" i="419"/>
  <c r="W66" i="419" s="1"/>
  <c r="X184" i="419"/>
  <c r="X64" i="419" s="1"/>
  <c r="V28" i="414"/>
  <c r="W148" i="414"/>
  <c r="P20" i="419"/>
  <c r="P259" i="419"/>
  <c r="P84" i="419"/>
  <c r="P11" i="419" s="1"/>
  <c r="P260" i="419"/>
  <c r="Q257" i="419"/>
  <c r="S51" i="419"/>
  <c r="R156" i="420"/>
  <c r="Q12" i="420"/>
  <c r="R12" i="420" s="1"/>
  <c r="R222" i="420"/>
  <c r="R53" i="420"/>
  <c r="V111" i="414"/>
  <c r="W108" i="414"/>
  <c r="O21" i="420"/>
  <c r="O22" i="420"/>
  <c r="O24" i="420" s="1"/>
  <c r="O25" i="420"/>
  <c r="Q190" i="419"/>
  <c r="V261" i="414"/>
  <c r="V76" i="414"/>
  <c r="V81" i="414"/>
  <c r="U47" i="414"/>
  <c r="V237" i="414"/>
  <c r="U46" i="414"/>
  <c r="U45" i="414"/>
  <c r="U238" i="414"/>
  <c r="U53" i="414" s="1"/>
  <c r="R217" i="419"/>
  <c r="Q219" i="419"/>
  <c r="Q30" i="419" s="1"/>
  <c r="R222" i="419"/>
  <c r="R14" i="419"/>
  <c r="W150" i="414"/>
  <c r="W241" i="414"/>
  <c r="L349" i="420"/>
  <c r="L350" i="420" s="1"/>
  <c r="L309" i="420"/>
  <c r="L314" i="420"/>
  <c r="W205" i="414"/>
  <c r="X75" i="414"/>
  <c r="W259" i="414"/>
  <c r="W86" i="414"/>
  <c r="T137" i="414"/>
  <c r="W128" i="419"/>
  <c r="V133" i="419"/>
  <c r="V212" i="414"/>
  <c r="V125" i="414" s="1"/>
  <c r="V127" i="414" s="1"/>
  <c r="V57" i="414"/>
  <c r="V59" i="414" s="1"/>
  <c r="V64" i="414" s="1"/>
  <c r="V210" i="414"/>
  <c r="W211" i="414"/>
  <c r="W239" i="414"/>
  <c r="M178" i="414"/>
  <c r="M176" i="414" s="1"/>
  <c r="M179" i="414" s="1"/>
  <c r="N183" i="414"/>
  <c r="N190" i="414" s="1"/>
  <c r="X185" i="414"/>
  <c r="X109" i="414" s="1"/>
  <c r="W109" i="414"/>
  <c r="W153" i="414"/>
  <c r="V157" i="414"/>
  <c r="V160" i="414" s="1"/>
  <c r="K203" i="419"/>
  <c r="K38" i="419" s="1"/>
  <c r="K33" i="419"/>
  <c r="K36" i="419" s="1"/>
  <c r="K43" i="419" s="1"/>
  <c r="U136" i="414"/>
  <c r="V131" i="414"/>
  <c r="R111" i="420"/>
  <c r="Q190" i="420"/>
  <c r="U21" i="414"/>
  <c r="U22" i="414"/>
  <c r="U24" i="414" s="1"/>
  <c r="U229" i="414" s="1"/>
  <c r="P259" i="420"/>
  <c r="P20" i="420"/>
  <c r="P260" i="420"/>
  <c r="P84" i="420"/>
  <c r="P11" i="420" s="1"/>
  <c r="Q257" i="420"/>
  <c r="W147" i="414"/>
  <c r="V33" i="414"/>
  <c r="Q82" i="419"/>
  <c r="Q254" i="419"/>
  <c r="R71" i="419"/>
  <c r="Q255" i="419"/>
  <c r="V6" i="417"/>
  <c r="V240" i="420"/>
  <c r="V240" i="419"/>
  <c r="W5" i="417"/>
  <c r="X198" i="419"/>
  <c r="X201" i="419" s="1"/>
  <c r="W201" i="419"/>
  <c r="J5" i="419"/>
  <c r="J44" i="419"/>
  <c r="R60" i="420"/>
  <c r="R124" i="420"/>
  <c r="U273" i="414"/>
  <c r="U274" i="414"/>
  <c r="W277" i="414"/>
  <c r="W251" i="414"/>
  <c r="W82" i="414" s="1"/>
  <c r="W272" i="414"/>
  <c r="W257" i="414"/>
  <c r="W258" i="414" s="1"/>
  <c r="W267" i="414"/>
  <c r="X240" i="414"/>
  <c r="X84" i="414" s="1"/>
  <c r="W262" i="414"/>
  <c r="S50" i="419"/>
  <c r="W78" i="414"/>
  <c r="X78" i="414" s="1"/>
  <c r="W247" i="414"/>
  <c r="V248" i="414"/>
  <c r="V249" i="414" s="1"/>
  <c r="Q54" i="420"/>
  <c r="Q17" i="420" s="1"/>
  <c r="Q18" i="420" s="1"/>
  <c r="R90" i="419"/>
  <c r="W105" i="419"/>
  <c r="X185" i="419"/>
  <c r="X105" i="419" s="1"/>
  <c r="X166" i="414"/>
  <c r="W23" i="414"/>
  <c r="U72" i="420"/>
  <c r="R156" i="419"/>
  <c r="Q12" i="419"/>
  <c r="R60" i="419"/>
  <c r="R118" i="419"/>
  <c r="V204" i="414"/>
  <c r="W201" i="414"/>
  <c r="X150" i="419"/>
  <c r="U72" i="419"/>
  <c r="N176" i="420"/>
  <c r="O173" i="420"/>
  <c r="S51" i="420"/>
  <c r="X268" i="419"/>
  <c r="X273" i="419"/>
  <c r="X263" i="419"/>
  <c r="X264" i="419" s="1"/>
  <c r="X247" i="419"/>
  <c r="X253" i="419"/>
  <c r="X258" i="419"/>
  <c r="O21" i="419"/>
  <c r="O25" i="419"/>
  <c r="O22" i="419"/>
  <c r="O24" i="419" s="1"/>
  <c r="W156" i="414"/>
  <c r="X156" i="414" s="1"/>
  <c r="V112" i="414"/>
  <c r="W112" i="414" s="1"/>
  <c r="Q8" i="419"/>
  <c r="Q54" i="419"/>
  <c r="Q17" i="419" s="1"/>
  <c r="Q18" i="419" s="1"/>
  <c r="R31" i="414"/>
  <c r="R42" i="414" s="1"/>
  <c r="T279" i="414"/>
  <c r="T278" i="414"/>
  <c r="S234" i="420"/>
  <c r="T233" i="420"/>
  <c r="S50" i="420"/>
  <c r="T86" i="419"/>
  <c r="U86" i="419" s="1"/>
  <c r="V86" i="419" s="1"/>
  <c r="W86" i="419" s="1"/>
  <c r="X86" i="419" s="1"/>
  <c r="S87" i="419"/>
  <c r="U269" i="419"/>
  <c r="U270" i="419"/>
  <c r="U242" i="420"/>
  <c r="U241" i="420"/>
  <c r="U244" i="420"/>
  <c r="U245" i="420" s="1"/>
  <c r="R217" i="420"/>
  <c r="Q219" i="420"/>
  <c r="Q30" i="420" s="1"/>
  <c r="R155" i="420"/>
  <c r="Q157" i="420"/>
  <c r="Q67" i="420"/>
  <c r="R118" i="420"/>
  <c r="S71" i="414"/>
  <c r="T71" i="414" s="1"/>
  <c r="W202" i="414"/>
  <c r="X202" i="414" s="1"/>
  <c r="U108" i="419"/>
  <c r="W152" i="420"/>
  <c r="V154" i="420"/>
  <c r="X184" i="420"/>
  <c r="X64" i="420" s="1"/>
  <c r="X66" i="420" s="1"/>
  <c r="W64" i="420"/>
  <c r="W66" i="420" s="1"/>
  <c r="V173" i="414"/>
  <c r="W163" i="414"/>
  <c r="W170" i="414" s="1"/>
  <c r="U108" i="420"/>
  <c r="U231" i="420"/>
  <c r="T232" i="420"/>
  <c r="W77" i="414"/>
  <c r="X77" i="414" s="1"/>
  <c r="T86" i="420"/>
  <c r="U86" i="420" s="1"/>
  <c r="V86" i="420" s="1"/>
  <c r="W86" i="420" s="1"/>
  <c r="X86" i="420" s="1"/>
  <c r="S87" i="420"/>
  <c r="W203" i="414"/>
  <c r="X203" i="414" s="1"/>
  <c r="W149" i="414"/>
  <c r="X149" i="414" s="1"/>
  <c r="V264" i="420"/>
  <c r="V265" i="420"/>
  <c r="W98" i="420"/>
  <c r="U268" i="414"/>
  <c r="U269" i="414"/>
  <c r="V102" i="414"/>
  <c r="W103" i="414" s="1"/>
  <c r="T275" i="420"/>
  <c r="T274" i="420"/>
  <c r="U119" i="414"/>
  <c r="T121" i="414"/>
  <c r="W68" i="414"/>
  <c r="X187" i="414"/>
  <c r="X68" i="414" s="1"/>
  <c r="W90" i="414"/>
  <c r="X90" i="414" s="1"/>
  <c r="R155" i="419"/>
  <c r="Q157" i="419"/>
  <c r="Q67" i="419"/>
  <c r="Q112" i="419"/>
  <c r="R112" i="419" s="1"/>
  <c r="R134" i="419"/>
  <c r="M304" i="420"/>
  <c r="M312" i="420"/>
  <c r="P180" i="420"/>
  <c r="P187" i="420" s="1"/>
  <c r="O175" i="420"/>
  <c r="V20" i="414"/>
  <c r="V19" i="414" s="1"/>
  <c r="V263" i="414"/>
  <c r="V88" i="414"/>
  <c r="V11" i="414" s="1"/>
  <c r="V10" i="414" s="1"/>
  <c r="V13" i="414" s="1"/>
  <c r="V15" i="414" s="1"/>
  <c r="V264" i="414"/>
  <c r="X80" i="419"/>
  <c r="T122" i="414"/>
  <c r="X160" i="420"/>
  <c r="X167" i="420" s="1"/>
  <c r="X170" i="420" s="1"/>
  <c r="W170" i="420"/>
  <c r="W188" i="414"/>
  <c r="X188" i="414" s="1"/>
  <c r="V69" i="414"/>
  <c r="W69" i="414" s="1"/>
  <c r="T221" i="414"/>
  <c r="U221" i="414" s="1"/>
  <c r="S37" i="414"/>
  <c r="S38" i="414"/>
  <c r="S5" i="414" s="1"/>
  <c r="S49" i="419"/>
  <c r="R52" i="419"/>
  <c r="W104" i="420"/>
  <c r="V107" i="420"/>
  <c r="V195" i="414"/>
  <c r="W193" i="414"/>
  <c r="X154" i="414"/>
  <c r="T227" i="414"/>
  <c r="S29" i="414"/>
  <c r="Q254" i="420"/>
  <c r="R71" i="420"/>
  <c r="Q82" i="420"/>
  <c r="Q255" i="420"/>
  <c r="W67" i="414"/>
  <c r="W70" i="414" s="1"/>
  <c r="X165" i="414"/>
  <c r="X67" i="414" s="1"/>
  <c r="X70" i="414" s="1"/>
  <c r="U35" i="419"/>
  <c r="X208" i="419"/>
  <c r="W209" i="419"/>
  <c r="W121" i="419" s="1"/>
  <c r="W123" i="419" s="1"/>
  <c r="W57" i="419"/>
  <c r="W59" i="419" s="1"/>
  <c r="W207" i="419"/>
  <c r="W213" i="419" s="1"/>
  <c r="V152" i="419"/>
  <c r="U154" i="419"/>
  <c r="S234" i="419"/>
  <c r="T233" i="419"/>
  <c r="V107" i="419"/>
  <c r="W104" i="419"/>
  <c r="U241" i="419"/>
  <c r="U244" i="419"/>
  <c r="U245" i="419" s="1"/>
  <c r="U242" i="419"/>
  <c r="X185" i="420"/>
  <c r="X105" i="420" s="1"/>
  <c r="W105" i="420"/>
  <c r="W212" i="420"/>
  <c r="W160" i="419"/>
  <c r="W167" i="419" s="1"/>
  <c r="V170" i="419"/>
  <c r="X144" i="419"/>
  <c r="Q112" i="420"/>
  <c r="R112" i="420" s="1"/>
  <c r="R14" i="420"/>
  <c r="R134" i="420"/>
  <c r="S134" i="420" s="1"/>
  <c r="W145" i="419"/>
  <c r="V174" i="419"/>
  <c r="W174" i="419" s="1"/>
  <c r="S111" i="419"/>
  <c r="W58" i="414"/>
  <c r="X58" i="414" s="1"/>
  <c r="V129" i="420"/>
  <c r="U133" i="420"/>
  <c r="X65" i="419"/>
  <c r="R124" i="419"/>
  <c r="R53" i="419"/>
  <c r="S53" i="419" s="1"/>
  <c r="W189" i="414"/>
  <c r="X189" i="414" s="1"/>
  <c r="R90" i="420"/>
  <c r="W83" i="414"/>
  <c r="X83" i="414" s="1"/>
  <c r="V80" i="414"/>
  <c r="W80" i="414" s="1"/>
  <c r="S12" i="414"/>
  <c r="T12" i="414" s="1"/>
  <c r="U274" i="419"/>
  <c r="U275" i="419"/>
  <c r="V177" i="414"/>
  <c r="W177" i="414" s="1"/>
  <c r="V155" i="414"/>
  <c r="W155" i="414" s="1"/>
  <c r="U63" i="414" l="1"/>
  <c r="U159" i="414"/>
  <c r="X198" i="420"/>
  <c r="X201" i="420" s="1"/>
  <c r="W201" i="420"/>
  <c r="S112" i="419"/>
  <c r="M327" i="420"/>
  <c r="M323" i="420"/>
  <c r="U116" i="414"/>
  <c r="S14" i="420"/>
  <c r="W99" i="420"/>
  <c r="U61" i="414"/>
  <c r="U128" i="414"/>
  <c r="U62" i="414"/>
  <c r="U137" i="414"/>
  <c r="L341" i="420"/>
  <c r="L345" i="420"/>
  <c r="L353" i="420" s="1"/>
  <c r="L354" i="420" s="1"/>
  <c r="U213" i="420"/>
  <c r="U216" i="420" s="1"/>
  <c r="U35" i="420" s="1"/>
  <c r="V207" i="420"/>
  <c r="U12" i="414"/>
  <c r="L351" i="420"/>
  <c r="L352" i="420" s="1"/>
  <c r="U158" i="414"/>
  <c r="U14" i="414"/>
  <c r="V108" i="419"/>
  <c r="S118" i="420"/>
  <c r="T87" i="419"/>
  <c r="U87" i="419" s="1"/>
  <c r="V87" i="419" s="1"/>
  <c r="W87" i="419" s="1"/>
  <c r="X87" i="419" s="1"/>
  <c r="T50" i="420"/>
  <c r="U50" i="420" s="1"/>
  <c r="M343" i="420"/>
  <c r="M336" i="420"/>
  <c r="M347" i="420" s="1"/>
  <c r="M348" i="420" s="1"/>
  <c r="N325" i="420"/>
  <c r="N326" i="420" s="1"/>
  <c r="N322" i="420"/>
  <c r="X208" i="420"/>
  <c r="W57" i="420"/>
  <c r="W59" i="420" s="1"/>
  <c r="W209" i="420"/>
  <c r="W121" i="420" s="1"/>
  <c r="W123" i="420" s="1"/>
  <c r="U231" i="414"/>
  <c r="V140" i="414"/>
  <c r="U34" i="414"/>
  <c r="U36" i="414" s="1"/>
  <c r="U43" i="414" s="1"/>
  <c r="X82" i="414"/>
  <c r="T14" i="420"/>
  <c r="U233" i="419"/>
  <c r="T234" i="419"/>
  <c r="T115" i="419" s="1"/>
  <c r="X72" i="414"/>
  <c r="R82" i="420"/>
  <c r="R254" i="420"/>
  <c r="R255" i="420"/>
  <c r="T29" i="414"/>
  <c r="U227" i="414"/>
  <c r="U228" i="414" s="1"/>
  <c r="T49" i="419"/>
  <c r="U49" i="419" s="1"/>
  <c r="S52" i="419"/>
  <c r="U122" i="414"/>
  <c r="M313" i="420"/>
  <c r="N303" i="420"/>
  <c r="R67" i="419"/>
  <c r="Q68" i="419"/>
  <c r="V108" i="420"/>
  <c r="W108" i="420" s="1"/>
  <c r="X108" i="420" s="1"/>
  <c r="R67" i="420"/>
  <c r="Q68" i="420"/>
  <c r="Q9" i="420" s="1"/>
  <c r="S217" i="420"/>
  <c r="R219" i="420"/>
  <c r="R30" i="420" s="1"/>
  <c r="U233" i="420"/>
  <c r="T234" i="420"/>
  <c r="T115" i="420" s="1"/>
  <c r="O176" i="420"/>
  <c r="O33" i="420" s="1"/>
  <c r="P173" i="420"/>
  <c r="S118" i="419"/>
  <c r="V72" i="420"/>
  <c r="X23" i="414"/>
  <c r="T50" i="419"/>
  <c r="U50" i="419" s="1"/>
  <c r="S52" i="420"/>
  <c r="S124" i="420"/>
  <c r="V241" i="419"/>
  <c r="V244" i="419"/>
  <c r="V245" i="419" s="1"/>
  <c r="V242" i="419"/>
  <c r="S111" i="420"/>
  <c r="K5" i="419"/>
  <c r="K44" i="419"/>
  <c r="X239" i="414"/>
  <c r="X205" i="414"/>
  <c r="S222" i="419"/>
  <c r="W76" i="414"/>
  <c r="W261" i="414"/>
  <c r="W263" i="414" s="1"/>
  <c r="X108" i="414"/>
  <c r="X111" i="414" s="1"/>
  <c r="W111" i="414"/>
  <c r="S222" i="420"/>
  <c r="X222" i="414"/>
  <c r="X66" i="419"/>
  <c r="X212" i="419"/>
  <c r="W216" i="419"/>
  <c r="V231" i="419"/>
  <c r="U232" i="419"/>
  <c r="S88" i="419"/>
  <c r="X177" i="414"/>
  <c r="T53" i="419"/>
  <c r="U275" i="420"/>
  <c r="U274" i="420"/>
  <c r="S112" i="420"/>
  <c r="W170" i="419"/>
  <c r="X160" i="419"/>
  <c r="X167" i="419" s="1"/>
  <c r="X170" i="419" s="1"/>
  <c r="X104" i="419"/>
  <c r="X107" i="419" s="1"/>
  <c r="W107" i="419"/>
  <c r="W152" i="419"/>
  <c r="V154" i="419"/>
  <c r="X57" i="419"/>
  <c r="X59" i="419" s="1"/>
  <c r="X209" i="419"/>
  <c r="X121" i="419" s="1"/>
  <c r="X123" i="419" s="1"/>
  <c r="W72" i="414"/>
  <c r="V269" i="420"/>
  <c r="V270" i="420"/>
  <c r="V21" i="414"/>
  <c r="V22" i="414"/>
  <c r="V24" i="414" s="1"/>
  <c r="V229" i="414" s="1"/>
  <c r="W264" i="420"/>
  <c r="X98" i="420"/>
  <c r="W265" i="420"/>
  <c r="X163" i="414"/>
  <c r="X170" i="414" s="1"/>
  <c r="W173" i="414"/>
  <c r="N203" i="420"/>
  <c r="N38" i="420" s="1"/>
  <c r="O177" i="420"/>
  <c r="N33" i="420"/>
  <c r="N36" i="420" s="1"/>
  <c r="N43" i="420" s="1"/>
  <c r="S60" i="419"/>
  <c r="T60" i="419" s="1"/>
  <c r="X247" i="414"/>
  <c r="X248" i="414" s="1"/>
  <c r="W248" i="414"/>
  <c r="W249" i="414" s="1"/>
  <c r="X277" i="414"/>
  <c r="X257" i="414"/>
  <c r="X258" i="414" s="1"/>
  <c r="X272" i="414"/>
  <c r="X251" i="414"/>
  <c r="X80" i="414" s="1"/>
  <c r="X267" i="414"/>
  <c r="X262" i="414"/>
  <c r="S60" i="420"/>
  <c r="V241" i="420"/>
  <c r="V242" i="420"/>
  <c r="V244" i="420"/>
  <c r="V245" i="420" s="1"/>
  <c r="X174" i="420"/>
  <c r="Q260" i="419"/>
  <c r="Q20" i="419"/>
  <c r="Q259" i="419"/>
  <c r="Q84" i="419"/>
  <c r="Q11" i="419" s="1"/>
  <c r="R257" i="419"/>
  <c r="W131" i="414"/>
  <c r="V136" i="414"/>
  <c r="X211" i="414"/>
  <c r="W210" i="414"/>
  <c r="W212" i="414"/>
  <c r="W125" i="414" s="1"/>
  <c r="W127" i="414" s="1"/>
  <c r="W57" i="414"/>
  <c r="W59" i="414" s="1"/>
  <c r="W64" i="414" s="1"/>
  <c r="V275" i="419"/>
  <c r="V274" i="419"/>
  <c r="W88" i="414"/>
  <c r="W11" i="414" s="1"/>
  <c r="W10" i="414" s="1"/>
  <c r="W13" i="414" s="1"/>
  <c r="W15" i="414" s="1"/>
  <c r="W20" i="414"/>
  <c r="W19" i="414" s="1"/>
  <c r="W264" i="414"/>
  <c r="X241" i="414"/>
  <c r="V274" i="414"/>
  <c r="V273" i="414"/>
  <c r="V25" i="414"/>
  <c r="U226" i="414"/>
  <c r="U141" i="414"/>
  <c r="T228" i="414"/>
  <c r="S124" i="419"/>
  <c r="T124" i="419" s="1"/>
  <c r="W129" i="420"/>
  <c r="V133" i="420"/>
  <c r="X145" i="419"/>
  <c r="V270" i="419"/>
  <c r="V269" i="419"/>
  <c r="X193" i="414"/>
  <c r="X195" i="414" s="1"/>
  <c r="W195" i="414"/>
  <c r="X104" i="420"/>
  <c r="X107" i="420" s="1"/>
  <c r="W107" i="420"/>
  <c r="S134" i="419"/>
  <c r="T134" i="419" s="1"/>
  <c r="S155" i="419"/>
  <c r="R157" i="419"/>
  <c r="V268" i="414"/>
  <c r="W102" i="414"/>
  <c r="V269" i="414"/>
  <c r="T87" i="420"/>
  <c r="U87" i="420" s="1"/>
  <c r="V87" i="420" s="1"/>
  <c r="W87" i="420" s="1"/>
  <c r="X87" i="420" s="1"/>
  <c r="X152" i="420"/>
  <c r="X154" i="420" s="1"/>
  <c r="W154" i="420"/>
  <c r="U71" i="414"/>
  <c r="S155" i="420"/>
  <c r="R157" i="420"/>
  <c r="Q9" i="419"/>
  <c r="V72" i="419"/>
  <c r="W204" i="414"/>
  <c r="X201" i="414"/>
  <c r="X204" i="414" s="1"/>
  <c r="R12" i="419"/>
  <c r="U279" i="414"/>
  <c r="U278" i="414"/>
  <c r="X153" i="414"/>
  <c r="X157" i="414" s="1"/>
  <c r="X160" i="414" s="1"/>
  <c r="W157" i="414"/>
  <c r="W160" i="414" s="1"/>
  <c r="N178" i="414"/>
  <c r="N176" i="414" s="1"/>
  <c r="O183" i="414"/>
  <c r="O190" i="414" s="1"/>
  <c r="X128" i="419"/>
  <c r="X133" i="419" s="1"/>
  <c r="W133" i="419"/>
  <c r="X150" i="414"/>
  <c r="W81" i="414"/>
  <c r="X81" i="414" s="1"/>
  <c r="S53" i="420"/>
  <c r="T53" i="420" s="1"/>
  <c r="S156" i="420"/>
  <c r="S12" i="420" s="1"/>
  <c r="X148" i="414"/>
  <c r="X28" i="414" s="1"/>
  <c r="W28" i="414"/>
  <c r="X217" i="414"/>
  <c r="N180" i="419"/>
  <c r="N187" i="419" s="1"/>
  <c r="M175" i="419"/>
  <c r="M173" i="419" s="1"/>
  <c r="M176" i="419" s="1"/>
  <c r="T37" i="414"/>
  <c r="T38" i="414"/>
  <c r="T5" i="414" s="1"/>
  <c r="R54" i="420"/>
  <c r="R17" i="420" s="1"/>
  <c r="R18" i="420" s="1"/>
  <c r="X174" i="419"/>
  <c r="X212" i="420"/>
  <c r="Q260" i="420"/>
  <c r="Q259" i="420"/>
  <c r="Q20" i="420"/>
  <c r="Q84" i="420"/>
  <c r="Q11" i="420" s="1"/>
  <c r="R257" i="420"/>
  <c r="S31" i="414"/>
  <c r="S42" i="414" s="1"/>
  <c r="R54" i="419"/>
  <c r="R17" i="419" s="1"/>
  <c r="R18" i="419" s="1"/>
  <c r="R8" i="419"/>
  <c r="Q180" i="420"/>
  <c r="Q187" i="420" s="1"/>
  <c r="P175" i="420"/>
  <c r="U121" i="414"/>
  <c r="U232" i="420"/>
  <c r="V231" i="420"/>
  <c r="W108" i="419"/>
  <c r="T51" i="420"/>
  <c r="S156" i="419"/>
  <c r="T156" i="419" s="1"/>
  <c r="S90" i="419"/>
  <c r="T48" i="420"/>
  <c r="T49" i="420"/>
  <c r="U49" i="420" s="1"/>
  <c r="W240" i="419"/>
  <c r="X5" i="417"/>
  <c r="W240" i="420"/>
  <c r="W6" i="417"/>
  <c r="X79" i="414"/>
  <c r="R255" i="419"/>
  <c r="R254" i="419"/>
  <c r="R82" i="419"/>
  <c r="W33" i="414"/>
  <c r="X147" i="414"/>
  <c r="X33" i="414" s="1"/>
  <c r="R190" i="420"/>
  <c r="X86" i="414"/>
  <c r="X259" i="414"/>
  <c r="S14" i="419"/>
  <c r="T14" i="419" s="1"/>
  <c r="S217" i="419"/>
  <c r="R219" i="419"/>
  <c r="R30" i="419" s="1"/>
  <c r="V46" i="414"/>
  <c r="V238" i="414"/>
  <c r="V45" i="414"/>
  <c r="W237" i="414"/>
  <c r="V47" i="414"/>
  <c r="R190" i="419"/>
  <c r="T51" i="419"/>
  <c r="V35" i="419"/>
  <c r="L33" i="419"/>
  <c r="L36" i="419" s="1"/>
  <c r="L43" i="419" s="1"/>
  <c r="L203" i="419"/>
  <c r="L38" i="419" s="1"/>
  <c r="T48" i="419"/>
  <c r="S88" i="420"/>
  <c r="N327" i="420" l="1"/>
  <c r="N323" i="420"/>
  <c r="U51" i="420"/>
  <c r="V51" i="420" s="1"/>
  <c r="T111" i="419"/>
  <c r="U111" i="419" s="1"/>
  <c r="T111" i="420"/>
  <c r="T112" i="420" s="1"/>
  <c r="X209" i="420"/>
  <c r="X121" i="420" s="1"/>
  <c r="X123" i="420" s="1"/>
  <c r="X57" i="420"/>
  <c r="X59" i="420" s="1"/>
  <c r="M344" i="420"/>
  <c r="N335" i="420"/>
  <c r="V213" i="420"/>
  <c r="V216" i="420" s="1"/>
  <c r="V35" i="420" s="1"/>
  <c r="W207" i="420"/>
  <c r="W213" i="420" s="1"/>
  <c r="W216" i="420" s="1"/>
  <c r="V128" i="414"/>
  <c r="W140" i="414"/>
  <c r="W25" i="414" s="1"/>
  <c r="W229" i="414"/>
  <c r="V231" i="414"/>
  <c r="V34" i="414"/>
  <c r="V36" i="414" s="1"/>
  <c r="V43" i="414" s="1"/>
  <c r="X264" i="414"/>
  <c r="X88" i="414"/>
  <c r="X11" i="414" s="1"/>
  <c r="X10" i="414" s="1"/>
  <c r="X13" i="414" s="1"/>
  <c r="X15" i="414" s="1"/>
  <c r="X20" i="414"/>
  <c r="X19" i="414" s="1"/>
  <c r="W242" i="419"/>
  <c r="W241" i="419"/>
  <c r="W244" i="419"/>
  <c r="W245" i="419" s="1"/>
  <c r="S12" i="419"/>
  <c r="T12" i="419" s="1"/>
  <c r="T155" i="419"/>
  <c r="S157" i="419"/>
  <c r="U124" i="419"/>
  <c r="X270" i="419"/>
  <c r="X269" i="419"/>
  <c r="W273" i="414"/>
  <c r="W274" i="414"/>
  <c r="P176" i="420"/>
  <c r="P33" i="420" s="1"/>
  <c r="Q173" i="420"/>
  <c r="T117" i="420"/>
  <c r="T118" i="420" s="1"/>
  <c r="T217" i="420"/>
  <c r="S219" i="420"/>
  <c r="S30" i="420" s="1"/>
  <c r="T31" i="414"/>
  <c r="T42" i="414" s="1"/>
  <c r="R84" i="420"/>
  <c r="R11" i="420" s="1"/>
  <c r="R20" i="420"/>
  <c r="R260" i="420"/>
  <c r="R259" i="420"/>
  <c r="S257" i="420"/>
  <c r="V137" i="414"/>
  <c r="X108" i="419"/>
  <c r="Q175" i="420"/>
  <c r="R180" i="420"/>
  <c r="R187" i="420" s="1"/>
  <c r="V116" i="414"/>
  <c r="P183" i="414"/>
  <c r="P190" i="414" s="1"/>
  <c r="O178" i="414"/>
  <c r="W269" i="414"/>
  <c r="W268" i="414"/>
  <c r="X102" i="414"/>
  <c r="U134" i="419"/>
  <c r="V63" i="414"/>
  <c r="X264" i="420"/>
  <c r="X265" i="420"/>
  <c r="W231" i="419"/>
  <c r="V232" i="419"/>
  <c r="X274" i="414"/>
  <c r="X273" i="414"/>
  <c r="T222" i="419"/>
  <c r="O225" i="420"/>
  <c r="M309" i="420"/>
  <c r="M314" i="420"/>
  <c r="M349" i="420"/>
  <c r="M350" i="420" s="1"/>
  <c r="V158" i="414"/>
  <c r="V53" i="414"/>
  <c r="U38" i="414"/>
  <c r="U5" i="414" s="1"/>
  <c r="U37" i="414"/>
  <c r="W35" i="420"/>
  <c r="V226" i="414"/>
  <c r="V141" i="414"/>
  <c r="W136" i="414"/>
  <c r="X131" i="414"/>
  <c r="X136" i="414" s="1"/>
  <c r="N5" i="420"/>
  <c r="N44" i="420"/>
  <c r="S54" i="419"/>
  <c r="S17" i="419" s="1"/>
  <c r="S18" i="419" s="1"/>
  <c r="S8" i="419"/>
  <c r="T88" i="420"/>
  <c r="U88" i="420" s="1"/>
  <c r="V88" i="420" s="1"/>
  <c r="W88" i="420" s="1"/>
  <c r="X88" i="420" s="1"/>
  <c r="S89" i="420"/>
  <c r="U51" i="419"/>
  <c r="X237" i="414"/>
  <c r="W46" i="414"/>
  <c r="W47" i="414"/>
  <c r="W238" i="414"/>
  <c r="W128" i="414" s="1"/>
  <c r="W45" i="414"/>
  <c r="V62" i="414"/>
  <c r="W241" i="420"/>
  <c r="W242" i="420"/>
  <c r="W244" i="420"/>
  <c r="W245" i="420" s="1"/>
  <c r="T52" i="420"/>
  <c r="U48" i="420"/>
  <c r="V61" i="414"/>
  <c r="W61" i="414" s="1"/>
  <c r="V119" i="414"/>
  <c r="V221" i="414"/>
  <c r="S90" i="420"/>
  <c r="M203" i="419"/>
  <c r="M38" i="419" s="1"/>
  <c r="M33" i="419"/>
  <c r="M36" i="419" s="1"/>
  <c r="M43" i="419" s="1"/>
  <c r="N179" i="414"/>
  <c r="O180" i="414" s="1"/>
  <c r="O176" i="414"/>
  <c r="W270" i="420"/>
  <c r="W269" i="420"/>
  <c r="V14" i="414"/>
  <c r="V275" i="420"/>
  <c r="V274" i="420"/>
  <c r="X57" i="414"/>
  <c r="X59" i="414" s="1"/>
  <c r="X64" i="414" s="1"/>
  <c r="X210" i="414"/>
  <c r="X212" i="414"/>
  <c r="X125" i="414" s="1"/>
  <c r="X127" i="414" s="1"/>
  <c r="X152" i="419"/>
  <c r="X154" i="419" s="1"/>
  <c r="W154" i="419"/>
  <c r="W35" i="419"/>
  <c r="T124" i="420"/>
  <c r="W72" i="420"/>
  <c r="X112" i="414"/>
  <c r="U234" i="420"/>
  <c r="U14" i="420" s="1"/>
  <c r="V233" i="420"/>
  <c r="V49" i="420" s="1"/>
  <c r="S67" i="420"/>
  <c r="R68" i="420"/>
  <c r="R9" i="420" s="1"/>
  <c r="S67" i="419"/>
  <c r="R68" i="419"/>
  <c r="V122" i="414"/>
  <c r="V159" i="414"/>
  <c r="T117" i="419"/>
  <c r="L5" i="419"/>
  <c r="L44" i="419"/>
  <c r="T217" i="419"/>
  <c r="S219" i="419"/>
  <c r="S30" i="419" s="1"/>
  <c r="R259" i="419"/>
  <c r="R20" i="419"/>
  <c r="R260" i="419"/>
  <c r="R84" i="419"/>
  <c r="R11" i="419" s="1"/>
  <c r="S257" i="419"/>
  <c r="X275" i="419"/>
  <c r="X274" i="419"/>
  <c r="U48" i="419"/>
  <c r="T52" i="419"/>
  <c r="S190" i="419"/>
  <c r="S190" i="420"/>
  <c r="X240" i="420"/>
  <c r="X240" i="419"/>
  <c r="Y5" i="417"/>
  <c r="X6" i="417"/>
  <c r="V50" i="420"/>
  <c r="W231" i="420"/>
  <c r="V232" i="420"/>
  <c r="T112" i="419"/>
  <c r="U112" i="419" s="1"/>
  <c r="R9" i="419"/>
  <c r="T134" i="420"/>
  <c r="N175" i="419"/>
  <c r="N173" i="419" s="1"/>
  <c r="O180" i="419"/>
  <c r="O187" i="419" s="1"/>
  <c r="T156" i="420"/>
  <c r="W275" i="419"/>
  <c r="W274" i="419"/>
  <c r="W72" i="419"/>
  <c r="T155" i="420"/>
  <c r="S157" i="420"/>
  <c r="X270" i="420"/>
  <c r="X269" i="420"/>
  <c r="X129" i="420"/>
  <c r="X133" i="420" s="1"/>
  <c r="W133" i="420"/>
  <c r="W22" i="414"/>
  <c r="W24" i="414" s="1"/>
  <c r="W21" i="414"/>
  <c r="V279" i="414"/>
  <c r="V278" i="414"/>
  <c r="T60" i="420"/>
  <c r="X249" i="414"/>
  <c r="P177" i="420"/>
  <c r="X173" i="414"/>
  <c r="X207" i="419"/>
  <c r="X213" i="419" s="1"/>
  <c r="X216" i="419" s="1"/>
  <c r="W269" i="419"/>
  <c r="W270" i="419"/>
  <c r="U53" i="419"/>
  <c r="S89" i="419"/>
  <c r="T88" i="419"/>
  <c r="U88" i="419" s="1"/>
  <c r="V88" i="419" s="1"/>
  <c r="W88" i="419" s="1"/>
  <c r="X88" i="419" s="1"/>
  <c r="T222" i="420"/>
  <c r="X76" i="414"/>
  <c r="X261" i="414"/>
  <c r="X263" i="414" s="1"/>
  <c r="S54" i="420"/>
  <c r="S17" i="420" s="1"/>
  <c r="S18" i="420" s="1"/>
  <c r="S8" i="420"/>
  <c r="T118" i="419"/>
  <c r="N312" i="420"/>
  <c r="N313" i="420" s="1"/>
  <c r="N304" i="420"/>
  <c r="X69" i="414"/>
  <c r="U29" i="414"/>
  <c r="V227" i="414"/>
  <c r="V233" i="419"/>
  <c r="U234" i="419"/>
  <c r="U115" i="419" s="1"/>
  <c r="X155" i="414"/>
  <c r="X99" i="420"/>
  <c r="X103" i="414"/>
  <c r="M345" i="420" l="1"/>
  <c r="M341" i="420"/>
  <c r="T90" i="419"/>
  <c r="U90" i="419" s="1"/>
  <c r="V90" i="419" s="1"/>
  <c r="W90" i="419" s="1"/>
  <c r="X90" i="419" s="1"/>
  <c r="V50" i="419"/>
  <c r="M353" i="420"/>
  <c r="M354" i="420" s="1"/>
  <c r="U14" i="419"/>
  <c r="U111" i="420"/>
  <c r="M351" i="420"/>
  <c r="M352" i="420" s="1"/>
  <c r="W14" i="414"/>
  <c r="W221" i="414"/>
  <c r="W62" i="414"/>
  <c r="U156" i="419"/>
  <c r="W158" i="414"/>
  <c r="U60" i="419"/>
  <c r="N343" i="420"/>
  <c r="N344" i="420" s="1"/>
  <c r="N336" i="420"/>
  <c r="N347" i="420" s="1"/>
  <c r="N348" i="420" s="1"/>
  <c r="X207" i="420"/>
  <c r="X213" i="420" s="1"/>
  <c r="X216" i="420" s="1"/>
  <c r="X35" i="420" s="1"/>
  <c r="X35" i="419"/>
  <c r="U117" i="419"/>
  <c r="U118" i="419" s="1"/>
  <c r="V111" i="419"/>
  <c r="W233" i="419"/>
  <c r="V234" i="419"/>
  <c r="V115" i="419" s="1"/>
  <c r="X275" i="420"/>
  <c r="X274" i="420"/>
  <c r="O173" i="419"/>
  <c r="N176" i="419"/>
  <c r="X244" i="419"/>
  <c r="X245" i="419" s="1"/>
  <c r="X242" i="419"/>
  <c r="X241" i="419"/>
  <c r="T190" i="420"/>
  <c r="V48" i="419"/>
  <c r="U52" i="419"/>
  <c r="W159" i="414"/>
  <c r="V12" i="414"/>
  <c r="U124" i="420"/>
  <c r="T89" i="420"/>
  <c r="U89" i="420" s="1"/>
  <c r="V89" i="420" s="1"/>
  <c r="W89" i="420" s="1"/>
  <c r="X89" i="420" s="1"/>
  <c r="S71" i="420"/>
  <c r="V134" i="419"/>
  <c r="V14" i="419"/>
  <c r="U115" i="420"/>
  <c r="V124" i="419"/>
  <c r="U12" i="419"/>
  <c r="U112" i="420"/>
  <c r="U60" i="420"/>
  <c r="V112" i="419"/>
  <c r="X242" i="420"/>
  <c r="X244" i="420"/>
  <c r="X245" i="420" s="1"/>
  <c r="X241" i="420"/>
  <c r="T67" i="420"/>
  <c r="S68" i="420"/>
  <c r="S9" i="420" s="1"/>
  <c r="V111" i="420"/>
  <c r="P176" i="414"/>
  <c r="O179" i="414"/>
  <c r="M44" i="419"/>
  <c r="M5" i="419"/>
  <c r="W232" i="419"/>
  <c r="X231" i="419"/>
  <c r="X232" i="419" s="1"/>
  <c r="X269" i="414"/>
  <c r="X268" i="414"/>
  <c r="V60" i="419"/>
  <c r="U53" i="420"/>
  <c r="W231" i="414"/>
  <c r="X140" i="414"/>
  <c r="W34" i="414"/>
  <c r="W36" i="414" s="1"/>
  <c r="W43" i="414" s="1"/>
  <c r="U31" i="414"/>
  <c r="U42" i="414" s="1"/>
  <c r="U156" i="420"/>
  <c r="T190" i="419"/>
  <c r="P180" i="414"/>
  <c r="O194" i="414"/>
  <c r="T90" i="420"/>
  <c r="U90" i="420" s="1"/>
  <c r="V90" i="420" s="1"/>
  <c r="W90" i="420" s="1"/>
  <c r="X90" i="420" s="1"/>
  <c r="U52" i="420"/>
  <c r="V48" i="420"/>
  <c r="X47" i="414"/>
  <c r="X238" i="414"/>
  <c r="X61" i="414" s="1"/>
  <c r="X46" i="414"/>
  <c r="X45" i="414"/>
  <c r="W226" i="414"/>
  <c r="W141" i="414"/>
  <c r="O34" i="420"/>
  <c r="O36" i="420" s="1"/>
  <c r="O43" i="420" s="1"/>
  <c r="P137" i="420"/>
  <c r="P19" i="420" s="1"/>
  <c r="O223" i="420"/>
  <c r="O224" i="420" s="1"/>
  <c r="O227" i="420"/>
  <c r="W116" i="414"/>
  <c r="R175" i="420"/>
  <c r="S180" i="420"/>
  <c r="S187" i="420" s="1"/>
  <c r="Q176" i="420"/>
  <c r="Q33" i="420" s="1"/>
  <c r="R173" i="420"/>
  <c r="U155" i="419"/>
  <c r="T157" i="419"/>
  <c r="X21" i="414"/>
  <c r="X22" i="414"/>
  <c r="X24" i="414" s="1"/>
  <c r="X229" i="414" s="1"/>
  <c r="X25" i="414"/>
  <c r="V53" i="419"/>
  <c r="W119" i="414"/>
  <c r="V121" i="414"/>
  <c r="W122" i="414" s="1"/>
  <c r="X62" i="414"/>
  <c r="W278" i="414"/>
  <c r="W279" i="414"/>
  <c r="V156" i="419"/>
  <c r="X158" i="414"/>
  <c r="Q183" i="414"/>
  <c r="Q190" i="414" s="1"/>
  <c r="P178" i="414"/>
  <c r="V38" i="414"/>
  <c r="V5" i="414" s="1"/>
  <c r="V37" i="414"/>
  <c r="V29" i="414"/>
  <c r="W227" i="414"/>
  <c r="W228" i="414" s="1"/>
  <c r="N314" i="420"/>
  <c r="N349" i="420"/>
  <c r="N350" i="420" s="1"/>
  <c r="N309" i="420"/>
  <c r="U155" i="420"/>
  <c r="T157" i="420"/>
  <c r="V49" i="419"/>
  <c r="W49" i="419" s="1"/>
  <c r="U222" i="419"/>
  <c r="U222" i="420"/>
  <c r="T89" i="419"/>
  <c r="U89" i="419" s="1"/>
  <c r="V89" i="419" s="1"/>
  <c r="W89" i="419" s="1"/>
  <c r="X89" i="419" s="1"/>
  <c r="S71" i="419"/>
  <c r="Q177" i="420"/>
  <c r="W275" i="420"/>
  <c r="W274" i="420"/>
  <c r="X72" i="419"/>
  <c r="O175" i="419"/>
  <c r="P180" i="419"/>
  <c r="P187" i="419" s="1"/>
  <c r="U134" i="420"/>
  <c r="W232" i="420"/>
  <c r="X231" i="420"/>
  <c r="X232" i="420" s="1"/>
  <c r="Y6" i="417"/>
  <c r="Z5" i="417"/>
  <c r="T8" i="419"/>
  <c r="T54" i="419"/>
  <c r="T17" i="419" s="1"/>
  <c r="T18" i="419" s="1"/>
  <c r="U217" i="419"/>
  <c r="T219" i="419"/>
  <c r="T30" i="419" s="1"/>
  <c r="T67" i="419"/>
  <c r="S68" i="419"/>
  <c r="S9" i="419" s="1"/>
  <c r="W233" i="420"/>
  <c r="W49" i="420" s="1"/>
  <c r="V234" i="420"/>
  <c r="V14" i="420" s="1"/>
  <c r="X72" i="420"/>
  <c r="X14" i="414"/>
  <c r="X221" i="414"/>
  <c r="T8" i="420"/>
  <c r="T54" i="420"/>
  <c r="T17" i="420" s="1"/>
  <c r="T18" i="420" s="1"/>
  <c r="V51" i="419"/>
  <c r="W51" i="419" s="1"/>
  <c r="X279" i="414"/>
  <c r="X278" i="414"/>
  <c r="W53" i="414"/>
  <c r="X53" i="414" s="1"/>
  <c r="W63" i="414"/>
  <c r="X63" i="414" s="1"/>
  <c r="W137" i="414"/>
  <c r="X137" i="414" s="1"/>
  <c r="U217" i="420"/>
  <c r="T219" i="420"/>
  <c r="T30" i="420" s="1"/>
  <c r="T12" i="420"/>
  <c r="U12" i="420" s="1"/>
  <c r="V71" i="414"/>
  <c r="W71" i="414" s="1"/>
  <c r="X71" i="414" s="1"/>
  <c r="V228" i="414"/>
  <c r="V156" i="420" l="1"/>
  <c r="N353" i="420"/>
  <c r="N354" i="420" s="1"/>
  <c r="V53" i="420"/>
  <c r="W50" i="419"/>
  <c r="V12" i="420"/>
  <c r="W51" i="420"/>
  <c r="X51" i="420" s="1"/>
  <c r="X116" i="414"/>
  <c r="N341" i="420"/>
  <c r="N345" i="420"/>
  <c r="N351" i="420"/>
  <c r="N352" i="420" s="1"/>
  <c r="V112" i="420"/>
  <c r="X159" i="414"/>
  <c r="X231" i="414"/>
  <c r="X34" i="414"/>
  <c r="X36" i="414" s="1"/>
  <c r="X43" i="414" s="1"/>
  <c r="V117" i="419"/>
  <c r="V118" i="419"/>
  <c r="V31" i="414"/>
  <c r="V42" i="414" s="1"/>
  <c r="W121" i="414"/>
  <c r="X122" i="414" s="1"/>
  <c r="X119" i="414"/>
  <c r="X121" i="414" s="1"/>
  <c r="V155" i="419"/>
  <c r="U157" i="419"/>
  <c r="S175" i="420"/>
  <c r="T180" i="420"/>
  <c r="T187" i="420" s="1"/>
  <c r="W48" i="420"/>
  <c r="V52" i="420"/>
  <c r="U190" i="420"/>
  <c r="U67" i="419"/>
  <c r="T68" i="419"/>
  <c r="T9" i="419" s="1"/>
  <c r="Q178" i="414"/>
  <c r="R183" i="414"/>
  <c r="R190" i="414" s="1"/>
  <c r="R176" i="420"/>
  <c r="R33" i="420" s="1"/>
  <c r="S173" i="420"/>
  <c r="O38" i="420"/>
  <c r="O5" i="420" s="1"/>
  <c r="O37" i="420"/>
  <c r="U54" i="420"/>
  <c r="U17" i="420" s="1"/>
  <c r="U18" i="420" s="1"/>
  <c r="U8" i="420"/>
  <c r="U67" i="420"/>
  <c r="T68" i="420"/>
  <c r="T9" i="420" s="1"/>
  <c r="V115" i="420"/>
  <c r="U117" i="420"/>
  <c r="U118" i="420" s="1"/>
  <c r="S255" i="420"/>
  <c r="S82" i="420"/>
  <c r="S254" i="420"/>
  <c r="T71" i="420"/>
  <c r="V124" i="420"/>
  <c r="W50" i="420"/>
  <c r="W111" i="420" s="1"/>
  <c r="X128" i="414"/>
  <c r="AA5" i="417"/>
  <c r="Z6" i="417"/>
  <c r="V134" i="420"/>
  <c r="R177" i="420"/>
  <c r="V222" i="420"/>
  <c r="V222" i="419"/>
  <c r="O29" i="420"/>
  <c r="O191" i="420" s="1"/>
  <c r="O192" i="420" s="1"/>
  <c r="O28" i="420" s="1"/>
  <c r="O31" i="420" s="1"/>
  <c r="O42" i="420" s="1"/>
  <c r="P138" i="420"/>
  <c r="P10" i="420" s="1"/>
  <c r="P13" i="420" s="1"/>
  <c r="P15" i="420" s="1"/>
  <c r="X226" i="414"/>
  <c r="X141" i="414"/>
  <c r="W60" i="419"/>
  <c r="Q176" i="414"/>
  <c r="P179" i="414"/>
  <c r="Q180" i="414" s="1"/>
  <c r="W14" i="419"/>
  <c r="U8" i="419"/>
  <c r="U54" i="419"/>
  <c r="U17" i="419" s="1"/>
  <c r="U18" i="419" s="1"/>
  <c r="N33" i="419"/>
  <c r="N36" i="419" s="1"/>
  <c r="N43" i="419" s="1"/>
  <c r="N203" i="419"/>
  <c r="N38" i="419" s="1"/>
  <c r="W234" i="419"/>
  <c r="W115" i="419" s="1"/>
  <c r="X233" i="419"/>
  <c r="X50" i="419" s="1"/>
  <c r="V217" i="420"/>
  <c r="U219" i="420"/>
  <c r="U30" i="420" s="1"/>
  <c r="W234" i="420"/>
  <c r="W14" i="420" s="1"/>
  <c r="X233" i="420"/>
  <c r="V217" i="419"/>
  <c r="U219" i="419"/>
  <c r="U30" i="419" s="1"/>
  <c r="Q180" i="419"/>
  <c r="Q187" i="419" s="1"/>
  <c r="P175" i="419"/>
  <c r="T71" i="419"/>
  <c r="S255" i="419"/>
  <c r="S254" i="419"/>
  <c r="S82" i="419"/>
  <c r="V155" i="420"/>
  <c r="U157" i="420"/>
  <c r="W29" i="414"/>
  <c r="X227" i="414"/>
  <c r="X29" i="414" s="1"/>
  <c r="W156" i="419"/>
  <c r="W53" i="419"/>
  <c r="P21" i="420"/>
  <c r="P22" i="420"/>
  <c r="P24" i="420" s="1"/>
  <c r="P225" i="420" s="1"/>
  <c r="P25" i="420"/>
  <c r="U190" i="419"/>
  <c r="W37" i="414"/>
  <c r="W38" i="414"/>
  <c r="W5" i="414" s="1"/>
  <c r="V60" i="420"/>
  <c r="V12" i="419"/>
  <c r="W12" i="419" s="1"/>
  <c r="W134" i="419"/>
  <c r="W12" i="414"/>
  <c r="X12" i="414" s="1"/>
  <c r="W48" i="419"/>
  <c r="V52" i="419"/>
  <c r="P173" i="419"/>
  <c r="O176" i="419"/>
  <c r="O33" i="419" s="1"/>
  <c r="W111" i="419"/>
  <c r="W112" i="419" s="1"/>
  <c r="W124" i="419" l="1"/>
  <c r="O177" i="419"/>
  <c r="P194" i="414"/>
  <c r="W117" i="419"/>
  <c r="V8" i="419"/>
  <c r="V54" i="419"/>
  <c r="V17" i="419" s="1"/>
  <c r="V18" i="419" s="1"/>
  <c r="W222" i="419"/>
  <c r="W124" i="420"/>
  <c r="V67" i="420"/>
  <c r="U68" i="420"/>
  <c r="T175" i="420"/>
  <c r="U180" i="420"/>
  <c r="U187" i="420" s="1"/>
  <c r="W118" i="419"/>
  <c r="X37" i="414"/>
  <c r="X38" i="414"/>
  <c r="X5" i="414" s="1"/>
  <c r="X111" i="419"/>
  <c r="X48" i="419"/>
  <c r="W52" i="419"/>
  <c r="W60" i="420"/>
  <c r="X31" i="414"/>
  <c r="X49" i="419"/>
  <c r="U71" i="419"/>
  <c r="T255" i="419"/>
  <c r="T254" i="419"/>
  <c r="T82" i="419"/>
  <c r="W217" i="419"/>
  <c r="V219" i="419"/>
  <c r="V30" i="419" s="1"/>
  <c r="W134" i="420"/>
  <c r="T255" i="420"/>
  <c r="T82" i="420"/>
  <c r="T254" i="420"/>
  <c r="U71" i="420"/>
  <c r="U9" i="420"/>
  <c r="S176" i="420"/>
  <c r="S33" i="420" s="1"/>
  <c r="T173" i="420"/>
  <c r="W112" i="420"/>
  <c r="X228" i="414"/>
  <c r="P227" i="420"/>
  <c r="Q137" i="420"/>
  <c r="Q19" i="420" s="1"/>
  <c r="P34" i="420"/>
  <c r="P36" i="420" s="1"/>
  <c r="P43" i="420" s="1"/>
  <c r="W155" i="420"/>
  <c r="V157" i="420"/>
  <c r="W217" i="420"/>
  <c r="V219" i="420"/>
  <c r="V30" i="420" s="1"/>
  <c r="X234" i="419"/>
  <c r="X60" i="419" s="1"/>
  <c r="X51" i="419"/>
  <c r="X124" i="419"/>
  <c r="O225" i="419"/>
  <c r="V190" i="419"/>
  <c r="W31" i="414"/>
  <c r="W42" i="414" s="1"/>
  <c r="S20" i="419"/>
  <c r="S259" i="419"/>
  <c r="S260" i="419"/>
  <c r="S84" i="419"/>
  <c r="S11" i="419" s="1"/>
  <c r="T257" i="419"/>
  <c r="N44" i="419"/>
  <c r="N5" i="419"/>
  <c r="Q179" i="414"/>
  <c r="R180" i="414" s="1"/>
  <c r="R176" i="414"/>
  <c r="W222" i="420"/>
  <c r="W115" i="420"/>
  <c r="V117" i="420"/>
  <c r="V118" i="420" s="1"/>
  <c r="W53" i="420"/>
  <c r="V8" i="420"/>
  <c r="V54" i="420"/>
  <c r="V17" i="420" s="1"/>
  <c r="V18" i="420" s="1"/>
  <c r="P176" i="419"/>
  <c r="P33" i="419" s="1"/>
  <c r="Q173" i="419"/>
  <c r="X53" i="419"/>
  <c r="R180" i="419"/>
  <c r="R187" i="419" s="1"/>
  <c r="Q175" i="419"/>
  <c r="X234" i="420"/>
  <c r="X14" i="420" s="1"/>
  <c r="X14" i="419"/>
  <c r="P223" i="420"/>
  <c r="P224" i="420" s="1"/>
  <c r="AA6" i="417"/>
  <c r="AB5" i="417"/>
  <c r="X50" i="420"/>
  <c r="X111" i="420" s="1"/>
  <c r="S259" i="420"/>
  <c r="S260" i="420"/>
  <c r="S20" i="420"/>
  <c r="S84" i="420"/>
  <c r="S11" i="420" s="1"/>
  <c r="T257" i="420"/>
  <c r="S183" i="414"/>
  <c r="S190" i="414" s="1"/>
  <c r="R178" i="414"/>
  <c r="V67" i="419"/>
  <c r="U68" i="419"/>
  <c r="U9" i="419" s="1"/>
  <c r="V190" i="420"/>
  <c r="W156" i="420"/>
  <c r="W52" i="420"/>
  <c r="X48" i="420"/>
  <c r="W155" i="419"/>
  <c r="V157" i="419"/>
  <c r="X49" i="420"/>
  <c r="X155" i="419" l="1"/>
  <c r="W157" i="419"/>
  <c r="W190" i="420"/>
  <c r="AC5" i="417"/>
  <c r="AB6" i="417"/>
  <c r="X115" i="420"/>
  <c r="X117" i="420" s="1"/>
  <c r="W117" i="420"/>
  <c r="W190" i="419"/>
  <c r="X155" i="420"/>
  <c r="W157" i="420"/>
  <c r="Q21" i="420"/>
  <c r="Q22" i="420"/>
  <c r="Q24" i="420" s="1"/>
  <c r="Q225" i="420" s="1"/>
  <c r="Q223" i="420" s="1"/>
  <c r="Q25" i="420"/>
  <c r="X112" i="420"/>
  <c r="W118" i="420"/>
  <c r="V180" i="420"/>
  <c r="V187" i="420" s="1"/>
  <c r="U175" i="420"/>
  <c r="X124" i="420"/>
  <c r="X222" i="419"/>
  <c r="Q194" i="414"/>
  <c r="X52" i="420"/>
  <c r="T183" i="414"/>
  <c r="T190" i="414" s="1"/>
  <c r="S178" i="414"/>
  <c r="X134" i="419"/>
  <c r="O34" i="419"/>
  <c r="O36" i="419" s="1"/>
  <c r="O43" i="419" s="1"/>
  <c r="P137" i="419"/>
  <c r="P19" i="419" s="1"/>
  <c r="O227" i="419"/>
  <c r="O223" i="419"/>
  <c r="X156" i="419"/>
  <c r="X12" i="419" s="1"/>
  <c r="T176" i="420"/>
  <c r="T33" i="420" s="1"/>
  <c r="U173" i="420"/>
  <c r="U82" i="420"/>
  <c r="U254" i="420"/>
  <c r="V71" i="420"/>
  <c r="U255" i="420"/>
  <c r="X134" i="420"/>
  <c r="X217" i="419"/>
  <c r="X219" i="419" s="1"/>
  <c r="X30" i="419" s="1"/>
  <c r="W219" i="419"/>
  <c r="W30" i="419" s="1"/>
  <c r="U254" i="419"/>
  <c r="V71" i="419"/>
  <c r="U82" i="419"/>
  <c r="U255" i="419"/>
  <c r="X60" i="420"/>
  <c r="W8" i="420"/>
  <c r="W54" i="420"/>
  <c r="W17" i="420" s="1"/>
  <c r="W18" i="420" s="1"/>
  <c r="P29" i="420"/>
  <c r="P191" i="420" s="1"/>
  <c r="P192" i="420" s="1"/>
  <c r="P28" i="420" s="1"/>
  <c r="P31" i="420" s="1"/>
  <c r="P42" i="420" s="1"/>
  <c r="Q138" i="420"/>
  <c r="Q10" i="420" s="1"/>
  <c r="Q13" i="420" s="1"/>
  <c r="Q15" i="420" s="1"/>
  <c r="P177" i="419"/>
  <c r="S180" i="419"/>
  <c r="S187" i="419" s="1"/>
  <c r="R175" i="419"/>
  <c r="Q176" i="419"/>
  <c r="Q33" i="419" s="1"/>
  <c r="R173" i="419"/>
  <c r="V9" i="420"/>
  <c r="X222" i="420"/>
  <c r="X112" i="419"/>
  <c r="X217" i="420"/>
  <c r="X219" i="420" s="1"/>
  <c r="X30" i="420" s="1"/>
  <c r="W219" i="420"/>
  <c r="W30" i="420" s="1"/>
  <c r="P38" i="420"/>
  <c r="P5" i="420" s="1"/>
  <c r="P37" i="420"/>
  <c r="T84" i="419"/>
  <c r="T11" i="419" s="1"/>
  <c r="T259" i="419"/>
  <c r="T20" i="419"/>
  <c r="T260" i="419"/>
  <c r="U257" i="419"/>
  <c r="W8" i="419"/>
  <c r="W54" i="419"/>
  <c r="W17" i="419" s="1"/>
  <c r="W18" i="419" s="1"/>
  <c r="S177" i="420"/>
  <c r="X115" i="419"/>
  <c r="X117" i="419" s="1"/>
  <c r="X156" i="420"/>
  <c r="W12" i="420"/>
  <c r="W67" i="419"/>
  <c r="V68" i="419"/>
  <c r="V9" i="419" s="1"/>
  <c r="X53" i="420"/>
  <c r="S176" i="414"/>
  <c r="R179" i="414"/>
  <c r="S180" i="414" s="1"/>
  <c r="T84" i="420"/>
  <c r="T11" i="420" s="1"/>
  <c r="T259" i="420"/>
  <c r="T20" i="420"/>
  <c r="T260" i="420"/>
  <c r="U257" i="420"/>
  <c r="X42" i="414"/>
  <c r="X52" i="419"/>
  <c r="X118" i="419"/>
  <c r="W67" i="420"/>
  <c r="V68" i="420"/>
  <c r="X67" i="420" l="1"/>
  <c r="X68" i="420" s="1"/>
  <c r="W68" i="420"/>
  <c r="T176" i="414"/>
  <c r="S179" i="414"/>
  <c r="S194" i="414" s="1"/>
  <c r="Q29" i="420"/>
  <c r="R138" i="420"/>
  <c r="R10" i="420" s="1"/>
  <c r="R13" i="420" s="1"/>
  <c r="R15" i="420" s="1"/>
  <c r="U176" i="420"/>
  <c r="U33" i="420" s="1"/>
  <c r="V173" i="420"/>
  <c r="O38" i="419"/>
  <c r="O5" i="419" s="1"/>
  <c r="O37" i="419"/>
  <c r="X157" i="420"/>
  <c r="X157" i="419"/>
  <c r="X67" i="419"/>
  <c r="X68" i="419" s="1"/>
  <c r="W68" i="419"/>
  <c r="T177" i="420"/>
  <c r="T180" i="419"/>
  <c r="T187" i="419" s="1"/>
  <c r="S175" i="419"/>
  <c r="W71" i="420"/>
  <c r="V255" i="420"/>
  <c r="V82" i="420"/>
  <c r="V254" i="420"/>
  <c r="V175" i="420"/>
  <c r="W180" i="420"/>
  <c r="W187" i="420" s="1"/>
  <c r="Q227" i="420"/>
  <c r="Q224" i="420"/>
  <c r="R137" i="420"/>
  <c r="R19" i="420" s="1"/>
  <c r="Q34" i="420"/>
  <c r="Q36" i="420" s="1"/>
  <c r="Q43" i="420" s="1"/>
  <c r="X54" i="419"/>
  <c r="X17" i="419" s="1"/>
  <c r="X18" i="419" s="1"/>
  <c r="X8" i="419"/>
  <c r="X9" i="419" s="1"/>
  <c r="X12" i="420"/>
  <c r="R176" i="419"/>
  <c r="R33" i="419" s="1"/>
  <c r="S173" i="419"/>
  <c r="Q177" i="419"/>
  <c r="U260" i="419"/>
  <c r="U84" i="419"/>
  <c r="U11" i="419" s="1"/>
  <c r="U20" i="419"/>
  <c r="U259" i="419"/>
  <c r="V257" i="419"/>
  <c r="P21" i="419"/>
  <c r="P22" i="419"/>
  <c r="P24" i="419" s="1"/>
  <c r="P225" i="419" s="1"/>
  <c r="P223" i="419" s="1"/>
  <c r="P25" i="419"/>
  <c r="U183" i="414"/>
  <c r="U190" i="414" s="1"/>
  <c r="T178" i="414"/>
  <c r="X118" i="420"/>
  <c r="X190" i="419"/>
  <c r="X190" i="420"/>
  <c r="R194" i="414"/>
  <c r="W9" i="419"/>
  <c r="W9" i="420"/>
  <c r="V82" i="419"/>
  <c r="V255" i="419"/>
  <c r="V254" i="419"/>
  <c r="W71" i="419"/>
  <c r="U84" i="420"/>
  <c r="U11" i="420" s="1"/>
  <c r="U259" i="420"/>
  <c r="U20" i="420"/>
  <c r="U260" i="420"/>
  <c r="V257" i="420"/>
  <c r="O29" i="419"/>
  <c r="O191" i="419" s="1"/>
  <c r="O192" i="419" s="1"/>
  <c r="O28" i="419" s="1"/>
  <c r="O31" i="419" s="1"/>
  <c r="O42" i="419" s="1"/>
  <c r="P138" i="419"/>
  <c r="P10" i="419" s="1"/>
  <c r="P13" i="419" s="1"/>
  <c r="P15" i="419" s="1"/>
  <c r="O224" i="419"/>
  <c r="X54" i="420"/>
  <c r="X17" i="420" s="1"/>
  <c r="X18" i="420" s="1"/>
  <c r="X8" i="420"/>
  <c r="X9" i="420" s="1"/>
  <c r="AC6" i="417"/>
  <c r="AD5" i="417"/>
  <c r="T180" i="414" l="1"/>
  <c r="P29" i="419"/>
  <c r="Q138" i="419"/>
  <c r="Q10" i="419" s="1"/>
  <c r="Q13" i="419" s="1"/>
  <c r="Q15" i="419" s="1"/>
  <c r="X180" i="420"/>
  <c r="X187" i="420" s="1"/>
  <c r="X175" i="420" s="1"/>
  <c r="W175" i="420"/>
  <c r="V84" i="420"/>
  <c r="V11" i="420" s="1"/>
  <c r="V259" i="420"/>
  <c r="V20" i="420"/>
  <c r="V260" i="420"/>
  <c r="W257" i="420"/>
  <c r="T175" i="419"/>
  <c r="U180" i="419"/>
  <c r="U187" i="419" s="1"/>
  <c r="AD6" i="417"/>
  <c r="AE5" i="417"/>
  <c r="V183" i="414"/>
  <c r="V190" i="414" s="1"/>
  <c r="U178" i="414"/>
  <c r="R177" i="419"/>
  <c r="R21" i="420"/>
  <c r="R22" i="420"/>
  <c r="R24" i="420" s="1"/>
  <c r="R225" i="420" s="1"/>
  <c r="R25" i="420"/>
  <c r="Q191" i="420"/>
  <c r="Q192" i="420" s="1"/>
  <c r="Q28" i="420" s="1"/>
  <c r="Q31" i="420" s="1"/>
  <c r="Q42" i="420" s="1"/>
  <c r="T179" i="414"/>
  <c r="U176" i="414"/>
  <c r="V259" i="419"/>
  <c r="V20" i="419"/>
  <c r="V260" i="419"/>
  <c r="V84" i="419"/>
  <c r="V11" i="419" s="1"/>
  <c r="W257" i="419"/>
  <c r="S176" i="419"/>
  <c r="S33" i="419" s="1"/>
  <c r="T173" i="419"/>
  <c r="W82" i="420"/>
  <c r="W254" i="420"/>
  <c r="X71" i="420"/>
  <c r="W255" i="420"/>
  <c r="W173" i="420"/>
  <c r="V176" i="420"/>
  <c r="V33" i="420" s="1"/>
  <c r="W82" i="419"/>
  <c r="W254" i="419"/>
  <c r="W255" i="419"/>
  <c r="X71" i="419"/>
  <c r="P227" i="419"/>
  <c r="P224" i="419"/>
  <c r="P34" i="419"/>
  <c r="P36" i="419" s="1"/>
  <c r="P43" i="419" s="1"/>
  <c r="Q137" i="419"/>
  <c r="Q19" i="419" s="1"/>
  <c r="Q38" i="420"/>
  <c r="Q5" i="420" s="1"/>
  <c r="Q37" i="420"/>
  <c r="U177" i="420"/>
  <c r="U180" i="414"/>
  <c r="T194" i="414"/>
  <c r="W259" i="420" l="1"/>
  <c r="W20" i="420"/>
  <c r="W260" i="420"/>
  <c r="W84" i="420"/>
  <c r="W11" i="420" s="1"/>
  <c r="X257" i="420"/>
  <c r="V176" i="414"/>
  <c r="U179" i="414"/>
  <c r="R34" i="420"/>
  <c r="R36" i="420" s="1"/>
  <c r="R43" i="420" s="1"/>
  <c r="R227" i="420"/>
  <c r="S137" i="420"/>
  <c r="S19" i="420" s="1"/>
  <c r="R223" i="420"/>
  <c r="R224" i="420" s="1"/>
  <c r="S177" i="419"/>
  <c r="V180" i="419"/>
  <c r="V187" i="419" s="1"/>
  <c r="U175" i="419"/>
  <c r="W259" i="419"/>
  <c r="W84" i="419"/>
  <c r="W11" i="419" s="1"/>
  <c r="W260" i="419"/>
  <c r="W20" i="419"/>
  <c r="X257" i="419"/>
  <c r="V180" i="414"/>
  <c r="U194" i="414"/>
  <c r="V177" i="420"/>
  <c r="X255" i="419"/>
  <c r="X254" i="419"/>
  <c r="X82" i="419"/>
  <c r="X254" i="420"/>
  <c r="X255" i="420"/>
  <c r="X82" i="420"/>
  <c r="V178" i="414"/>
  <c r="W183" i="414"/>
  <c r="W190" i="414" s="1"/>
  <c r="AE6" i="417"/>
  <c r="AF5" i="417"/>
  <c r="Q21" i="419"/>
  <c r="Q25" i="419"/>
  <c r="Q22" i="419"/>
  <c r="Q24" i="419" s="1"/>
  <c r="Q225" i="419" s="1"/>
  <c r="P37" i="419"/>
  <c r="P38" i="419"/>
  <c r="P5" i="419" s="1"/>
  <c r="W176" i="420"/>
  <c r="W33" i="420" s="1"/>
  <c r="X173" i="420"/>
  <c r="X176" i="420" s="1"/>
  <c r="X33" i="420" s="1"/>
  <c r="U173" i="419"/>
  <c r="T176" i="419"/>
  <c r="T33" i="419" s="1"/>
  <c r="P191" i="419"/>
  <c r="P192" i="419" s="1"/>
  <c r="P28" i="419" s="1"/>
  <c r="P31" i="419" s="1"/>
  <c r="P42" i="419" s="1"/>
  <c r="Q34" i="419" l="1"/>
  <c r="Q36" i="419" s="1"/>
  <c r="Q43" i="419" s="1"/>
  <c r="R137" i="419"/>
  <c r="R19" i="419" s="1"/>
  <c r="Q227" i="419"/>
  <c r="Q223" i="419"/>
  <c r="AG5" i="417"/>
  <c r="AF6" i="417"/>
  <c r="X84" i="420"/>
  <c r="X11" i="420" s="1"/>
  <c r="X259" i="420"/>
  <c r="X260" i="420"/>
  <c r="X20" i="420"/>
  <c r="X260" i="419"/>
  <c r="X259" i="419"/>
  <c r="X20" i="419"/>
  <c r="X84" i="419"/>
  <c r="X11" i="419" s="1"/>
  <c r="W177" i="420"/>
  <c r="T177" i="419"/>
  <c r="R37" i="420"/>
  <c r="R38" i="420"/>
  <c r="R5" i="420" s="1"/>
  <c r="W176" i="414"/>
  <c r="V179" i="414"/>
  <c r="W178" i="414"/>
  <c r="X183" i="414"/>
  <c r="X190" i="414" s="1"/>
  <c r="X178" i="414" s="1"/>
  <c r="W180" i="414"/>
  <c r="V194" i="414"/>
  <c r="R29" i="420"/>
  <c r="R191" i="420" s="1"/>
  <c r="R192" i="420" s="1"/>
  <c r="R28" i="420" s="1"/>
  <c r="R31" i="420" s="1"/>
  <c r="R42" i="420" s="1"/>
  <c r="S138" i="420"/>
  <c r="S10" i="420" s="1"/>
  <c r="S13" i="420" s="1"/>
  <c r="S15" i="420" s="1"/>
  <c r="U176" i="419"/>
  <c r="U33" i="419" s="1"/>
  <c r="V173" i="419"/>
  <c r="V175" i="419"/>
  <c r="W180" i="419"/>
  <c r="W187" i="419" s="1"/>
  <c r="S21" i="420"/>
  <c r="S25" i="420"/>
  <c r="S22" i="420"/>
  <c r="S24" i="420" s="1"/>
  <c r="S225" i="420" s="1"/>
  <c r="S223" i="420" s="1"/>
  <c r="S29" i="420" l="1"/>
  <c r="T138" i="420"/>
  <c r="T10" i="420" s="1"/>
  <c r="T13" i="420" s="1"/>
  <c r="T15" i="420" s="1"/>
  <c r="W194" i="414"/>
  <c r="AG6" i="417"/>
  <c r="AH5" i="417"/>
  <c r="V176" i="419"/>
  <c r="V33" i="419" s="1"/>
  <c r="W173" i="419"/>
  <c r="W179" i="414"/>
  <c r="X180" i="414" s="1"/>
  <c r="X194" i="414" s="1"/>
  <c r="X176" i="414"/>
  <c r="X179" i="414" s="1"/>
  <c r="U177" i="419"/>
  <c r="Q29" i="419"/>
  <c r="Q191" i="419" s="1"/>
  <c r="Q192" i="419" s="1"/>
  <c r="Q28" i="419" s="1"/>
  <c r="Q31" i="419" s="1"/>
  <c r="Q42" i="419" s="1"/>
  <c r="R138" i="419"/>
  <c r="R10" i="419" s="1"/>
  <c r="R13" i="419" s="1"/>
  <c r="R15" i="419" s="1"/>
  <c r="R21" i="419"/>
  <c r="R25" i="419"/>
  <c r="R22" i="419"/>
  <c r="R24" i="419" s="1"/>
  <c r="R225" i="419" s="1"/>
  <c r="X180" i="419"/>
  <c r="X187" i="419" s="1"/>
  <c r="X175" i="419" s="1"/>
  <c r="W175" i="419"/>
  <c r="X177" i="420"/>
  <c r="Q38" i="419"/>
  <c r="Q5" i="419" s="1"/>
  <c r="Q37" i="419"/>
  <c r="S34" i="420"/>
  <c r="S36" i="420" s="1"/>
  <c r="S43" i="420" s="1"/>
  <c r="S227" i="420"/>
  <c r="S224" i="420"/>
  <c r="T137" i="420"/>
  <c r="T19" i="420" s="1"/>
  <c r="Q224" i="419"/>
  <c r="R227" i="419" l="1"/>
  <c r="R34" i="419"/>
  <c r="R36" i="419" s="1"/>
  <c r="R43" i="419" s="1"/>
  <c r="S137" i="419"/>
  <c r="S19" i="419" s="1"/>
  <c r="R223" i="419"/>
  <c r="AH6" i="417"/>
  <c r="AI5" i="417"/>
  <c r="S38" i="420"/>
  <c r="S5" i="420" s="1"/>
  <c r="S37" i="420"/>
  <c r="X173" i="419"/>
  <c r="X176" i="419" s="1"/>
  <c r="X33" i="419" s="1"/>
  <c r="W176" i="419"/>
  <c r="W33" i="419" s="1"/>
  <c r="T21" i="420"/>
  <c r="T22" i="420"/>
  <c r="T24" i="420" s="1"/>
  <c r="T225" i="420" s="1"/>
  <c r="T25" i="420"/>
  <c r="V177" i="419"/>
  <c r="S191" i="420"/>
  <c r="S192" i="420" s="1"/>
  <c r="S28" i="420" s="1"/>
  <c r="S31" i="420" s="1"/>
  <c r="S42" i="420" s="1"/>
  <c r="T227" i="420" l="1"/>
  <c r="U137" i="420"/>
  <c r="U19" i="420" s="1"/>
  <c r="T34" i="420"/>
  <c r="T36" i="420" s="1"/>
  <c r="T43" i="420" s="1"/>
  <c r="T224" i="420"/>
  <c r="T223" i="420"/>
  <c r="R29" i="419"/>
  <c r="R191" i="419" s="1"/>
  <c r="R192" i="419" s="1"/>
  <c r="R28" i="419" s="1"/>
  <c r="R31" i="419" s="1"/>
  <c r="R42" i="419" s="1"/>
  <c r="S138" i="419"/>
  <c r="S10" i="419" s="1"/>
  <c r="S13" i="419" s="1"/>
  <c r="S15" i="419" s="1"/>
  <c r="R224" i="419"/>
  <c r="S21" i="419"/>
  <c r="S22" i="419"/>
  <c r="S24" i="419" s="1"/>
  <c r="S225" i="419" s="1"/>
  <c r="S223" i="419" s="1"/>
  <c r="S25" i="419"/>
  <c r="R37" i="419"/>
  <c r="R38" i="419"/>
  <c r="R5" i="419" s="1"/>
  <c r="W177" i="419"/>
  <c r="AI6" i="417"/>
  <c r="AJ5" i="417"/>
  <c r="S29" i="419" l="1"/>
  <c r="T138" i="419"/>
  <c r="T10" i="419" s="1"/>
  <c r="T13" i="419" s="1"/>
  <c r="T15" i="419" s="1"/>
  <c r="T29" i="420"/>
  <c r="T191" i="420" s="1"/>
  <c r="T192" i="420" s="1"/>
  <c r="T28" i="420" s="1"/>
  <c r="T31" i="420" s="1"/>
  <c r="T42" i="420" s="1"/>
  <c r="U138" i="420"/>
  <c r="U10" i="420" s="1"/>
  <c r="U13" i="420" s="1"/>
  <c r="U15" i="420" s="1"/>
  <c r="U21" i="420"/>
  <c r="U25" i="420"/>
  <c r="U22" i="420"/>
  <c r="U24" i="420" s="1"/>
  <c r="U225" i="420" s="1"/>
  <c r="AK5" i="417"/>
  <c r="AJ6" i="417"/>
  <c r="X177" i="419"/>
  <c r="S227" i="419"/>
  <c r="S224" i="419"/>
  <c r="S34" i="419"/>
  <c r="S36" i="419" s="1"/>
  <c r="S43" i="419" s="1"/>
  <c r="T137" i="419"/>
  <c r="T19" i="419" s="1"/>
  <c r="T37" i="420"/>
  <c r="T38" i="420"/>
  <c r="T5" i="420" s="1"/>
  <c r="T21" i="419" l="1"/>
  <c r="T25" i="419"/>
  <c r="T22" i="419"/>
  <c r="T24" i="419" s="1"/>
  <c r="T225" i="419" s="1"/>
  <c r="S38" i="419"/>
  <c r="S5" i="419" s="1"/>
  <c r="S37" i="419"/>
  <c r="AK6" i="417"/>
  <c r="AL5" i="417"/>
  <c r="U34" i="420"/>
  <c r="U36" i="420" s="1"/>
  <c r="U43" i="420" s="1"/>
  <c r="U227" i="420"/>
  <c r="V137" i="420"/>
  <c r="V19" i="420" s="1"/>
  <c r="U223" i="420"/>
  <c r="U224" i="420" s="1"/>
  <c r="S191" i="419"/>
  <c r="S192" i="419" s="1"/>
  <c r="S28" i="419" s="1"/>
  <c r="S31" i="419" s="1"/>
  <c r="S42" i="419" s="1"/>
  <c r="AM5" i="417" l="1"/>
  <c r="AL6" i="417"/>
  <c r="T227" i="419"/>
  <c r="U137" i="419"/>
  <c r="U19" i="419" s="1"/>
  <c r="T34" i="419"/>
  <c r="T36" i="419" s="1"/>
  <c r="T43" i="419" s="1"/>
  <c r="T223" i="419"/>
  <c r="U37" i="420"/>
  <c r="U38" i="420"/>
  <c r="U5" i="420" s="1"/>
  <c r="U29" i="420"/>
  <c r="U191" i="420" s="1"/>
  <c r="U192" i="420" s="1"/>
  <c r="U28" i="420" s="1"/>
  <c r="U31" i="420" s="1"/>
  <c r="U42" i="420" s="1"/>
  <c r="V138" i="420"/>
  <c r="V10" i="420" s="1"/>
  <c r="V13" i="420" s="1"/>
  <c r="V15" i="420" s="1"/>
  <c r="V21" i="420"/>
  <c r="V25" i="420"/>
  <c r="V22" i="420"/>
  <c r="V24" i="420" s="1"/>
  <c r="V225" i="420" s="1"/>
  <c r="V227" i="420" l="1"/>
  <c r="W137" i="420"/>
  <c r="W19" i="420" s="1"/>
  <c r="V34" i="420"/>
  <c r="V36" i="420" s="1"/>
  <c r="V43" i="420" s="1"/>
  <c r="V223" i="420"/>
  <c r="V224" i="420" s="1"/>
  <c r="T29" i="419"/>
  <c r="T191" i="419" s="1"/>
  <c r="T192" i="419" s="1"/>
  <c r="T28" i="419" s="1"/>
  <c r="T31" i="419" s="1"/>
  <c r="T42" i="419" s="1"/>
  <c r="U138" i="419"/>
  <c r="U10" i="419" s="1"/>
  <c r="U13" i="419" s="1"/>
  <c r="U15" i="419" s="1"/>
  <c r="U21" i="419"/>
  <c r="U22" i="419"/>
  <c r="U24" i="419" s="1"/>
  <c r="U225" i="419" s="1"/>
  <c r="U223" i="419" s="1"/>
  <c r="U25" i="419"/>
  <c r="T224" i="419"/>
  <c r="T37" i="419"/>
  <c r="T38" i="419"/>
  <c r="T5" i="419" s="1"/>
  <c r="AN5" i="417"/>
  <c r="AM6" i="417"/>
  <c r="U29" i="419" l="1"/>
  <c r="U191" i="419" s="1"/>
  <c r="U192" i="419" s="1"/>
  <c r="U28" i="419" s="1"/>
  <c r="U31" i="419" s="1"/>
  <c r="U42" i="419" s="1"/>
  <c r="V138" i="419"/>
  <c r="V10" i="419" s="1"/>
  <c r="V13" i="419" s="1"/>
  <c r="V15" i="419" s="1"/>
  <c r="AO5" i="417"/>
  <c r="AN6" i="417"/>
  <c r="U227" i="419"/>
  <c r="U224" i="419"/>
  <c r="U34" i="419"/>
  <c r="U36" i="419" s="1"/>
  <c r="U43" i="419" s="1"/>
  <c r="V137" i="419"/>
  <c r="V19" i="419" s="1"/>
  <c r="V29" i="420"/>
  <c r="V191" i="420" s="1"/>
  <c r="V192" i="420" s="1"/>
  <c r="V28" i="420" s="1"/>
  <c r="V31" i="420" s="1"/>
  <c r="V42" i="420" s="1"/>
  <c r="W138" i="420"/>
  <c r="W10" i="420" s="1"/>
  <c r="W13" i="420" s="1"/>
  <c r="W15" i="420" s="1"/>
  <c r="W21" i="420"/>
  <c r="W25" i="420"/>
  <c r="W22" i="420"/>
  <c r="W24" i="420" s="1"/>
  <c r="W225" i="420" s="1"/>
  <c r="V37" i="420"/>
  <c r="V38" i="420"/>
  <c r="V5" i="420" s="1"/>
  <c r="W34" i="420" l="1"/>
  <c r="W36" i="420" s="1"/>
  <c r="W43" i="420" s="1"/>
  <c r="W227" i="420"/>
  <c r="X137" i="420"/>
  <c r="X19" i="420" s="1"/>
  <c r="AO6" i="417"/>
  <c r="AP5" i="417"/>
  <c r="W223" i="420"/>
  <c r="U37" i="419"/>
  <c r="U38" i="419"/>
  <c r="U5" i="419" s="1"/>
  <c r="V21" i="419"/>
  <c r="V25" i="419"/>
  <c r="V22" i="419"/>
  <c r="V24" i="419" s="1"/>
  <c r="V225" i="419" s="1"/>
  <c r="W29" i="420" l="1"/>
  <c r="W191" i="420" s="1"/>
  <c r="W192" i="420" s="1"/>
  <c r="W28" i="420" s="1"/>
  <c r="W31" i="420" s="1"/>
  <c r="W42" i="420" s="1"/>
  <c r="X138" i="420"/>
  <c r="X10" i="420" s="1"/>
  <c r="X13" i="420" s="1"/>
  <c r="X15" i="420" s="1"/>
  <c r="W37" i="420"/>
  <c r="W38" i="420"/>
  <c r="W5" i="420" s="1"/>
  <c r="AQ5" i="417"/>
  <c r="AP6" i="417"/>
  <c r="W224" i="420"/>
  <c r="V34" i="419"/>
  <c r="V36" i="419" s="1"/>
  <c r="V43" i="419" s="1"/>
  <c r="W137" i="419"/>
  <c r="W19" i="419" s="1"/>
  <c r="V227" i="419"/>
  <c r="V223" i="419"/>
  <c r="V224" i="419" s="1"/>
  <c r="X21" i="420"/>
  <c r="X25" i="420"/>
  <c r="X22" i="420"/>
  <c r="X24" i="420" s="1"/>
  <c r="X225" i="420" s="1"/>
  <c r="X223" i="420" s="1"/>
  <c r="X29" i="420" s="1"/>
  <c r="V37" i="419" l="1"/>
  <c r="V38" i="419"/>
  <c r="V5" i="419" s="1"/>
  <c r="V29" i="419"/>
  <c r="V191" i="419" s="1"/>
  <c r="V192" i="419" s="1"/>
  <c r="V28" i="419" s="1"/>
  <c r="V31" i="419" s="1"/>
  <c r="V42" i="419" s="1"/>
  <c r="W138" i="419"/>
  <c r="W10" i="419" s="1"/>
  <c r="W13" i="419" s="1"/>
  <c r="W15" i="419" s="1"/>
  <c r="W21" i="419"/>
  <c r="W25" i="419"/>
  <c r="W22" i="419"/>
  <c r="W24" i="419" s="1"/>
  <c r="W225" i="419" s="1"/>
  <c r="AR5" i="417"/>
  <c r="AQ6" i="417"/>
  <c r="X34" i="420"/>
  <c r="X36" i="420" s="1"/>
  <c r="X43" i="420" s="1"/>
  <c r="X227" i="420"/>
  <c r="X224" i="420"/>
  <c r="AS5" i="417" l="1"/>
  <c r="AR6" i="417"/>
  <c r="X37" i="420"/>
  <c r="X38" i="420"/>
  <c r="X5" i="420" s="1"/>
  <c r="X137" i="419"/>
  <c r="X19" i="419" s="1"/>
  <c r="W34" i="419"/>
  <c r="W36" i="419" s="1"/>
  <c r="W43" i="419" s="1"/>
  <c r="W227" i="419"/>
  <c r="W223" i="419"/>
  <c r="X191" i="420"/>
  <c r="X192" i="420" s="1"/>
  <c r="X28" i="420" s="1"/>
  <c r="X31" i="420" s="1"/>
  <c r="X42" i="420" s="1"/>
  <c r="X21" i="419" l="1"/>
  <c r="X25" i="419"/>
  <c r="X22" i="419"/>
  <c r="X24" i="419" s="1"/>
  <c r="X225" i="419" s="1"/>
  <c r="W29" i="419"/>
  <c r="W191" i="419" s="1"/>
  <c r="W192" i="419" s="1"/>
  <c r="W28" i="419" s="1"/>
  <c r="W31" i="419" s="1"/>
  <c r="W42" i="419" s="1"/>
  <c r="X138" i="419"/>
  <c r="X10" i="419" s="1"/>
  <c r="X13" i="419" s="1"/>
  <c r="X15" i="419" s="1"/>
  <c r="W224" i="419"/>
  <c r="W37" i="419"/>
  <c r="W38" i="419"/>
  <c r="W5" i="419" s="1"/>
  <c r="AT5" i="417"/>
  <c r="AS6" i="417"/>
  <c r="X224" i="419" l="1"/>
  <c r="X227" i="419"/>
  <c r="X34" i="419"/>
  <c r="X36" i="419" s="1"/>
  <c r="X43" i="419" s="1"/>
  <c r="AU5" i="417"/>
  <c r="AT6" i="417"/>
  <c r="X223" i="419"/>
  <c r="X29" i="419" s="1"/>
  <c r="AU6" i="417" l="1"/>
  <c r="AV5" i="417"/>
  <c r="X191" i="419"/>
  <c r="X192" i="419" s="1"/>
  <c r="X28" i="419" s="1"/>
  <c r="X31" i="419" s="1"/>
  <c r="X42" i="419" s="1"/>
  <c r="X38" i="419"/>
  <c r="X5" i="419" s="1"/>
  <c r="X37" i="419"/>
  <c r="AW5" i="417" l="1"/>
  <c r="AV6" i="417"/>
  <c r="AW6" i="417" l="1"/>
  <c r="AX5" i="417"/>
  <c r="AY5" i="417" l="1"/>
  <c r="AX6" i="417"/>
  <c r="AY6" i="417" l="1"/>
  <c r="AZ5" i="417"/>
  <c r="BA5" i="417" l="1"/>
  <c r="AZ6" i="417"/>
  <c r="BA6" i="417" l="1"/>
  <c r="BB5" i="417"/>
  <c r="BC5" i="417" l="1"/>
  <c r="BB6" i="417"/>
  <c r="BC6" i="417" l="1"/>
  <c r="BD5" i="417"/>
  <c r="BE5" i="417" l="1"/>
  <c r="BD6" i="417"/>
  <c r="BE6" i="417" l="1"/>
  <c r="BF5" i="417"/>
  <c r="BF6" i="417" s="1"/>
</calcChain>
</file>

<file path=xl/comments1.xml><?xml version="1.0" encoding="utf-8"?>
<comments xmlns="http://schemas.openxmlformats.org/spreadsheetml/2006/main">
  <authors>
    <author>Matthew Bell</author>
  </authors>
  <commentList>
    <comment ref="H212" authorId="0" shapeId="0">
      <text>
        <r>
          <rPr>
            <b/>
            <sz val="9"/>
            <color indexed="81"/>
            <rFont val="Tahoma"/>
            <family val="2"/>
          </rPr>
          <t xml:space="preserve">bellm: 
</t>
        </r>
        <r>
          <rPr>
            <sz val="9"/>
            <color indexed="81"/>
            <rFont val="Tahoma"/>
            <family val="2"/>
          </rPr>
          <t>The $507 million figure is a (gain/)loss on NZ units. Appears for the first time in this year.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Matthew Bell</author>
    <author>Author</author>
  </authors>
  <commentList>
    <comment ref="O58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O81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T115" authorId="1" shapeId="0">
      <text>
        <r>
          <rPr>
            <sz val="9"/>
            <color indexed="81"/>
            <rFont val="Tahoma"/>
            <family val="2"/>
          </rPr>
          <t xml:space="preserve">No track after this year so reverts to nominal GDP growth
</t>
        </r>
      </text>
    </comment>
    <comment ref="O129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P132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</commentList>
</comments>
</file>

<file path=xl/comments3.xml><?xml version="1.0" encoding="utf-8"?>
<comments xmlns="http://schemas.openxmlformats.org/spreadsheetml/2006/main">
  <authors>
    <author>Matthew Bell</author>
    <author>Author</author>
  </authors>
  <commentList>
    <comment ref="O58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O81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T115" authorId="1" shapeId="0">
      <text>
        <r>
          <rPr>
            <sz val="9"/>
            <color indexed="81"/>
            <rFont val="Tahoma"/>
            <family val="2"/>
          </rPr>
          <t xml:space="preserve">No track after this year so reverts to nominal GDP growth
</t>
        </r>
      </text>
    </comment>
    <comment ref="O129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P132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</commentList>
</comments>
</file>

<file path=xl/comments4.xml><?xml version="1.0" encoding="utf-8"?>
<comments xmlns="http://schemas.openxmlformats.org/spreadsheetml/2006/main">
  <authors>
    <author>Matthew Bell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Matthew Bell:</t>
        </r>
        <r>
          <rPr>
            <sz val="9"/>
            <color indexed="81"/>
            <rFont val="Tahoma"/>
            <family val="2"/>
          </rPr>
          <t xml:space="preserve">
$252 million removed for Child Support recoveries offset from non-Benefit Social security &amp; Welfare expenditure</t>
        </r>
      </text>
    </comment>
    <comment ref="O85" authorId="0" shapeId="0">
      <text>
        <r>
          <rPr>
            <b/>
            <sz val="9"/>
            <color indexed="81"/>
            <rFont val="Tahoma"/>
            <family val="2"/>
          </rPr>
          <t xml:space="preserve">Matthew Bell: </t>
        </r>
        <r>
          <rPr>
            <sz val="9"/>
            <color indexed="81"/>
            <rFont val="Tahoma"/>
            <family val="2"/>
          </rPr>
          <t>$252 million removed for Child Support recoveries offset from Other Core Crown Non-Investment Income.</t>
        </r>
      </text>
    </comment>
    <comment ref="O133" authorId="0" shapeId="0">
      <text>
        <r>
          <rPr>
            <b/>
            <sz val="9"/>
            <color indexed="81"/>
            <rFont val="Tahoma"/>
            <family val="2"/>
          </rPr>
          <t>Matthew Bell:</t>
        </r>
        <r>
          <rPr>
            <sz val="9"/>
            <color indexed="81"/>
            <rFont val="Tahoma"/>
            <family val="2"/>
          </rPr>
          <t xml:space="preserve">
$200 million removed for one-off costs in last year of forecasts.</t>
        </r>
      </text>
    </comment>
    <comment ref="P135" authorId="0" shapeId="0">
      <text>
        <r>
          <rPr>
            <b/>
            <sz val="9"/>
            <color indexed="81"/>
            <rFont val="Tahoma"/>
            <family val="2"/>
          </rPr>
          <t>Matthew Bell:</t>
        </r>
        <r>
          <rPr>
            <sz val="9"/>
            <color indexed="81"/>
            <rFont val="Tahoma"/>
            <family val="2"/>
          </rPr>
          <t xml:space="preserve">
$545 million removed for cessation of Treaty Claims</t>
        </r>
      </text>
    </comment>
  </commentList>
</comments>
</file>

<file path=xl/sharedStrings.xml><?xml version="1.0" encoding="utf-8"?>
<sst xmlns="http://schemas.openxmlformats.org/spreadsheetml/2006/main" count="2484" uniqueCount="1063">
  <si>
    <t>Fiscal RR addition to net worth</t>
  </si>
  <si>
    <t>Economic RR addition to revenue</t>
  </si>
  <si>
    <t>2012/13</t>
  </si>
  <si>
    <t>Tertiary Education Student Loans Analysis (SLIM)</t>
  </si>
  <si>
    <t>Males (ages in years)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</si>
  <si>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</si>
  <si>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</si>
  <si>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</si>
  <si>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</si>
  <si>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</si>
  <si>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</si>
  <si>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</si>
  <si>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</si>
  <si>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</si>
  <si>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</si>
  <si>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</si>
  <si>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</si>
  <si>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</si>
  <si>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</si>
  <si>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</si>
  <si>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</si>
  <si>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</si>
  <si>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</si>
  <si>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</si>
  <si>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</si>
  <si>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</si>
  <si>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</si>
  <si>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</si>
  <si>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</si>
  <si>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</si>
  <si>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</si>
  <si>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</si>
  <si>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</si>
  <si>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</si>
  <si>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</si>
  <si>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</si>
  <si>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</si>
  <si>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</si>
  <si>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</si>
  <si>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</si>
  <si>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</si>
  <si>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</si>
  <si>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</si>
  <si>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</si>
  <si>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</si>
  <si>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</si>
  <si>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</si>
  <si>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</si>
  <si>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</si>
  <si>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</si>
  <si>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</si>
  <si>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</si>
  <si>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</si>
  <si>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</si>
  <si>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</si>
  <si>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</si>
  <si>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</si>
  <si>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</si>
  <si>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</si>
  <si>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</si>
  <si>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</si>
  <si>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</si>
  <si>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</si>
  <si>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</si>
  <si>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</si>
  <si>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</si>
  <si>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</si>
  <si>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</si>
  <si>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</si>
  <si>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</si>
  <si>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</si>
  <si>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</si>
  <si>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</si>
  <si>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</si>
  <si>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</si>
  <si>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</si>
  <si>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</si>
  <si>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</si>
  <si>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</si>
  <si>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</si>
  <si>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</si>
  <si>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</si>
  <si>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</si>
  <si>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</si>
  <si>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</si>
  <si>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</si>
  <si>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</si>
  <si>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</si>
  <si>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</si>
  <si>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</si>
  <si>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</si>
  <si>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</si>
  <si>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</si>
  <si>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</si>
  <si>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</si>
  <si>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 and above</t>
  </si>
  <si>
    <t>Females (ages in years)</t>
  </si>
  <si>
    <t>Total Male population (in millions)</t>
  </si>
  <si>
    <t>Total Female population (in millions)</t>
  </si>
  <si>
    <t>Total Population (in millions)</t>
  </si>
  <si>
    <t>2007/08</t>
  </si>
  <si>
    <t>2008/09</t>
  </si>
  <si>
    <t>2009/10</t>
  </si>
  <si>
    <t>2010/11</t>
  </si>
  <si>
    <t>2011/12</t>
  </si>
  <si>
    <t>2013/14</t>
  </si>
  <si>
    <t>2014/15</t>
  </si>
  <si>
    <t>2015/16</t>
  </si>
  <si>
    <t>2016/17</t>
  </si>
  <si>
    <t>KiwiSaver expense</t>
  </si>
  <si>
    <t>2017/18</t>
  </si>
  <si>
    <t>2018/19</t>
  </si>
  <si>
    <t>Provision for Kyoto</t>
  </si>
  <si>
    <t>Economic RR addition to expenses ex finance costs</t>
  </si>
  <si>
    <t>Economic RR annual addition to gross debt</t>
  </si>
  <si>
    <t>Check against forecast</t>
  </si>
  <si>
    <t>Total RR addition to net worth</t>
  </si>
  <si>
    <t>Economic RR</t>
  </si>
  <si>
    <t>no</t>
  </si>
  <si>
    <t>Fiscal RR</t>
  </si>
  <si>
    <t>Nominal GDP</t>
  </si>
  <si>
    <t>CPI</t>
  </si>
  <si>
    <t>Labour force</t>
  </si>
  <si>
    <t>Unemployment  rate</t>
  </si>
  <si>
    <t>Average weekly hours</t>
  </si>
  <si>
    <t>AGE GROUP</t>
  </si>
  <si>
    <t>FEMALE</t>
  </si>
  <si>
    <t>MALE</t>
  </si>
  <si>
    <t>65 and above</t>
  </si>
  <si>
    <t>Operating Balance</t>
  </si>
  <si>
    <t>Net Worth</t>
  </si>
  <si>
    <t>NOTES TO THE FISCAL STATEMENTS</t>
  </si>
  <si>
    <t>Yes</t>
  </si>
  <si>
    <t>No</t>
  </si>
  <si>
    <t>Opening Balance</t>
  </si>
  <si>
    <t>Closing Balance</t>
  </si>
  <si>
    <t>FISCAL YEAR (JULY TO JUNE)</t>
  </si>
  <si>
    <t>Percentage change</t>
  </si>
  <si>
    <t>ANNUAL CONVERGENCE RATES</t>
  </si>
  <si>
    <t>Participation rate (15+ popn)</t>
  </si>
  <si>
    <t>Core Crown health expenditure</t>
  </si>
  <si>
    <t>Total Crown health expenditure</t>
  </si>
  <si>
    <t>Core Crown education expenditure</t>
  </si>
  <si>
    <t>Total Crown education expenditure</t>
  </si>
  <si>
    <t>Real growth of education</t>
  </si>
  <si>
    <t>Core Crown other expenses</t>
  </si>
  <si>
    <t>Closing Fund Balance</t>
  </si>
  <si>
    <t>Net December quarter average wage</t>
  </si>
  <si>
    <t>NZ Super Floor (as % of average wage)</t>
  </si>
  <si>
    <t>Net NZS for married individual (CPI-indexed 1 April)</t>
  </si>
  <si>
    <t>Average Wage floor applied to NZS growth</t>
  </si>
  <si>
    <t>SOCIAL WELFARE BENEFITS: AGE AND GENDER PROPORTIONS</t>
  </si>
  <si>
    <t>Proj Yr1</t>
  </si>
  <si>
    <t>Finance costs</t>
  </si>
  <si>
    <t>Real GDP (Base = 1995/96)</t>
  </si>
  <si>
    <t>Real GDP (production), Base = 1995/96</t>
  </si>
  <si>
    <t>Allowance for New Capital Expenditure</t>
  </si>
  <si>
    <t>Personal Taxation Elasticity (for Fiscal Drag)</t>
  </si>
  <si>
    <t>TOTAL CROWN - Operating Statement Analysis</t>
  </si>
  <si>
    <t>ASSUMPTIONS FOR SCENARIOS</t>
  </si>
  <si>
    <t>TOTAL CROWN - Balance Sheet Analysis</t>
  </si>
  <si>
    <t>CORE CROWN - Operating Statement Analysis</t>
  </si>
  <si>
    <t>CORE CROWN - Balance Sheet Analysis</t>
  </si>
  <si>
    <t>INDEXATION OF NZ SUPERANNUATION (NZS)</t>
  </si>
  <si>
    <t>Base Assumptions in Projected years</t>
  </si>
  <si>
    <t>KiwiSaver</t>
  </si>
  <si>
    <t>Use targeted corporate tax-to-GDP ratio in projections?</t>
  </si>
  <si>
    <t>Use targeted other tax-to-GDP ratio in projections?</t>
  </si>
  <si>
    <t>Entire population</t>
  </si>
  <si>
    <t>TAX TO NOMINAL GDP RATIOS</t>
  </si>
  <si>
    <t>Target % of Nominal GDP for corporate taxes</t>
  </si>
  <si>
    <t>Target % of Nominal GDP for other taxes</t>
  </si>
  <si>
    <t>If set tax-to-GDP ratios are desired in projections, use Yes. Any other choice simply uses end-of-forecast ratios.</t>
  </si>
  <si>
    <t>To apply Fiscal Drag modelling to source deductions (PAYE) tax, use Yes. Any other choice applies nominal GDP growth only.</t>
  </si>
  <si>
    <t>Adjustment rate as % of GDP for all tax types</t>
  </si>
  <si>
    <t>Growth due to demographics</t>
  </si>
  <si>
    <t>Real growth of NZS</t>
  </si>
  <si>
    <t>Total annual growth</t>
  </si>
  <si>
    <t>Social Welfare (excluding NZS)</t>
  </si>
  <si>
    <t>Core Crown non-debt liabilities</t>
  </si>
  <si>
    <t>Total Crown non-debt liabilities</t>
  </si>
  <si>
    <t>Real growth of social welfare (excluding NZS)</t>
  </si>
  <si>
    <t>Total Assets to GDP (Core Crown)</t>
  </si>
  <si>
    <t>Real growth of health</t>
  </si>
  <si>
    <t>Other Non-Finance Expenses</t>
  </si>
  <si>
    <t>Source deductions</t>
  </si>
  <si>
    <t>Other persons</t>
  </si>
  <si>
    <t>Refunds</t>
  </si>
  <si>
    <t>Fringe benefit tax</t>
  </si>
  <si>
    <t>Labour Force (millions)</t>
  </si>
  <si>
    <t>Labour productivity growth</t>
  </si>
  <si>
    <t>Average hourly wage growth (ordinary time)</t>
  </si>
  <si>
    <t>Gross Dec qtr average weekly wage (ordinary time)</t>
  </si>
  <si>
    <t>Hourly wage growth (ordinary time)</t>
  </si>
  <si>
    <t>85+</t>
  </si>
  <si>
    <t>DSS UNDER 65</t>
  </si>
  <si>
    <t xml:space="preserve">   DSS OLDER</t>
  </si>
  <si>
    <t>Age Band</t>
  </si>
  <si>
    <t>20 - 29</t>
  </si>
  <si>
    <t>30 - 39</t>
  </si>
  <si>
    <t>40 - 49</t>
  </si>
  <si>
    <t>50 - 59</t>
  </si>
  <si>
    <t>65+</t>
  </si>
  <si>
    <t>TOTAL PAYMENTS</t>
  </si>
  <si>
    <t>18 &amp;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</si>
  <si>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</si>
  <si>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</si>
  <si>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</si>
  <si>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</si>
  <si>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</si>
  <si>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</si>
  <si>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</si>
  <si>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</si>
  <si>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</si>
  <si>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Percentages of population</t>
  </si>
  <si>
    <t>Under 20 (driven by 18 &amp; 19 yr olds)</t>
  </si>
  <si>
    <t>Female population 18 &amp; 19</t>
  </si>
  <si>
    <t>Historical fiscal years</t>
  </si>
  <si>
    <t>Forecast fiscal years</t>
  </si>
  <si>
    <t>Projected fiscal years begin with</t>
  </si>
  <si>
    <t>Unemployment Benefit (UB)</t>
  </si>
  <si>
    <t>Growth due to inflation</t>
  </si>
  <si>
    <t>ECONOMIC READY RECKONER</t>
  </si>
  <si>
    <t>Male population 18 &amp; 19</t>
  </si>
  <si>
    <t>Female population 20 to 24</t>
  </si>
  <si>
    <t>Male population 20 to 24</t>
  </si>
  <si>
    <t>Female population 25 to 29</t>
  </si>
  <si>
    <t>Male population 25 to 29</t>
  </si>
  <si>
    <t>Female population 30 to 34</t>
  </si>
  <si>
    <t>Female population 35 to 39</t>
  </si>
  <si>
    <t>Male population 30 to 34</t>
  </si>
  <si>
    <t>Male population 35 to 39</t>
  </si>
  <si>
    <t>Female population 40 to 44</t>
  </si>
  <si>
    <t>Female population 45 to 49</t>
  </si>
  <si>
    <t>Female population 50 to 54</t>
  </si>
  <si>
    <t>Female population 55 to 59</t>
  </si>
  <si>
    <t>Female population 60 to 64</t>
  </si>
  <si>
    <t>Female population 65+</t>
  </si>
  <si>
    <t>Male population 40 to 44</t>
  </si>
  <si>
    <t>Male population 45 to 49</t>
  </si>
  <si>
    <t>Male population 50 to 54</t>
  </si>
  <si>
    <t>Male population 55 to 59</t>
  </si>
  <si>
    <t>Male population 60 to 64</t>
  </si>
  <si>
    <t>Male population 65+</t>
  </si>
  <si>
    <t>DATA FROM MACROFORECASTING</t>
  </si>
  <si>
    <t>Other taxes, including GST</t>
  </si>
  <si>
    <t>Total Crown tax revenue</t>
  </si>
  <si>
    <t>Average of three</t>
  </si>
  <si>
    <t>Other welfare assistance and expenses</t>
  </si>
  <si>
    <t>Allocate Capital Allowance (to Property, Plant &amp; Equipment)</t>
  </si>
  <si>
    <t>New Zealand Superannuation (NZS)</t>
  </si>
  <si>
    <t xml:space="preserve">The following input tracks are obtained from various sources both within and external to Treasury and act as exogenous inputs to the model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</si>
  <si>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</si>
  <si>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</si>
  <si>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</si>
  <si>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</si>
  <si>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</si>
  <si>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</si>
  <si>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</si>
  <si>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</si>
  <si>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</si>
  <si>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</si>
  <si>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</si>
  <si>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</si>
  <si>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</si>
  <si>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</si>
  <si>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</si>
  <si>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</si>
  <si>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</si>
  <si>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TOTAL</t>
  </si>
  <si>
    <t>PERSONAL HEALTH</t>
  </si>
  <si>
    <t xml:space="preserve">EXPENDITURE CATEGORY    </t>
  </si>
  <si>
    <t>AGE GROUP / GENDER</t>
  </si>
  <si>
    <t>MENTAL HEALTH</t>
  </si>
  <si>
    <t>PUBLIC HEALTH</t>
  </si>
  <si>
    <t>TOTAL HEALTH</t>
  </si>
  <si>
    <t>Females</t>
  </si>
  <si>
    <t>NOTE A: TAX REVENUE</t>
  </si>
  <si>
    <t>This version of the FSM uses:</t>
  </si>
  <si>
    <t>Labour Productivity growth</t>
  </si>
  <si>
    <t>CONTRIBUTIONS TO CORE CROWN EXPENSE GROWTH</t>
  </si>
  <si>
    <t>Top-down expense adjustment</t>
  </si>
  <si>
    <t>Net surplus/(deficit) from associates and joint ventures</t>
  </si>
  <si>
    <t>Operating balance before gains/(losses) OBEGAL</t>
  </si>
  <si>
    <t>Total Crown revenue (excluding gains)</t>
  </si>
  <si>
    <t>Total Crown expenses (excluding losses)</t>
  </si>
  <si>
    <t>Other sovereign revenue</t>
  </si>
  <si>
    <t>Investment revenue and dividends</t>
  </si>
  <si>
    <t>Issued Currency</t>
  </si>
  <si>
    <t>Payables</t>
  </si>
  <si>
    <t>Insurance liabilities</t>
  </si>
  <si>
    <t>Provisions</t>
  </si>
  <si>
    <t>Deferred revenue</t>
  </si>
  <si>
    <t>Cash and cash equivalents</t>
  </si>
  <si>
    <t>Marketable securities and derivatives in gain</t>
  </si>
  <si>
    <t>Share investments</t>
  </si>
  <si>
    <t>Inventory</t>
  </si>
  <si>
    <t>Prepayments and other assets</t>
  </si>
  <si>
    <t>Equity accounted investments (including TEIs)</t>
  </si>
  <si>
    <t>Top-down capital adjustment</t>
  </si>
  <si>
    <t>Intangible assets and goodwill</t>
  </si>
  <si>
    <t>Total Net Worth</t>
  </si>
  <si>
    <t>NOTE: Revenue collected through the Crown's sovereign power</t>
  </si>
  <si>
    <t>NOTE: Social assistance and official development assistance</t>
  </si>
  <si>
    <t>Repayments made during the year</t>
  </si>
  <si>
    <t>Interest unwind</t>
  </si>
  <si>
    <t>Impairment</t>
  </si>
  <si>
    <t>Other movements</t>
  </si>
  <si>
    <t>NZ Superannuation Fund</t>
  </si>
  <si>
    <t>Other Core Crown</t>
  </si>
  <si>
    <t>Core Crown cash and cash equivalents</t>
  </si>
  <si>
    <t>Core Crown receivables</t>
  </si>
  <si>
    <t>Core Crown equity accounted investments</t>
  </si>
  <si>
    <t>Total Crown receivables</t>
  </si>
  <si>
    <t>Opening net worth</t>
  </si>
  <si>
    <t>Gross contribution from the Crown</t>
  </si>
  <si>
    <r>
      <t>plus</t>
    </r>
    <r>
      <rPr>
        <sz val="10"/>
        <rFont val="Times New Roman"/>
        <family val="1"/>
      </rPr>
      <t xml:space="preserve"> Gross contribution from the Crown</t>
    </r>
  </si>
  <si>
    <t>Core Crown marketable securities, derivatives in gain and share investments</t>
  </si>
  <si>
    <t>NZ Superannuation Fund portfolio (excluding cross-holdings of Govt stock)</t>
  </si>
  <si>
    <t>Total Crown marketable securities, derivatives in gain and share investments</t>
  </si>
  <si>
    <t>Revenue (excluding gains)</t>
  </si>
  <si>
    <t>Expenses (excluding losses)</t>
  </si>
  <si>
    <t>OBEGAL (Operating Balance before Gains and Losses)</t>
  </si>
  <si>
    <t>Revenue (excluding gains) to GDP (Total Crown)</t>
  </si>
  <si>
    <t>Expenses (excluding losses) to GDP (Total Crown)</t>
  </si>
  <si>
    <t>Expenses (excluding losses) without finance costs to GDP (Total Crown)</t>
  </si>
  <si>
    <t>Expenses (excluding losses) without finance costs</t>
  </si>
  <si>
    <t>OBEGAL (Operating Balance before Gains and Losses) to GDP (Total Crown)</t>
  </si>
  <si>
    <t>Revenue (excluding gains) to GDP (Core Crown)</t>
  </si>
  <si>
    <t>Expenses (excluding losses) to GDP (Core Crown)</t>
  </si>
  <si>
    <t>Expenses (excluding losses) without finance costs to GDP (Core Crown)</t>
  </si>
  <si>
    <t>Corporate tax</t>
  </si>
  <si>
    <t>Sales of goods and services</t>
  </si>
  <si>
    <t>Other revenue</t>
  </si>
  <si>
    <t>Social security and welfare</t>
  </si>
  <si>
    <t>GSF pension expenses</t>
  </si>
  <si>
    <t>Core Crown tax revenue</t>
  </si>
  <si>
    <t>Total Crown investment income</t>
  </si>
  <si>
    <t>ACC portfolio</t>
  </si>
  <si>
    <t>EQC portfolio</t>
  </si>
  <si>
    <t>Advances</t>
  </si>
  <si>
    <t>Receivables</t>
  </si>
  <si>
    <t>Borrowings - sovereign guaranteed</t>
  </si>
  <si>
    <t>Borrowings - non-sovereign guaranteed</t>
  </si>
  <si>
    <t>ASSUMPTIONS THAT ALTER FORECAST YEARS</t>
  </si>
  <si>
    <t>ALLOCATION OF OPERATING &amp; CAPITAL ALLOWANCES</t>
  </si>
  <si>
    <t>Allocate Operating Allowance</t>
  </si>
  <si>
    <t>% allocated to Health</t>
  </si>
  <si>
    <t>% allocated to Education</t>
  </si>
  <si>
    <t>Demographic Growth</t>
  </si>
  <si>
    <t>FISCAL INDICATOR AS % OF NOMINAL GDP (SELECT FROM BOX)</t>
  </si>
  <si>
    <t>Operating Balance to GDP (Total Crown)</t>
  </si>
  <si>
    <t>Total Assets to GDP (Total Crown)</t>
  </si>
  <si>
    <t>Fiscal Indicator as % of Nominal GDP</t>
  </si>
  <si>
    <t>Operating Balance to GDP (Core Crown)</t>
  </si>
  <si>
    <t>Transport and communications</t>
  </si>
  <si>
    <t>Economic and industrial services</t>
  </si>
  <si>
    <t>Primary services</t>
  </si>
  <si>
    <t>Heritage, culture and recreation</t>
  </si>
  <si>
    <t>Housing and community development</t>
  </si>
  <si>
    <t>Core government services</t>
  </si>
  <si>
    <t>Law and order</t>
  </si>
  <si>
    <t>Allowance for New Operating Initiatives</t>
  </si>
  <si>
    <t>Taxation revenue</t>
  </si>
  <si>
    <t xml:space="preserve">09/10 </t>
  </si>
  <si>
    <t>Total Crown expenses by functional classification</t>
  </si>
  <si>
    <t>INDEX</t>
  </si>
  <si>
    <t>FISCAL READY RECKONER</t>
  </si>
  <si>
    <t>FORECAST YEARS</t>
  </si>
  <si>
    <t>Enter new fiscal variables as additions, in $ millions, to the current forecasts.</t>
  </si>
  <si>
    <t>Use negative values for subtractions. Leave entry as zero for unchanged variables.</t>
  </si>
  <si>
    <t>Additions to revenue or expenses apply to the year of addition only.</t>
  </si>
  <si>
    <t>Additions to expenses via operating allowance</t>
  </si>
  <si>
    <t>Additions to assets or liabilities apply not only to that year, but to each following year also.</t>
  </si>
  <si>
    <t>Additions to financial assets</t>
  </si>
  <si>
    <t>Additions to other assets via capital allowance</t>
  </si>
  <si>
    <t>Additions to liabilities other than debt</t>
  </si>
  <si>
    <t>Calculated adjustment factors</t>
  </si>
  <si>
    <t>All figures in this section are calculated by formula.</t>
  </si>
  <si>
    <t>SCENARIO CALCULATIONS</t>
  </si>
  <si>
    <t>Forecast new operating spending</t>
  </si>
  <si>
    <t>GSF Gross Assets</t>
  </si>
  <si>
    <t>Property, plant and equipment</t>
  </si>
  <si>
    <t>Forecast new capital spending</t>
  </si>
  <si>
    <t>Total assets</t>
  </si>
  <si>
    <t>Total liabilities</t>
  </si>
  <si>
    <t>PROJECTED STATEMENT OF FINANCIAL PERFORMANCE</t>
  </si>
  <si>
    <t>PROJECTED STATEMENT OF FINANCIAL POSITION</t>
  </si>
  <si>
    <t>ECONOMIC PROJECTIONS ($BILLION, JUNE YEARS)</t>
  </si>
  <si>
    <t>NZS Fund investment income</t>
  </si>
  <si>
    <t>Student loans</t>
  </si>
  <si>
    <t>Total social security and welfare expense</t>
  </si>
  <si>
    <t>Core Crown expenses by functional classification</t>
  </si>
  <si>
    <t>Core Crown investment income</t>
  </si>
  <si>
    <r>
      <t xml:space="preserve">MODEL ASSUMPTIONS FROM 'SCENARIOS' COLUMN </t>
    </r>
    <r>
      <rPr>
        <b/>
        <sz val="12"/>
        <rFont val="Arial"/>
        <family val="2"/>
      </rPr>
      <t>→</t>
    </r>
  </si>
  <si>
    <t>NOTE N: STUDENT LOANS</t>
  </si>
  <si>
    <r>
      <t>plus</t>
    </r>
    <r>
      <rPr>
        <sz val="10"/>
        <rFont val="Times New Roman"/>
        <family val="1"/>
      </rPr>
      <t xml:space="preserve"> Crown Entity (CE) &amp; State-owned Entity (SOE) property, plant and equipment</t>
    </r>
  </si>
  <si>
    <t>Core Crown non-financial assets excluding property, plant and equipment</t>
  </si>
  <si>
    <t>Total Crown non-financial assets excluding property, plant and equipment</t>
  </si>
  <si>
    <t>NOTE S: NON-DEBT LIABILITIES</t>
  </si>
  <si>
    <r>
      <t xml:space="preserve">plus </t>
    </r>
    <r>
      <rPr>
        <sz val="10"/>
        <rFont val="Times New Roman"/>
        <family val="1"/>
      </rPr>
      <t>Eliminations from Core Crown borrowings - sovereign guaranteed</t>
    </r>
  </si>
  <si>
    <t>Core Crown Gross Debt</t>
  </si>
  <si>
    <t>Gross sovereign-issued debt (GSID)</t>
  </si>
  <si>
    <t>ACC payment weights</t>
  </si>
  <si>
    <t>New Zealand Superannuation Fund (NZSF)</t>
  </si>
  <si>
    <t>ACC COST WEIGHTS FOR PAYMENTS TO CLAIMANTS</t>
  </si>
  <si>
    <t>OPERATING &amp; CAPITAL PROVISION</t>
  </si>
  <si>
    <t>GROWTH RATES OF PROVISIONS</t>
  </si>
  <si>
    <t>Growth Rate of Operating Provision</t>
  </si>
  <si>
    <t>Growth Rate of Capital Provision</t>
  </si>
  <si>
    <t>Core Crown social security and welfare</t>
  </si>
  <si>
    <t>FISCAL DRAG</t>
  </si>
  <si>
    <t>NZ Superannuation</t>
  </si>
  <si>
    <t>Unemployment benefit</t>
  </si>
  <si>
    <t>Domestic purposes benefit</t>
  </si>
  <si>
    <t>NOTE: Student loans</t>
  </si>
  <si>
    <t>Invalids benefit</t>
  </si>
  <si>
    <t>Sickness benefit</t>
  </si>
  <si>
    <t>Total Crown other expenses</t>
  </si>
  <si>
    <t>Put in amounts, in $ billion, for first projected year values of the Operating and Capital Allowances.</t>
  </si>
  <si>
    <t>These are the economic variables most often altered in scenarios, especially the labour productivity growth in projected years.</t>
  </si>
  <si>
    <t>For annual growth equal to that of Nominal GDP, use GDP. For annual growth equal to that of inflation, use CPI.</t>
  </si>
  <si>
    <t>Present policy ensures NZS stays above a set % of average wage. To model this, use Yes.</t>
  </si>
  <si>
    <t>To model NZS expenditure in projected years with just CPI growth and no wage floor, use No.</t>
  </si>
  <si>
    <t xml:space="preserve">Allocating the Operating Allowance enables individual expenditure categories to be grown. The remaining % allocation goes to </t>
  </si>
  <si>
    <t>Allocating the Capital Allowances enables individual asset classes to be grown.</t>
  </si>
  <si>
    <t>Core Crown finance costs (including exchange rate losses/[gains])</t>
  </si>
  <si>
    <t>Total Crown finance costs (including exchange rate losses/[gains])</t>
  </si>
  <si>
    <t>Real growth of other non-finance cost expenses</t>
  </si>
  <si>
    <t>SCENARIO NAME:</t>
  </si>
  <si>
    <t>KEY ECONOMIC ASSUMPTIONS</t>
  </si>
  <si>
    <t>Labour Productivity Growth</t>
  </si>
  <si>
    <t>Inflation Rate</t>
  </si>
  <si>
    <t>KEY FISCAL POLICY ASSUMPTIONS</t>
  </si>
  <si>
    <t>Include Fiscal Drag</t>
  </si>
  <si>
    <t>Health</t>
  </si>
  <si>
    <t>Defence</t>
  </si>
  <si>
    <t>Other</t>
  </si>
  <si>
    <t>Unemployment Rate</t>
  </si>
  <si>
    <t>Males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</si>
  <si>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</si>
  <si>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</si>
  <si>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</si>
  <si>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</si>
  <si>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</si>
  <si>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</si>
  <si>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</si>
  <si>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</si>
  <si>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</si>
  <si>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</si>
  <si>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</si>
  <si>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</si>
  <si>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</si>
  <si>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</si>
  <si>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</si>
  <si>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</si>
  <si>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</si>
  <si>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</si>
  <si>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</si>
  <si>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</si>
  <si>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</si>
  <si>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</si>
  <si>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</si>
  <si>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</si>
  <si>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</si>
  <si>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</si>
  <si>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</si>
  <si>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</si>
  <si>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</si>
  <si>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</si>
  <si>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</si>
  <si>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</si>
  <si>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</si>
  <si>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</si>
  <si>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</si>
  <si>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</si>
  <si>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</si>
  <si>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</si>
  <si>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</si>
  <si>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</si>
  <si>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</si>
  <si>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</si>
  <si>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</si>
  <si>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</si>
  <si>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</si>
  <si>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</si>
  <si>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</si>
  <si>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</si>
  <si>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</si>
  <si>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50/51</t>
  </si>
  <si>
    <t>51/52</t>
  </si>
  <si>
    <t>52/53</t>
  </si>
  <si>
    <t>53/54</t>
  </si>
  <si>
    <t>GSF Liability (gross discount)</t>
  </si>
  <si>
    <t>54/55</t>
  </si>
  <si>
    <t>55/56</t>
  </si>
  <si>
    <t>56/57</t>
  </si>
  <si>
    <t>57/58</t>
  </si>
  <si>
    <t>58/59</t>
  </si>
  <si>
    <t>59/60</t>
  </si>
  <si>
    <t>60/61</t>
  </si>
  <si>
    <t>61/62</t>
  </si>
  <si>
    <t>62/63</t>
  </si>
  <si>
    <t>65/64</t>
  </si>
  <si>
    <t>64/65</t>
  </si>
  <si>
    <t>65/66</t>
  </si>
  <si>
    <t>66/67</t>
  </si>
  <si>
    <t>67/68</t>
  </si>
  <si>
    <t>Fiscal Forecasts</t>
  </si>
  <si>
    <t>Economic Forecasts</t>
  </si>
  <si>
    <t>Benefit Forecasts</t>
  </si>
  <si>
    <t>NZ Superannuation Fund (NZSF)</t>
  </si>
  <si>
    <t>Government Superannuation Fund (GSF)</t>
  </si>
  <si>
    <t>Student Loans Track (TESLA)</t>
  </si>
  <si>
    <t>Health Weights</t>
  </si>
  <si>
    <t>Employment (= LF x (1-Unemployment rate)) (millions)</t>
  </si>
  <si>
    <t>Capital contribution</t>
  </si>
  <si>
    <t>CHECKS: CALCULATIONS COMPARED TO ACTUALS &amp; FORECASTS</t>
  </si>
  <si>
    <t>Core Crown Operating Balance</t>
  </si>
  <si>
    <r>
      <t xml:space="preserve">Total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</si>
  <si>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 xml:space="preserve">Core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</si>
  <si>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>plus</t>
    </r>
    <r>
      <rPr>
        <sz val="10"/>
        <rFont val="Times New Roman"/>
        <family val="1"/>
      </rPr>
      <t xml:space="preserve"> Elimination</t>
    </r>
  </si>
  <si>
    <t>NOTE B: OTHER NON-INVESTMENT INCOME</t>
  </si>
  <si>
    <t>Total Crown other non-investment income</t>
  </si>
  <si>
    <t>Core Crown other non-investment income</t>
  </si>
  <si>
    <t>NOTE C: INVESTMENT INCOME</t>
  </si>
  <si>
    <t>Gross earnings on fund assets</t>
  </si>
  <si>
    <t>Tax paid on earnings on fund assets</t>
  </si>
  <si>
    <t>GSF Pension Expense</t>
  </si>
  <si>
    <t>(Billions of $NZ)</t>
  </si>
  <si>
    <t>(Millions of $NZ)</t>
  </si>
  <si>
    <t>Invalids Benefit</t>
  </si>
  <si>
    <t>Sickness Benefit</t>
  </si>
  <si>
    <t>Education</t>
  </si>
  <si>
    <t>Domestic Purposes</t>
  </si>
  <si>
    <t>Other Core Crown holdings</t>
  </si>
  <si>
    <t>READY RECKONER (RR)</t>
  </si>
  <si>
    <t>Ready Reckoner match to forecast years</t>
  </si>
  <si>
    <t>Fiscal RR addition to investment income</t>
  </si>
  <si>
    <t>Fiscal RR addition to expenses ex finance costs, via operating allowance</t>
  </si>
  <si>
    <t>Fiscal RR annual addition to gross debt</t>
  </si>
  <si>
    <t>Fiscal RR addition to financial assets</t>
  </si>
  <si>
    <t>Fiscal RR addition to other assets, via capital allowance</t>
  </si>
  <si>
    <t>Fiscal RR addition to liabilities other than debt</t>
  </si>
  <si>
    <t>Forecast for future new spending</t>
  </si>
  <si>
    <t>Borrowings</t>
  </si>
  <si>
    <t>Retirement plan liabilities</t>
  </si>
  <si>
    <t>Total Sovereign-Guaranteed Debt</t>
  </si>
  <si>
    <t>Core Crown borrowings (includes DMO &amp; RB trade settlements)</t>
  </si>
  <si>
    <t>Net core Crown debt, where financial assets subtracted exclude those of NZS Fund</t>
  </si>
  <si>
    <t>Changes to DMO borrowing due to settlement cash</t>
  </si>
  <si>
    <t>Core Crown intangible assets and goodwill</t>
  </si>
  <si>
    <t>KiwiSaver subsidies</t>
  </si>
  <si>
    <t>Nominal value (including accrued interest)</t>
  </si>
  <si>
    <t>Opening book value</t>
  </si>
  <si>
    <t>Initial fair value write down on new borrowings</t>
  </si>
  <si>
    <t>Revenue</t>
  </si>
  <si>
    <t>Other expenses</t>
  </si>
  <si>
    <t>Tax expenses</t>
  </si>
  <si>
    <t>Gains/(losses)</t>
  </si>
  <si>
    <t>Other movements in reserves</t>
  </si>
  <si>
    <t>NOTE: Provisions</t>
  </si>
  <si>
    <t>Total Corporate Tax</t>
  </si>
  <si>
    <t>Total Other Income Tax</t>
  </si>
  <si>
    <t>Total Goods and Services Tax (GST)</t>
  </si>
  <si>
    <t>√</t>
  </si>
  <si>
    <t>FORECAST STATEMENT OF FINANCIAL PERFORMANCE</t>
  </si>
  <si>
    <t>Total Gains/(Losses) plus Net Surplus/(Deficit) from associates &amp; joint ventures</t>
  </si>
  <si>
    <t>FORECAST STATEMENT OF SEGMENTS - CORE CROWN DATA</t>
  </si>
  <si>
    <t>Interest revenue and dividends</t>
  </si>
  <si>
    <t>Total Gains/(losses)</t>
  </si>
  <si>
    <t>Gain/(loss) from discontinued operations</t>
  </si>
  <si>
    <t>CHECK: Total = Taxation Revenue in Financial Performance Statement</t>
  </si>
  <si>
    <t>CHECK: CC Operating Balance = Revenue - Expenses + Gains and Surpluses</t>
  </si>
  <si>
    <t>Other financial assets</t>
  </si>
  <si>
    <t>Property, plant &amp; equipment</t>
  </si>
  <si>
    <t>Equity accounted investments</t>
  </si>
  <si>
    <t>Other assets</t>
  </si>
  <si>
    <t>Total Core Crown Assets</t>
  </si>
  <si>
    <t>Total Core Crown Revenue excluding gains</t>
  </si>
  <si>
    <t>Other Liabilities</t>
  </si>
  <si>
    <t>Total Core Crown Liabilities</t>
  </si>
  <si>
    <t>CHECK: CC Net Worth = Assets - Liabilities</t>
  </si>
  <si>
    <t>Attributable to minority interest</t>
  </si>
  <si>
    <t>CHECK: Operating Balance = Revenue - Expenses + Gains and Surpluses</t>
  </si>
  <si>
    <t>Core Crown Expenses excluding losses</t>
  </si>
  <si>
    <t>FORECAST STATEMENT OF FINANCIAL POSITION</t>
  </si>
  <si>
    <t>CHECK: Net Worth = Total Assets - Total Liabilities</t>
  </si>
  <si>
    <t>FORECAST STATEMENT OF BORROWINGS</t>
  </si>
  <si>
    <t>NZS Fund holdings of sovereign-issued debt and NZS Fund borrowings</t>
  </si>
  <si>
    <t>CHECK: GSID ex RB cash = CC borrowings + NZSF debt - RB cash + Chgs DMO borrow</t>
  </si>
  <si>
    <t xml:space="preserve">Crown Entities </t>
  </si>
  <si>
    <t xml:space="preserve">State-owned Enterprises </t>
  </si>
  <si>
    <t>Inter-segment Eliminations</t>
  </si>
  <si>
    <t>CHECK: Total Crown - Core Crown = CE + SOE - Elimination</t>
  </si>
  <si>
    <t>NOTE D: SOCIAL SECURITY AND WELFARE</t>
  </si>
  <si>
    <t>Crown entity social welfare (mainly ACC related), including eliminations</t>
  </si>
  <si>
    <t>% allocated to Law and order</t>
  </si>
  <si>
    <t>% allocated to Defence</t>
  </si>
  <si>
    <t>NOTE D.1: NZS PARAMETERS</t>
  </si>
  <si>
    <t>NOTE H: FINANCE COSTS (INCLUDES NET EXCHANGE LOSSES/[GAINS])</t>
  </si>
  <si>
    <t>Denotes cell picked up from Data worksheet for Actual &amp; Forecast years</t>
  </si>
  <si>
    <t>Used in 'Other taxes' total</t>
  </si>
  <si>
    <t>Denotes this cell directly referenced by itself in main model</t>
  </si>
  <si>
    <t>TC means Total Crown, CC means Core Crown, CE means Crown Entity, SOE means State-owned Enterprise</t>
  </si>
  <si>
    <t>Used in TC 'Total Gains/(Losses) plus Net Surplus/(Deficit) from associates &amp; joint ventures' total</t>
  </si>
  <si>
    <t>Total Crown Operating Balance</t>
  </si>
  <si>
    <t>Used in CC 'Total Gains/(Losses) plus Net Surplus/(Deficit) from associates &amp; joint ventures' total</t>
  </si>
  <si>
    <t>CHECK:Net CC debt ex NZSF asset=CC borrow+NZSF debt-CC fin asset+NZSF fin asset</t>
  </si>
  <si>
    <r>
      <rPr>
        <i/>
        <sz val="10"/>
        <rFont val="Times New Roman"/>
        <family val="1"/>
      </rPr>
      <t xml:space="preserve">add back </t>
    </r>
    <r>
      <rPr>
        <sz val="10"/>
        <rFont val="Times New Roman"/>
        <family val="1"/>
      </rPr>
      <t>NZS Fund financial assets</t>
    </r>
  </si>
  <si>
    <t>Used in TC 'Other non-investment income' total</t>
  </si>
  <si>
    <t>Used in CC 'Other non-investment income' total</t>
  </si>
  <si>
    <t>Used in 'CE &amp; SOE investment income' total</t>
  </si>
  <si>
    <t>Only used as check to 'Tax' note below</t>
  </si>
  <si>
    <t>Only used as check to 'Interest Revenue and Dividends' note below</t>
  </si>
  <si>
    <t>DATA FROM NEW ZEALAND SUPERANNUATION MODEL</t>
  </si>
  <si>
    <t>Used in TC 'Other Expenses' total</t>
  </si>
  <si>
    <t>Only used in summation as identical to Core Crown value</t>
  </si>
  <si>
    <t>Used in CHECK in main model</t>
  </si>
  <si>
    <t>NOTE J: CASH AND CASH EQUIVALENTS AND RECEIVABLES</t>
  </si>
  <si>
    <t>Total Crown cash and cash equivalents</t>
  </si>
  <si>
    <t>UNPUBLISHED SEGMENT ACCOUNTS - CORE CROWN DATA</t>
  </si>
  <si>
    <t>CHECK: CC Other financial assets (Segments) = Mktble Sec + Share Invest + Advances</t>
  </si>
  <si>
    <t>NOTE K: MARKETABLE SECURITIES, DERIVATIVES &amp; SHARE INVESTMENTS</t>
  </si>
  <si>
    <t>NOTE: Interest revenue and Dividends</t>
  </si>
  <si>
    <t>NOTE: Financial assets by portfolio</t>
  </si>
  <si>
    <t>Other Crown Entities</t>
  </si>
  <si>
    <t>CHECK: Total = Cash+Recvbl+Mkt sec+Shares+Advs in Financial Position Statement</t>
  </si>
  <si>
    <r>
      <t>plus</t>
    </r>
    <r>
      <rPr>
        <sz val="10"/>
        <rFont val="Times New Roman"/>
        <family val="1"/>
      </rPr>
      <t xml:space="preserve"> Crown Entities marketable securities, derivatives in gain &amp; share investments</t>
    </r>
  </si>
  <si>
    <r>
      <t>plus</t>
    </r>
    <r>
      <rPr>
        <sz val="10"/>
        <rFont val="Times New Roman"/>
        <family val="1"/>
      </rPr>
      <t xml:space="preserve"> SOEs marketable securities, derivatives in gain &amp; share investments</t>
    </r>
  </si>
  <si>
    <t>Amount borrowed in the year</t>
  </si>
  <si>
    <t>Closing book value</t>
  </si>
  <si>
    <t>CHECK: Clos bk val = Op bk val+Borr- FV w-d -Repay+Int unwind-Impair+Oth mvt</t>
  </si>
  <si>
    <t>NOTE: New Zealand Superannuation Fund</t>
  </si>
  <si>
    <t>Closing net worth</t>
  </si>
  <si>
    <t>CHECK: Clos net wth = Op net wth +Rev -Oth exp -Tax +Gain/loss +Contrib +Oth mvt</t>
  </si>
  <si>
    <t>Eliminated NZS Fund expenses removed to calculate OBEGAL excl NZSF</t>
  </si>
  <si>
    <r>
      <t>plus</t>
    </r>
    <r>
      <rPr>
        <sz val="10"/>
        <rFont val="Times New Roman"/>
        <family val="1"/>
      </rPr>
      <t xml:space="preserve"> Revenue</t>
    </r>
  </si>
  <si>
    <r>
      <t>less</t>
    </r>
    <r>
      <rPr>
        <sz val="10"/>
        <rFont val="Times New Roman"/>
        <family val="1"/>
      </rPr>
      <t xml:space="preserve"> Tax expense</t>
    </r>
  </si>
  <si>
    <r>
      <t>less</t>
    </r>
    <r>
      <rPr>
        <sz val="10"/>
        <rFont val="Times New Roman"/>
        <family val="1"/>
      </rPr>
      <t xml:space="preserve"> Other expenses</t>
    </r>
  </si>
  <si>
    <r>
      <t>plus</t>
    </r>
    <r>
      <rPr>
        <sz val="10"/>
        <rFont val="Times New Roman"/>
        <family val="1"/>
      </rPr>
      <t xml:space="preserve"> Other movements in reserves</t>
    </r>
  </si>
  <si>
    <r>
      <t>plus</t>
    </r>
    <r>
      <rPr>
        <sz val="10"/>
        <rFont val="Times New Roman"/>
        <family val="1"/>
      </rPr>
      <t xml:space="preserve"> Gains/(losses)</t>
    </r>
  </si>
  <si>
    <t>NOTE L: NEW ZEALAND SUPERANNUATION FUND (NZSF)</t>
  </si>
  <si>
    <t>NOTE D.2: ACC PAYMENTS DEMOGRAPHIC DRIVER (USES COST WEIGHTS)</t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</si>
  <si>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Amount borrowed in the year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</si>
  <si>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Initial fair value write down on new borrowings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</si>
  <si>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Repayments made during the year</t>
    </r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</si>
  <si>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Interest unwind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</si>
  <si>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Impairment</t>
    </r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</si>
  <si>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Other movements</t>
    </r>
  </si>
  <si>
    <t>Other Core Crown investment income</t>
  </si>
  <si>
    <t>SOE &amp; CE investment income (including inter-segment eliminations)</t>
  </si>
  <si>
    <r>
      <t>plus</t>
    </r>
    <r>
      <rPr>
        <sz val="10"/>
        <rFont val="Times New Roman"/>
        <family val="1"/>
      </rPr>
      <t xml:space="preserve"> NZS Fund holdings of sovereign-issued debt and NZS Fund borrowings</t>
    </r>
  </si>
  <si>
    <t>Provision for ETS credits</t>
  </si>
  <si>
    <t>ETS revenue</t>
  </si>
  <si>
    <t>ETS expenses</t>
  </si>
  <si>
    <t>NOTE M: ADVANCES</t>
  </si>
  <si>
    <t>Student Loans</t>
  </si>
  <si>
    <t>Core Crown advances</t>
  </si>
  <si>
    <t>Revenue from Emission Trading Scheme</t>
  </si>
  <si>
    <t>Other Core Crown non-investment income</t>
  </si>
  <si>
    <t>Total Crown advances</t>
  </si>
  <si>
    <t>NZS Fund financial assets</t>
  </si>
  <si>
    <t>NOTE L.1: OTHER NZS FUND PARAMETERS</t>
  </si>
  <si>
    <t>NOTE O: PROPERTY, PLANT &amp; EQUIPMENT</t>
  </si>
  <si>
    <t>NOTE Q: OTHER NON-FINANCIAL ASSETS</t>
  </si>
  <si>
    <t>NOTE R: EMISSION TRADING SCHEME (ETS) &amp; KYOTO PROTOCOL</t>
  </si>
  <si>
    <t>Government Superannuation Fund</t>
  </si>
  <si>
    <t>Provisions for Kyoto &amp; ETS credits</t>
  </si>
  <si>
    <t>Other Core Crown non-debt liabilities</t>
  </si>
  <si>
    <t>NOTE: Insurance Liabilities</t>
  </si>
  <si>
    <t>ACC liability</t>
  </si>
  <si>
    <t>EQC liability</t>
  </si>
  <si>
    <t>Other insurance liabilities</t>
  </si>
  <si>
    <t>CHECK: ACC+EQC+Other ins liab =Insurance Liabilities in Fincl Position Statement</t>
  </si>
  <si>
    <r>
      <t>plus</t>
    </r>
    <r>
      <rPr>
        <sz val="10"/>
        <rFont val="Times New Roman"/>
        <family val="1"/>
      </rPr>
      <t xml:space="preserve"> Insurance liabilities (dominated by ACC)</t>
    </r>
  </si>
  <si>
    <r>
      <t>plus</t>
    </r>
    <r>
      <rPr>
        <sz val="10"/>
        <rFont val="Times New Roman"/>
        <family val="1"/>
      </rPr>
      <t xml:space="preserve"> Other Non-Core Crown non-debt liabilities</t>
    </r>
  </si>
  <si>
    <t>NOTE T: DEBT, INCLUDING THE GSID INDICATOR</t>
  </si>
  <si>
    <t>Total Non-Sovereign-Guaranteed Debt</t>
  </si>
  <si>
    <t>CHECK: Sov-Guar Debt + Non-Sov-Guar Debt = Borrowings in Fncl Position Statement</t>
  </si>
  <si>
    <t>NOTE T.1: RB SETTLEMENT CASH EXCLUDED FROM GSID</t>
  </si>
  <si>
    <t>Taxation Revenue</t>
  </si>
  <si>
    <t>Liabilities excluding Total Borrowings</t>
  </si>
  <si>
    <t>Core Crown Borrowings</t>
  </si>
  <si>
    <t>Liabilities excluding Core Crown Borrowings</t>
  </si>
  <si>
    <t>Net Core Crown debt (excluding NZS Fund)</t>
  </si>
  <si>
    <t>Taxation Revenue to GDP (Total Crown)</t>
  </si>
  <si>
    <t>Taxation Revenue to GDP (Core Crown)</t>
  </si>
  <si>
    <t>Total Assets</t>
  </si>
  <si>
    <t>Total Borrowings (Gross Debt) to GDP (Total Crown)</t>
  </si>
  <si>
    <t>Total Borrowings (Gross Debt)</t>
  </si>
  <si>
    <t>Liabilities excluding Total Borrowings to GDP (Total Crown)</t>
  </si>
  <si>
    <t>Total Net Worth to GDP (Total Crown)</t>
  </si>
  <si>
    <t>Core Crown Borrowings to GDP (Core Crown)</t>
  </si>
  <si>
    <t>Liabilities excluding Core Crown Borrowings to GDP (Core Crown)</t>
  </si>
  <si>
    <t>Total Net Worth to GDP (Core Crown)</t>
  </si>
  <si>
    <t>Core Crown financial assets excluding receivables excluded from Net Debt measure</t>
  </si>
  <si>
    <r>
      <t>less</t>
    </r>
    <r>
      <rPr>
        <sz val="10"/>
        <rFont val="Times New Roman"/>
        <family val="1"/>
      </rPr>
      <t xml:space="preserve"> DMO &amp; RBNZ Trade Settlements incl. in GSID</t>
    </r>
  </si>
  <si>
    <t>Non-tax expenses of NZS Fund after elimination</t>
  </si>
  <si>
    <t>Not actually referenced at all, as calculated in model and check uses operating balance</t>
  </si>
  <si>
    <t>Gross December quarter average wage ($ per week)</t>
  </si>
  <si>
    <t>All monetary values, unless otherwise stated, are in units of billions of $NZ</t>
  </si>
  <si>
    <t>Net (of tax) December quarter average wage ($ per week)</t>
  </si>
  <si>
    <t>Net NZS married individual ($ per week)</t>
  </si>
  <si>
    <t>Used in TC 'Marketable securities, derivatives in gain and share investments' total</t>
  </si>
  <si>
    <t>Used in TC 'Non-financial assets excluding property, plant and equipment' total</t>
  </si>
  <si>
    <t>Used in TC 'Other Non-Core Crown non-debt liabilities' total</t>
  </si>
  <si>
    <t>Only used as check to 'Forecast Statement of Borrowings' below</t>
  </si>
  <si>
    <t>Used in CHECK in main model and in this 'Forecast Statement of Financial Position'</t>
  </si>
  <si>
    <t>Used in calculation of 'Core Crown financial assets excluding receivables excluded from Net Debt measure'</t>
  </si>
  <si>
    <t>Used in CHECK in main model and in this 'Forecast Statement of Borrowings'</t>
  </si>
  <si>
    <t>Used in calculation of 'NOTE T.1: RB SETTLEMENT CASH EXCLUDED FROM GSID'</t>
  </si>
  <si>
    <t>Only used as check in this 'Forecast Statement of Borrowings'</t>
  </si>
  <si>
    <t>Used in calculation of 'Core Crown marketable securities, derivatives in gain and share investments'</t>
  </si>
  <si>
    <t>Used in 'Core Crown Core Crown other assets including top-down capital adjustment' total</t>
  </si>
  <si>
    <t>Used in calculation of 'DMO &amp; RBNZ Trade Settlements incl. in GSID'</t>
  </si>
  <si>
    <t>Used in calculation of 'Other Core Crown non-debt liabilities'</t>
  </si>
  <si>
    <t>Used in CHECK in main model and in this 'Forecast Statement of Segments'</t>
  </si>
  <si>
    <t>Used in calculation of all components of CC 'Marketable securities, derivatives in gain and share investments'</t>
  </si>
  <si>
    <t>Used in calculation of all components of TC 'Marketable securities, derivatives in gain and share investments'</t>
  </si>
  <si>
    <t>Only used as check on next row</t>
  </si>
  <si>
    <t xml:space="preserve">First year used to start in model but otherwise just used as check to closing book value below </t>
  </si>
  <si>
    <t xml:space="preserve">First year used to start in model but otherwise just used as check to closing net worth below </t>
  </si>
  <si>
    <t>Used in 'Insurance liabilities (dominated by ACC)' total</t>
  </si>
  <si>
    <t>Only used in check on next row</t>
  </si>
  <si>
    <t>Used directly for GSF liability and in TC 'Other Non-Core Crown non-debt liabilities' total</t>
  </si>
  <si>
    <t>CHECK: Provision for ETS credits = Cumulative sum of (ETS expenses - ETS revenue)</t>
  </si>
  <si>
    <t>Only used as check on 'Other financial assets' in 'Forecast Statement of Segments'</t>
  </si>
  <si>
    <t>Government 5-year Bond Rate</t>
  </si>
  <si>
    <t>Average Weekly Hours Worked</t>
  </si>
  <si>
    <t>Additions to source deductions tax revenue</t>
  </si>
  <si>
    <t>Additions to corporate tax revenue</t>
  </si>
  <si>
    <t>Fiscal RR addition to tax revenue via source deductions</t>
  </si>
  <si>
    <t>Fiscal RR addition to tax revenue via corporate tax</t>
  </si>
  <si>
    <t>Fiscal RR addition to operating balance</t>
  </si>
  <si>
    <t>Fiscal RR annual addition to gross debt excluding finance costs</t>
  </si>
  <si>
    <t>Fiscal RR total addition to gross debt</t>
  </si>
  <si>
    <t>Economic RR addition to operating balance</t>
  </si>
  <si>
    <t>Total RR addition to operating balance</t>
  </si>
  <si>
    <t>Total RR addition to gross debt</t>
  </si>
  <si>
    <t>NZS Fund addition to investment income</t>
  </si>
  <si>
    <t>NZS Fund addition to total gains/(losses)</t>
  </si>
  <si>
    <t>NZS Fund addition to operating balance</t>
  </si>
  <si>
    <t>NZS Fund addition to gross debt</t>
  </si>
  <si>
    <t>NZS Fund addition to net worth</t>
  </si>
  <si>
    <t>Fiscal RR addition to expenses ex finance costs via New Zealand Superannuation</t>
  </si>
  <si>
    <t>Fiscal RR addition to expenses ex finance costs via other social welfare</t>
  </si>
  <si>
    <t>NZS Fund RR</t>
  </si>
  <si>
    <t>As the operating allowance is cumulative, additions to any year apply to future years too.</t>
  </si>
  <si>
    <t>NEW ZEALAND SUPERANNUATION FUND READY RECKONER</t>
  </si>
  <si>
    <t>ALTERNATIVE NZS FUND TRACK</t>
  </si>
  <si>
    <t>NZS Fund addition to tax (only affects Fund balance, as eliminated from tax)</t>
  </si>
  <si>
    <t>NZSF addn to contributions (only affects Fund balance, as total asset impacts debt)</t>
  </si>
  <si>
    <t>NZS Fund addition to financial assets</t>
  </si>
  <si>
    <t>NZS Fund addition to non-financial assets</t>
  </si>
  <si>
    <t>Fiscal RR total addition to net debt (excluding NZS Fund financial assets)</t>
  </si>
  <si>
    <t>NZS Fund addition to net debt (excluding NZS Fund financial assets)</t>
  </si>
  <si>
    <t>Total RR addition to net debt (excluding NZS Fund financial assets)</t>
  </si>
  <si>
    <t>NZSF addn to other movements in reserves (only affects Fund balance - see above)</t>
  </si>
  <si>
    <t>NZS Fund annual addition to gross debt excluding finance costs</t>
  </si>
  <si>
    <t>NZS Fund annual addition to gross debt</t>
  </si>
  <si>
    <t>Government 5-year Bond Rate (4-quarter average)</t>
  </si>
  <si>
    <t>Enter alternative economic forecasts, in $ billions as in the "Data" worksheet.</t>
  </si>
  <si>
    <t>Original economic forecasts, picked up by formula from "Data" worksheet.</t>
  </si>
  <si>
    <t>Change in 5-year Bond rate in % points</t>
  </si>
  <si>
    <t>New Zealand Debt Management Office (NZ DMO)</t>
  </si>
  <si>
    <t>Reserve Bank</t>
  </si>
  <si>
    <t>Core Crown intra-segment eliminations</t>
  </si>
  <si>
    <t>Crown Entities intra-segment eliminations</t>
  </si>
  <si>
    <t>Inter-segment eliminations</t>
  </si>
  <si>
    <t>New Zealand  Debt Management Office (DMO)</t>
  </si>
  <si>
    <t>Reserve Bank liquidity management</t>
  </si>
  <si>
    <t>Gross sovereign-issued debt excluding Reserve Bank liquidity management</t>
  </si>
  <si>
    <t>Economic base</t>
  </si>
  <si>
    <t>To get new economic base from "ReadyReckoner",</t>
  </si>
  <si>
    <t>Additions to gross NZ Superannuation expenditure</t>
  </si>
  <si>
    <t>Enter alternative net wage &amp; NZS parameters, in $ p.w., as in the "Data" worksheet.</t>
  </si>
  <si>
    <t>Net NZS for married individual</t>
  </si>
  <si>
    <t>Original net wage &amp; NZS parameters, picked up by formula from "Data" worksheet.</t>
  </si>
  <si>
    <t>ratio of GDP annual % growth, scenario to base</t>
  </si>
  <si>
    <t>cumulative ratio of GDP annual % growth</t>
  </si>
  <si>
    <t>ratio of 5-year Bond rate, scenario to base</t>
  </si>
  <si>
    <t>ratio of CPI annual % growth, scenario to base</t>
  </si>
  <si>
    <t>cumulative ratio of CPI annual % growth</t>
  </si>
  <si>
    <t>Unemployed numbers ratio for UB recipient change</t>
  </si>
  <si>
    <t>cumulative ratio of average wage annual % growth</t>
  </si>
  <si>
    <t>Fiscal RR addition to finance costs from non-finance cost addition to debt</t>
  </si>
  <si>
    <t>Fiscal RR addition to finance costs from finance cost addition to debt</t>
  </si>
  <si>
    <t>Fiscal RR addition to finance costs from previous year additions to debt</t>
  </si>
  <si>
    <t>Economic RR addition to finance costs from non-finance cost addition to debt</t>
  </si>
  <si>
    <t>Economic RR addition to finance costs from finance cost addition to debt</t>
  </si>
  <si>
    <t>Economic RR addition to finance costs from previous year additions to debt</t>
  </si>
  <si>
    <t>NZS Fund addition to finance costs from non-finance cost addn to debt</t>
  </si>
  <si>
    <t>NZS Fund addition to finance costs from finance cost addition to debt</t>
  </si>
  <si>
    <t>NZS Fund addition to finance costs from previous years addition to debt</t>
  </si>
  <si>
    <t>Economic RR annual addition to gross debt excluding finance costs</t>
  </si>
  <si>
    <t>Economic RR total addition to gross debt</t>
  </si>
  <si>
    <t>Economic RR total addition to net debt (excluding NZS Fund financial assets)</t>
  </si>
  <si>
    <t>Economic RR addition to net worth</t>
  </si>
  <si>
    <t>ratio of labour productivity growth, scenario to base</t>
  </si>
  <si>
    <t>cumulative ratio of lab productivity ann % growth</t>
  </si>
  <si>
    <t>ratio of avg wage ann % growth, scenario to base</t>
  </si>
  <si>
    <t>Write no. of years since 2005/06 for last historical fiscal year, e.g. 3 for 2008/09</t>
  </si>
  <si>
    <t>Net core Crown debt, where financial assets subtracted exclude NZS Fund &amp; Advances</t>
  </si>
  <si>
    <t>Net core Crown debt, before exclusions</t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</si>
  <si>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Core Crown financial assets</t>
    </r>
  </si>
  <si>
    <t>Total Labour Force (in millions)</t>
  </si>
  <si>
    <t>Not actually referenced at all, but possibly useful for comparisons with this variable in history</t>
  </si>
  <si>
    <t>OBEGAL (Operating Balance before Gains and Losses) to GDP (Core Crown)</t>
  </si>
  <si>
    <t>the Inland Revenue Department (Working for Families).</t>
  </si>
  <si>
    <t>Also uses a long-run expected rate of return of 8.65% before tax or 6.57% after tax.</t>
  </si>
  <si>
    <t>Fiscal drag elasticity on source deductions</t>
  </si>
  <si>
    <t>Elasticity of 1.35 applied to nominal wage growth driver</t>
  </si>
  <si>
    <t>Total Male (in millions)</t>
  </si>
  <si>
    <t>Total Female (in millions)</t>
  </si>
  <si>
    <t>Cost per head averaged across fiscal years 2004/05 to 2008/09</t>
  </si>
  <si>
    <t>Working age population (HLFS 15+ popn) (millions)</t>
  </si>
  <si>
    <t>Based on data from the Accident Compensation Corporation. Cost weights averaged over 2004/05 to 2008/09.</t>
  </si>
  <si>
    <t>Expenses (excl losses) without social welfare expenses &amp; finance costs to GDP (Core Crown)</t>
  </si>
  <si>
    <t>Primary Balance to GDP (OBEGAL excluding investment income &amp; finance costs) (Core Crown)</t>
  </si>
  <si>
    <t>Gross Sovereign-issued Debt (GSID) excluding Reserve Bank settlement cash (Core Crown)</t>
  </si>
  <si>
    <t>Net Core Crown Debt (excluding NZS Fund and advances) to GDP (Core Crown)</t>
  </si>
  <si>
    <t>Expenses (excluding losses) without social welfare expenses &amp; finance costs</t>
  </si>
  <si>
    <t>Primary Balance (OBEGAL excluding investment income &amp; finance costs)</t>
  </si>
  <si>
    <t>Gross Sovereign-issued Debt (GSID) excluding Reserve Bank settlement cash</t>
  </si>
  <si>
    <t>Economic RR addition to finance costs from interest rate changes</t>
  </si>
  <si>
    <t>Additions to KiwiSaver expenditure</t>
  </si>
  <si>
    <t>Additions to Unemployment Benefit expenditure</t>
  </si>
  <si>
    <t>Fiscal RR addition to expenses ex finance costs via KiwiSaver expenses</t>
  </si>
  <si>
    <t>Fiscal RR addition to expenses ex finance costs via Unemployment Benefit</t>
  </si>
  <si>
    <t>NOTE: Core Crown Advances</t>
  </si>
  <si>
    <t>Advances to NZS Fund (difference between Total &amp; those excluded in Net Debt)</t>
  </si>
  <si>
    <r>
      <rPr>
        <i/>
        <sz val="10"/>
        <rFont val="Times New Roman"/>
        <family val="1"/>
      </rPr>
      <t xml:space="preserve">add back </t>
    </r>
    <r>
      <rPr>
        <sz val="10"/>
        <rFont val="Times New Roman"/>
        <family val="1"/>
      </rPr>
      <t>Advances excluding those of the NZS Fund</t>
    </r>
  </si>
  <si>
    <t>Core Crown advances other than Student Loans and those to NZS Fund</t>
  </si>
  <si>
    <t>Advances to NZS Fund</t>
  </si>
  <si>
    <t>Additions to "Other" expenditure</t>
  </si>
  <si>
    <t>Fiscal RR addition to expenses ex finance costs via "Other" expenses</t>
  </si>
  <si>
    <t>2019/20</t>
  </si>
  <si>
    <t>GSF Net Pension Liability (calculated)</t>
  </si>
  <si>
    <t>Additions to non-Core Crown financial assets</t>
  </si>
  <si>
    <t>Fiscal RR addition to non-Core Crown financial assets (increases debt)</t>
  </si>
  <si>
    <t>Fiscal RR addition to non-Core Crown investment income</t>
  </si>
  <si>
    <t>Net surplus/(deficit) from associates &amp; joint ventures + Gain/(loss) from discontinued ops.</t>
  </si>
  <si>
    <t>Fiscal RR addition to expenses ex finance costs via Health expenses</t>
  </si>
  <si>
    <t>Use extended track of real GDP until this year</t>
  </si>
  <si>
    <t>Post-forecast projection overwrites</t>
  </si>
  <si>
    <t>CAPITAL ALLOWANCE PROFILE</t>
  </si>
  <si>
    <t>Budget 2013</t>
  </si>
  <si>
    <t>Budget 2014</t>
  </si>
  <si>
    <t>Budget 2015</t>
  </si>
  <si>
    <t>Budget 2016</t>
  </si>
  <si>
    <t>Budget 2017</t>
  </si>
  <si>
    <t>Budget 2018</t>
  </si>
  <si>
    <t>Budget 2019</t>
  </si>
  <si>
    <t>TOTAL CAPITAL ALLOWANCE ANNUAL INCREMENT</t>
  </si>
  <si>
    <t>You can overwrite either of these options by putting in an annual growth rate, such as 2 for 2 per cent.</t>
  </si>
  <si>
    <t>Contingency</t>
  </si>
  <si>
    <t>Operating Provision (initiatives, cost rises) in 1st projected year</t>
  </si>
  <si>
    <t>Capital Provision in first projected year</t>
  </si>
  <si>
    <t>Family tax credit</t>
  </si>
  <si>
    <t>Accommodation supplement</t>
  </si>
  <si>
    <t>Student allowances</t>
  </si>
  <si>
    <t>Disability allowances</t>
  </si>
  <si>
    <t>% allocated to Economic and Industrial services</t>
  </si>
  <si>
    <t>% allocated to Heritage, culture and recreation</t>
  </si>
  <si>
    <t>% allocated to Core Government services</t>
  </si>
  <si>
    <t>% allocated to non-transfer Welfare expenditure</t>
  </si>
  <si>
    <t>to Primary Services, Housing and Other category. If allocation is not selected, the choice of the allocation %'s is immaterial.</t>
  </si>
  <si>
    <t>PERSONAL TAX PARAMETERS</t>
  </si>
  <si>
    <t xml:space="preserve">First personal income tax threshold </t>
  </si>
  <si>
    <t xml:space="preserve">Second personal income tax threshold </t>
  </si>
  <si>
    <t xml:space="preserve">Third personal income tax threshold </t>
  </si>
  <si>
    <t>First personal income tax rate</t>
  </si>
  <si>
    <t xml:space="preserve">Second personal income tax rate </t>
  </si>
  <si>
    <t>Third personal income tax rate</t>
  </si>
  <si>
    <t>Fourth personal income tax rate</t>
  </si>
  <si>
    <t>ACC earner levy</t>
  </si>
  <si>
    <t>Core Crown other assets</t>
  </si>
  <si>
    <t>NOTE: Operating Allowances for New Spending</t>
  </si>
  <si>
    <t>Unallocated new spending from Current Budget</t>
  </si>
  <si>
    <t>Forecast new spending for next Budget</t>
  </si>
  <si>
    <t>Forecast new spending for Budget in two years</t>
  </si>
  <si>
    <t>Forecast new spending for Budget in three years</t>
  </si>
  <si>
    <t>Forecast new spending for Budget in four years</t>
  </si>
  <si>
    <t>CHECK: Future new capital spending = New spending for 5 Budgets &amp; from Bal. sheet</t>
  </si>
  <si>
    <t>NOTE: Capital Allowances for New Spending</t>
  </si>
  <si>
    <t>Additions to other assets via property, plant &amp; equipment</t>
  </si>
  <si>
    <t>Aggregate Net New Zealand Superannuation</t>
  </si>
  <si>
    <t>Net (of Tax) NZ Superannuation expenditure</t>
  </si>
  <si>
    <t>Additions to net (of tax) NZ Superannuation expenditure</t>
  </si>
  <si>
    <t>When fiscal drag is chosen, apply it until this fiscal year</t>
  </si>
  <si>
    <t>Use capital allowances from track until this fiscal year</t>
  </si>
  <si>
    <t>Budget 2020</t>
  </si>
  <si>
    <t>Target % of Nominal GDP for source deductions</t>
  </si>
  <si>
    <t>Use targeted source deductions tax-to-GDP ratio in projections?</t>
  </si>
  <si>
    <t>Gross NZS for married individual (CPI-indexed 1 April)</t>
  </si>
  <si>
    <t>Gross NZS married individual ($ per week)</t>
  </si>
  <si>
    <t>HEALTH COST WEIGHTS IN THE LONG TERM FISCAL MODEL (2009/10 $)</t>
  </si>
  <si>
    <t>2010 cost weights supplied by Ministry of Health.</t>
  </si>
  <si>
    <t>Forecast new spending for Budget in five years</t>
  </si>
  <si>
    <t>CHECK: Future new operating spending = New spending for current &amp; next 4 Budgets</t>
  </si>
  <si>
    <t>If long-term target tax-to-GDP ratios are selected, choose an increment to reach these from end-of-forecast values.</t>
  </si>
  <si>
    <t>Also choose long-term, stable tax-to-GDP ratios for the three tax types in the model.</t>
  </si>
  <si>
    <t>For source deductions, if fiscal drag is selected above, a GDP ratio and transition to it only apply after fiscal drag modelling stops.</t>
  </si>
  <si>
    <t>OBEGAL minority interests</t>
  </si>
  <si>
    <t>Transport-hypothecated taxes (RUC, MV fees and all petrol excise)</t>
  </si>
  <si>
    <t>Additions to transport hypothecated taxes</t>
  </si>
  <si>
    <t>Additions to other non-Transport tax revenue</t>
  </si>
  <si>
    <t>Fiscal RR addition to tax revenue via transport-hypothecated taxes</t>
  </si>
  <si>
    <t>Fiscal RR addition to tax revenue via other non-Transport taxes</t>
  </si>
  <si>
    <t>Domestic Purposes Benefit</t>
  </si>
  <si>
    <t>Invalid's Benefit</t>
  </si>
  <si>
    <t>Fiscal RR addition to expenses ex finance costs via Domestic Purposes Benefit</t>
  </si>
  <si>
    <t>Additions to Domestic Purposes Benefit expenditure</t>
  </si>
  <si>
    <t>Additions to Invalid's Benefit expenditure</t>
  </si>
  <si>
    <t>Additions to Sickness Benefit expenditure</t>
  </si>
  <si>
    <t>Fiscal RR addition to expenses ex finance costs via Sickness Benefit</t>
  </si>
  <si>
    <t>Fiscal RR addition to expenses ex fin costs via Invalid's Benefit</t>
  </si>
  <si>
    <t>Accommodation Supplement</t>
  </si>
  <si>
    <t>Family Tax Credit</t>
  </si>
  <si>
    <t>Additions to Family Tax Credit expenses</t>
  </si>
  <si>
    <t>Fiscal RR addition to expenses ex fin costs via Family Tax Credits</t>
  </si>
  <si>
    <t xml:space="preserve">Departmental &amp; non-departmental expenses </t>
  </si>
  <si>
    <t>Tertiary student allowances</t>
  </si>
  <si>
    <t>Student loan write-offs</t>
  </si>
  <si>
    <t>Other education expenses</t>
  </si>
  <si>
    <t xml:space="preserve">NOTE E: GSF (Government Superannuation Fund) PENSION EXPENSES </t>
  </si>
  <si>
    <t>Core Crown GSF expenses</t>
  </si>
  <si>
    <t>Total Crown GSF expenses</t>
  </si>
  <si>
    <t>NOTE F: HEALTH</t>
  </si>
  <si>
    <t>NOTE F.1: HEALTH MALE DEMOGRAPHICS (USES COST WEIGHTS)</t>
  </si>
  <si>
    <t>NOTE F.2: HEALTH FEMALE DEMOGRAPHICS (USES COST WEIGHTS)</t>
  </si>
  <si>
    <t>2020/21</t>
  </si>
  <si>
    <t>NOTE G: EDUCATION</t>
  </si>
  <si>
    <t>NOTE H: TRANSPORT &amp; COMMUNICATIONS</t>
  </si>
  <si>
    <t>Core Crown transport and communications expenditure</t>
  </si>
  <si>
    <t>Total Crown transport and communications expenditure</t>
  </si>
  <si>
    <t>NOTE I: ECONOMIC &amp; INDUSTRIAL SERVICES</t>
  </si>
  <si>
    <t>Other economic &amp; industrial services expenses</t>
  </si>
  <si>
    <t>Core Crown economic and industrial services expenditure</t>
  </si>
  <si>
    <t>Total Crown economic and industrial services expenditure</t>
  </si>
  <si>
    <t>NOTE J: HERITAGE, CULTURE &amp; RECREATION</t>
  </si>
  <si>
    <t>Emissions Trading Scheme expenses</t>
  </si>
  <si>
    <t>NOTE K: OTHER EXPENDITURE</t>
  </si>
  <si>
    <t>Core Government Services</t>
  </si>
  <si>
    <t>Primary Services</t>
  </si>
  <si>
    <t>% allocated to Primary Services</t>
  </si>
  <si>
    <t>Core Crown heritage, culture &amp; recreation expenditure</t>
  </si>
  <si>
    <t>Total Crown heritage, culture &amp; recreation expenditure</t>
  </si>
  <si>
    <t>Non-transport Other Indirect Taxation</t>
  </si>
  <si>
    <t>Direct addition to gross debt</t>
  </si>
  <si>
    <t>Fiscal RR direct annual addition to gross debt</t>
  </si>
  <si>
    <t>HLFS working age population (000's)</t>
  </si>
  <si>
    <t>HLFS aggregate labour force (000's)</t>
  </si>
  <si>
    <t>HLFS aggregate labour force participation rate</t>
  </si>
  <si>
    <t>80 and above</t>
  </si>
  <si>
    <t>option</t>
  </si>
  <si>
    <t>NZS Fund addition to expenses (only affects Fund balance, as not separate item in CC exps)</t>
  </si>
  <si>
    <t>Apply extra debt changes until this fiscal year</t>
  </si>
  <si>
    <t>EXTERNAL CORE CROWN GROSS DEBT CHANGE</t>
  </si>
  <si>
    <t>Growth Rate of External Debt Change over period</t>
  </si>
  <si>
    <t>Initial amount of extra debt changes in $ billion</t>
  </si>
  <si>
    <t>The residual of the modelling is core Crown Gross Debt. To introduce annual debt changes outside of this calculation, use Yes.</t>
  </si>
  <si>
    <t>Also select a starting and ending projected year for the period of extra changes to debt, the initial amount of the debt change and</t>
  </si>
  <si>
    <t>its percentage growth rate over the period. These choices are immaterial if Yes is not selected to trigger extra changes to debt.</t>
  </si>
  <si>
    <t>Use extra core Crown gross debt changes beyond the calculation</t>
  </si>
  <si>
    <t>First projected fiscal year where extra debt changes are used</t>
  </si>
  <si>
    <t>HLFS Working Age Population (as at 30 June)</t>
  </si>
  <si>
    <t>Used in 'CC Housing &amp; Community Development, Other &amp; Top-down expense adjustment' total</t>
  </si>
  <si>
    <t>Only used as check to summation of components in Note on 'Capital allowances for New Spending' below</t>
  </si>
  <si>
    <t>Used in 'Other welfare assistance and expenses' total</t>
  </si>
  <si>
    <t>Only used as check on 'Forecast new operating spending' from 'Forecast Statement of Financial Performance'</t>
  </si>
  <si>
    <t>Used in 'Forecast New Capital Spending' total</t>
  </si>
  <si>
    <t>Other heritage, culture &amp; recreation expenses</t>
  </si>
  <si>
    <t xml:space="preserve">Medium Fertility, Medium Mortality, and Long Term Annual Net Migration of 12,000 </t>
  </si>
  <si>
    <t>National Labour Force Projections (NLFP)- 2006 base, updated in late August 2012</t>
  </si>
  <si>
    <t>Demographic Forecasts/Projections</t>
  </si>
  <si>
    <t>Labour Force Forecasts</t>
  </si>
  <si>
    <t>Labour Force Projections</t>
  </si>
  <si>
    <t>In post-forecast projected years, aggregate labour force grows at rate of Labour Force projections</t>
  </si>
  <si>
    <t>Projections out to 2061 produced by Statistics New Zealand. Projection produced in July 2012.</t>
  </si>
  <si>
    <t>Updated for historical years between 2006 Census base &amp; 2011 with Statistics New Zealand updates.</t>
  </si>
  <si>
    <t>produced by Statistics New Zealand. Projection goes out to 2061 and was produced in August 2012.</t>
  </si>
  <si>
    <t>Other social assistance benefits (includes In-work Tax Credit and Income related rents)</t>
  </si>
  <si>
    <t>CPI (June quarter)</t>
  </si>
  <si>
    <t>Labour force (annual average)</t>
  </si>
  <si>
    <t>Working-age Population (annual average)</t>
  </si>
  <si>
    <t>Unemployment  rate (annual average)</t>
  </si>
  <si>
    <t>Average wkly hours (annual average of total hrs work ÷ total employed)</t>
  </si>
  <si>
    <t>Labour productivity growth  (annual average)</t>
  </si>
  <si>
    <t>Average hourly wage growth (ordinary time) (annual average)</t>
  </si>
  <si>
    <t>Government 5-year Bond Rate (annual average)</t>
  </si>
  <si>
    <t>25/27</t>
  </si>
  <si>
    <t>FISCAL STRATEGY MODEL (FSM) - HALF YEAR ECONOMIC &amp; FISCAL UPDATE 2012 VERSION</t>
  </si>
  <si>
    <t>Half Year Economic and Fiscal Update (HYEFU) 2012 data and forecasts</t>
  </si>
  <si>
    <t>HYEFU 2012</t>
  </si>
  <si>
    <t>HYEFU 2012 forecasts by Treasury</t>
  </si>
  <si>
    <t>HYEFU 2012 forecasts from the Ministry of Social Development (benefits and NZS) and</t>
  </si>
  <si>
    <t>Track based on HYEFU 2012 nominal GDP and net-of-tax NZS expenditure tracks.</t>
  </si>
  <si>
    <t>Up to, and inclusive of, 2011/12</t>
  </si>
  <si>
    <t>2012/13 to 2016/17 inclusive</t>
  </si>
  <si>
    <t>Additions to Accommodation Assistance expenses</t>
  </si>
  <si>
    <t>Fiscal RR addition to expenses ex fin costs via Accommodation Assistance</t>
  </si>
  <si>
    <t>Additions to Student Allowances</t>
  </si>
  <si>
    <t>Additions to other Education expenditure</t>
  </si>
  <si>
    <t>Additions to Health expenditure</t>
  </si>
  <si>
    <t>Additions to other Social Welfare expenditure</t>
  </si>
  <si>
    <t>2021/22</t>
  </si>
  <si>
    <t>Fiscal RR addition to expenses ex finance costs via Student Allowances expenses</t>
  </si>
  <si>
    <t>Fiscal RR addition to expenses ex finance costs via other Education expenses</t>
  </si>
  <si>
    <t>Disability Support</t>
  </si>
  <si>
    <t>Income Related Rents</t>
  </si>
  <si>
    <t>Additions to Disability Assistance expenses</t>
  </si>
  <si>
    <t>Fiscal RR addition to expenses ex fin costs via Disability Assistance</t>
  </si>
  <si>
    <r>
      <t>plus</t>
    </r>
    <r>
      <rPr>
        <sz val="10"/>
        <rFont val="Times New Roman"/>
        <family val="1"/>
      </rPr>
      <t xml:space="preserve"> ACC liabilities</t>
    </r>
  </si>
  <si>
    <r>
      <t>plus</t>
    </r>
    <r>
      <rPr>
        <sz val="10"/>
        <rFont val="Times New Roman"/>
        <family val="1"/>
      </rPr>
      <t xml:space="preserve"> Non-ACC Insurance liabilities</t>
    </r>
  </si>
  <si>
    <r>
      <t>plus</t>
    </r>
    <r>
      <rPr>
        <sz val="10"/>
        <rFont val="Times New Roman"/>
        <family val="1"/>
      </rPr>
      <t xml:space="preserve"> Other Non-Core Crown non-debt, non-insurance liabilities</t>
    </r>
  </si>
  <si>
    <t>ACC levies</t>
  </si>
  <si>
    <t>Non-ACC other sovereign revenue</t>
  </si>
  <si>
    <t>NOTE I: OPERATING ALLOWANCE INCREMENTS &amp; TOP-DOWN ADJUSTMENTS</t>
  </si>
  <si>
    <t>Forecast New Operating Spending &amp; T-D Adj (indicates Allowance, whether allocated or not)</t>
  </si>
  <si>
    <t>Housing &amp; Community Development and Other</t>
  </si>
  <si>
    <t>NOTE P: CAPITAL ALLOWANCE INCREMENTS &amp; TOP-DOWN ADJUSTMENTS</t>
  </si>
  <si>
    <t>Forecast New Capital Spending &amp; T-D Adj (indicates Allowance, whether allocated or not)</t>
  </si>
  <si>
    <t>Core Crown property, plant &amp; equipment (includes Transport capital growth)</t>
  </si>
  <si>
    <t>Total Crown property, plant &amp; equipment</t>
  </si>
  <si>
    <t>Unallocated capital spending from both Budget 12</t>
  </si>
  <si>
    <t>Budget 2021</t>
  </si>
  <si>
    <t>prelim</t>
  </si>
  <si>
    <t>hyefu</t>
  </si>
  <si>
    <t>63/64</t>
  </si>
  <si>
    <t>Half-Year Economic &amp; Fiscal Update (HYEFU) 2012: ECONOMIC AND FISCAL DATA</t>
  </si>
  <si>
    <t>Environmental protection</t>
  </si>
  <si>
    <t>NOTE J: ENVIRONMENTAL PROTECTION EXPENSES</t>
  </si>
  <si>
    <t>Heritage, culture &amp; recreation expenditure</t>
  </si>
  <si>
    <t>Core Crown environmental protection expenditure</t>
  </si>
  <si>
    <t>Total Crown environmental protection expenditure</t>
  </si>
  <si>
    <t>Other environmental protection expenses</t>
  </si>
  <si>
    <t>Dividends paid to minority interests</t>
  </si>
  <si>
    <t>Gross NZS for married individual</t>
  </si>
  <si>
    <t>If selected value for Inflation Rate, Government 5-year Bond Rate, Unemployment Rate or Average Weekly Hours Worked</t>
  </si>
  <si>
    <t xml:space="preserve">does not match final forecast year value, each converges to selected value at annual rate of change selected below. </t>
  </si>
  <si>
    <t>Enter annual change as a positive value, because model takes into account whether increase or decrease is needed.</t>
  </si>
  <si>
    <t>(Convergence rate immaterial if selection matches final forecast year).</t>
  </si>
  <si>
    <t>Data worksheet includes a forecast for real GDP out to fiscal year shown. If a projected year earlier than this is selected,</t>
  </si>
  <si>
    <t>model's real GDP production function projection logic begins from that earlier year. If a projected year later than this is</t>
  </si>
  <si>
    <t>chosen, Real GDP values will need to be added to the Data worksheet out as far as this chosen year.</t>
  </si>
  <si>
    <t>Labour Force</t>
  </si>
  <si>
    <t>Demographic Projections from Statistics New Zealand</t>
  </si>
  <si>
    <t>Year ending 30 June</t>
  </si>
  <si>
    <t>Projected using HYEFU 2012 Student Loan track from the Ministry of Education beyond the forecast horizon.</t>
  </si>
  <si>
    <t>Based on projected track from the GSF's Actuaries.</t>
  </si>
  <si>
    <t>HYEFU 2012 track from Inland Revenue Department to 2021/22. Beyond that projected at Nominal GDP growth.</t>
  </si>
  <si>
    <t>$1.264 billion. This is equivalent to $1.1 billion, set for the year ending June 2011, growing at 2% per year.</t>
  </si>
  <si>
    <t xml:space="preserve">$0.936 billion. This is equivalent to $0.900 billion, set for the year ending June 2016, growing at 2% per year </t>
  </si>
  <si>
    <t>Population 1-4</t>
  </si>
  <si>
    <t>Population 18-24</t>
  </si>
  <si>
    <t>Population 65+</t>
  </si>
  <si>
    <t>Population 0-18</t>
  </si>
  <si>
    <t>Population 15+</t>
  </si>
  <si>
    <t>Population 5-12 &amp; 13-17</t>
  </si>
  <si>
    <t>HLFS working age population projected from this year onwards using 2009 NPP growth rate in "Popn" worksheet</t>
  </si>
  <si>
    <t>% allocated to Environmental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</si>
</sst>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0.000"/>
    <numFmt numFmtId="166" formatCode="0.0%"/>
    <numFmt numFmtId="167" formatCode="0.0"/>
    <numFmt numFmtId="168" formatCode="#,##0.0"/>
    <numFmt numFmtId="169" formatCode="0.0000%"/>
    <numFmt numFmtId="170" formatCode="0.0000"/>
    <numFmt numFmtId="171" formatCode="#,##0.000"/>
    <numFmt numFmtId="172" formatCode="_-* #,##0_-;\-* #,##0_-;_-* &quot;-&quot;??_-;_-@_-"/>
    <numFmt numFmtId="173" formatCode="#,##0.0_);\(#,##0.0\)"/>
    <numFmt numFmtId="174" formatCode="&quot;$&quot;#,##0"/>
    <numFmt numFmtId="175" formatCode="#,##0.0000"/>
    <numFmt numFmtId="176" formatCode="0.00000"/>
    <numFmt numFmtId="177" formatCode="#,##0.000000"/>
  </numFmts>
  <fonts count="76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20"/>
      <name val="MS Sans Serif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MS Sans Serif"/>
      <family val="2"/>
    </font>
    <font>
      <b/>
      <sz val="10"/>
      <color rgb="FF0000FF"/>
      <name val="Arial"/>
      <family val="2"/>
    </font>
    <font>
      <b/>
      <sz val="10"/>
      <color rgb="FFFF0000"/>
      <name val="MS Sans Serif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164" fontId="64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73" fontId="4" fillId="0" borderId="0"/>
    <xf numFmtId="0" fontId="16" fillId="0" borderId="0"/>
    <xf numFmtId="0" fontId="1" fillId="23" borderId="7" applyNumberFormat="0" applyFont="0" applyAlignment="0" applyProtection="0"/>
    <xf numFmtId="0" fontId="5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22">
    <xf numFmtId="0" fontId="0" fillId="0" borderId="0" xfId="0"/>
    <xf numFmtId="166" fontId="5" fillId="24" borderId="7" xfId="70" quotePrefix="1" applyNumberFormat="1" applyFont="1" applyFill="1" applyBorder="1" applyAlignment="1"/>
    <xf numFmtId="165" fontId="5" fillId="24" borderId="7" xfId="70" quotePrefix="1" applyNumberFormat="1" applyFont="1" applyFill="1" applyBorder="1" applyAlignment="1"/>
    <xf numFmtId="0" fontId="0" fillId="25" borderId="0" xfId="0" applyFill="1"/>
    <xf numFmtId="165" fontId="0" fillId="25" borderId="0" xfId="0" applyNumberFormat="1" applyFill="1"/>
    <xf numFmtId="0" fontId="7" fillId="0" borderId="0" xfId="0" applyFont="1"/>
    <xf numFmtId="0" fontId="11" fillId="0" borderId="0" xfId="0" applyFont="1"/>
    <xf numFmtId="0" fontId="2" fillId="26" borderId="0" xfId="0" applyFont="1" applyFill="1"/>
    <xf numFmtId="0" fontId="0" fillId="26" borderId="0" xfId="0" applyFill="1"/>
    <xf numFmtId="49" fontId="9" fillId="26" borderId="0" xfId="0" applyNumberFormat="1" applyFont="1" applyFill="1" applyAlignment="1">
      <alignment horizontal="center"/>
    </xf>
    <xf numFmtId="0" fontId="12" fillId="26" borderId="0" xfId="0" applyFont="1" applyFill="1" applyBorder="1"/>
    <xf numFmtId="0" fontId="2" fillId="25" borderId="0" xfId="0" applyFont="1" applyFill="1"/>
    <xf numFmtId="49" fontId="9" fillId="25" borderId="0" xfId="0" applyNumberFormat="1" applyFont="1" applyFill="1" applyAlignment="1">
      <alignment horizontal="center"/>
    </xf>
    <xf numFmtId="0" fontId="12" fillId="25" borderId="0" xfId="0" applyFont="1" applyFill="1" applyBorder="1"/>
    <xf numFmtId="0" fontId="13" fillId="26" borderId="0" xfId="0" applyFont="1" applyFill="1" applyBorder="1"/>
    <xf numFmtId="0" fontId="13" fillId="25" borderId="0" xfId="0" applyFont="1" applyFill="1" applyBorder="1"/>
    <xf numFmtId="0" fontId="14" fillId="26" borderId="0" xfId="0" applyFont="1" applyFill="1"/>
    <xf numFmtId="0" fontId="6" fillId="27" borderId="10" xfId="0" applyFont="1" applyFill="1" applyBorder="1"/>
    <xf numFmtId="0" fontId="6" fillId="27" borderId="11" xfId="0" applyFont="1" applyFill="1" applyBorder="1"/>
    <xf numFmtId="0" fontId="6" fillId="27" borderId="12" xfId="0" applyFont="1" applyFill="1" applyBorder="1" applyAlignment="1">
      <alignment horizontal="center"/>
    </xf>
    <xf numFmtId="165" fontId="16" fillId="27" borderId="11" xfId="67" applyNumberFormat="1" applyFont="1" applyFill="1" applyBorder="1" applyAlignment="1">
      <alignment horizontal="left"/>
    </xf>
    <xf numFmtId="1" fontId="16" fillId="27" borderId="13" xfId="67" applyNumberFormat="1" applyFont="1" applyFill="1" applyBorder="1" applyAlignment="1">
      <alignment horizontal="left"/>
    </xf>
    <xf numFmtId="0" fontId="0" fillId="27" borderId="0" xfId="0" applyFill="1"/>
    <xf numFmtId="0" fontId="14" fillId="27" borderId="0" xfId="0" applyFont="1" applyFill="1"/>
    <xf numFmtId="49" fontId="7" fillId="28" borderId="0" xfId="0" applyNumberFormat="1" applyFont="1" applyFill="1"/>
    <xf numFmtId="49" fontId="0" fillId="0" borderId="0" xfId="0" applyNumberFormat="1"/>
    <xf numFmtId="49" fontId="4" fillId="0" borderId="0" xfId="0" applyNumberFormat="1" applyFont="1"/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2"/>
    </xf>
    <xf numFmtId="49" fontId="4" fillId="0" borderId="0" xfId="0" applyNumberFormat="1" applyFont="1" applyAlignment="1">
      <alignment horizontal="left" indent="2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1"/>
    </xf>
    <xf numFmtId="1" fontId="0" fillId="0" borderId="0" xfId="0" applyNumberFormat="1"/>
    <xf numFmtId="0" fontId="7" fillId="24" borderId="7" xfId="0" applyFont="1" applyFill="1" applyBorder="1"/>
    <xf numFmtId="49" fontId="2" fillId="0" borderId="0" xfId="0" applyNumberFormat="1" applyFont="1"/>
    <xf numFmtId="49" fontId="7" fillId="0" borderId="0" xfId="0" applyNumberFormat="1" applyFont="1"/>
    <xf numFmtId="165" fontId="0" fillId="0" borderId="0" xfId="0" applyNumberFormat="1"/>
    <xf numFmtId="0" fontId="2" fillId="29" borderId="0" xfId="0" applyFont="1" applyFill="1"/>
    <xf numFmtId="49" fontId="9" fillId="29" borderId="0" xfId="0" applyNumberFormat="1" applyFont="1" applyFill="1" applyAlignment="1">
      <alignment horizontal="center"/>
    </xf>
    <xf numFmtId="49" fontId="6" fillId="29" borderId="0" xfId="0" applyNumberFormat="1" applyFont="1" applyFill="1" applyBorder="1" applyAlignment="1">
      <alignment horizontal="left" indent="2"/>
    </xf>
    <xf numFmtId="166" fontId="0" fillId="0" borderId="0" xfId="0" applyNumberFormat="1"/>
    <xf numFmtId="165" fontId="6" fillId="0" borderId="0" xfId="0" applyNumberFormat="1" applyFont="1" applyBorder="1"/>
    <xf numFmtId="165" fontId="6" fillId="0" borderId="0" xfId="0" applyNumberFormat="1" applyFont="1"/>
    <xf numFmtId="0" fontId="12" fillId="0" borderId="0" xfId="0" applyFont="1" applyFill="1" applyBorder="1"/>
    <xf numFmtId="49" fontId="21" fillId="0" borderId="0" xfId="0" applyNumberFormat="1" applyFont="1" applyAlignment="1">
      <alignment horizontal="left" vertical="center" indent="1"/>
    </xf>
    <xf numFmtId="165" fontId="24" fillId="0" borderId="0" xfId="0" applyNumberFormat="1" applyFont="1" applyAlignment="1">
      <alignment horizontal="center"/>
    </xf>
    <xf numFmtId="165" fontId="3" fillId="0" borderId="0" xfId="65" applyFont="1" applyFill="1"/>
    <xf numFmtId="165" fontId="26" fillId="0" borderId="0" xfId="65" applyFont="1" applyFill="1"/>
    <xf numFmtId="165" fontId="7" fillId="0" borderId="0" xfId="65" applyFont="1" applyFill="1"/>
    <xf numFmtId="165" fontId="3" fillId="0" borderId="0" xfId="65" applyFont="1" applyFill="1" applyAlignment="1">
      <alignment horizontal="left" indent="1"/>
    </xf>
    <xf numFmtId="165" fontId="3" fillId="0" borderId="0" xfId="65" applyFont="1" applyFill="1" applyAlignment="1">
      <alignment horizontal="left"/>
    </xf>
    <xf numFmtId="165" fontId="7" fillId="0" borderId="0" xfId="65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right"/>
    </xf>
    <xf numFmtId="0" fontId="6" fillId="26" borderId="15" xfId="0" applyFont="1" applyFill="1" applyBorder="1" applyAlignment="1">
      <alignment horizontal="center"/>
    </xf>
    <xf numFmtId="0" fontId="6" fillId="26" borderId="16" xfId="0" applyFont="1" applyFill="1" applyBorder="1" applyAlignment="1"/>
    <xf numFmtId="0" fontId="6" fillId="26" borderId="17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49" fontId="6" fillId="26" borderId="18" xfId="0" applyNumberFormat="1" applyFont="1" applyFill="1" applyBorder="1" applyAlignment="1">
      <alignment horizontal="center"/>
    </xf>
    <xf numFmtId="49" fontId="6" fillId="26" borderId="19" xfId="0" applyNumberFormat="1" applyFont="1" applyFill="1" applyBorder="1" applyAlignment="1">
      <alignment horizontal="center"/>
    </xf>
    <xf numFmtId="3" fontId="0" fillId="26" borderId="0" xfId="0" applyNumberFormat="1" applyFill="1"/>
    <xf numFmtId="3" fontId="6" fillId="26" borderId="20" xfId="0" applyNumberFormat="1" applyFont="1" applyFill="1" applyBorder="1" applyAlignment="1">
      <alignment horizontal="center"/>
    </xf>
    <xf numFmtId="49" fontId="28" fillId="26" borderId="0" xfId="0" applyNumberFormat="1" applyFont="1" applyFill="1" applyAlignment="1">
      <alignment horizontal="center"/>
    </xf>
    <xf numFmtId="165" fontId="27" fillId="26" borderId="0" xfId="0" applyNumberFormat="1" applyFont="1" applyFill="1" applyBorder="1" applyAlignment="1">
      <alignment horizontal="right"/>
    </xf>
    <xf numFmtId="49" fontId="17" fillId="26" borderId="0" xfId="0" applyNumberFormat="1" applyFont="1" applyFill="1" applyAlignment="1">
      <alignment horizontal="center"/>
    </xf>
    <xf numFmtId="49" fontId="30" fillId="25" borderId="0" xfId="0" applyNumberFormat="1" applyFont="1" applyFill="1" applyAlignment="1">
      <alignment horizontal="center"/>
    </xf>
    <xf numFmtId="165" fontId="31" fillId="25" borderId="0" xfId="0" applyNumberFormat="1" applyFont="1" applyFill="1"/>
    <xf numFmtId="165" fontId="4" fillId="0" borderId="0" xfId="65" applyFont="1" applyFill="1" applyAlignment="1">
      <alignment horizontal="left" indent="1"/>
    </xf>
    <xf numFmtId="165" fontId="27" fillId="0" borderId="0" xfId="0" applyNumberFormat="1" applyFont="1"/>
    <xf numFmtId="166" fontId="27" fillId="0" borderId="0" xfId="0" applyNumberFormat="1" applyFont="1"/>
    <xf numFmtId="165" fontId="20" fillId="0" borderId="0" xfId="0" applyNumberFormat="1" applyFont="1"/>
    <xf numFmtId="0" fontId="27" fillId="0" borderId="0" xfId="0" applyFont="1"/>
    <xf numFmtId="165" fontId="25" fillId="0" borderId="0" xfId="0" applyNumberFormat="1" applyFont="1"/>
    <xf numFmtId="165" fontId="20" fillId="0" borderId="0" xfId="0" applyNumberFormat="1" applyFont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0" fontId="0" fillId="0" borderId="0" xfId="0" applyFill="1"/>
    <xf numFmtId="0" fontId="6" fillId="29" borderId="0" xfId="0" applyFont="1" applyFill="1" applyAlignment="1">
      <alignment horizontal="center"/>
    </xf>
    <xf numFmtId="165" fontId="9" fillId="29" borderId="0" xfId="0" applyNumberFormat="1" applyFont="1" applyFill="1" applyAlignment="1">
      <alignment horizontal="center"/>
    </xf>
    <xf numFmtId="165" fontId="25" fillId="0" borderId="0" xfId="0" applyNumberFormat="1" applyFont="1" applyBorder="1"/>
    <xf numFmtId="165" fontId="25" fillId="0" borderId="21" xfId="0" applyNumberFormat="1" applyFont="1" applyBorder="1"/>
    <xf numFmtId="49" fontId="3" fillId="0" borderId="0" xfId="0" applyNumberFormat="1" applyFont="1" applyFill="1" applyAlignment="1">
      <alignment horizontal="left" indent="1"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/>
    <xf numFmtId="165" fontId="27" fillId="0" borderId="0" xfId="0" applyNumberFormat="1" applyFont="1" applyFill="1"/>
    <xf numFmtId="3" fontId="0" fillId="29" borderId="0" xfId="0" applyNumberFormat="1" applyFill="1"/>
    <xf numFmtId="0" fontId="6" fillId="29" borderId="0" xfId="0" applyFont="1" applyFill="1"/>
    <xf numFmtId="49" fontId="6" fillId="29" borderId="0" xfId="0" applyNumberFormat="1" applyFont="1" applyFill="1" applyBorder="1" applyAlignment="1">
      <alignment horizontal="center"/>
    </xf>
    <xf numFmtId="0" fontId="16" fillId="27" borderId="11" xfId="67" applyNumberFormat="1" applyFont="1" applyFill="1" applyBorder="1" applyAlignment="1">
      <alignment horizontal="left"/>
    </xf>
    <xf numFmtId="1" fontId="8" fillId="27" borderId="11" xfId="67" applyNumberFormat="1" applyFont="1" applyFill="1" applyBorder="1" applyAlignment="1">
      <alignment horizontal="left"/>
    </xf>
    <xf numFmtId="0" fontId="6" fillId="27" borderId="22" xfId="0" applyFont="1" applyFill="1" applyBorder="1"/>
    <xf numFmtId="0" fontId="6" fillId="27" borderId="23" xfId="0" applyFont="1" applyFill="1" applyBorder="1"/>
    <xf numFmtId="3" fontId="0" fillId="27" borderId="10" xfId="0" applyNumberFormat="1" applyFill="1" applyBorder="1"/>
    <xf numFmtId="3" fontId="0" fillId="27" borderId="11" xfId="0" applyNumberFormat="1" applyFill="1" applyBorder="1"/>
    <xf numFmtId="3" fontId="0" fillId="27" borderId="13" xfId="0" applyNumberFormat="1" applyFill="1" applyBorder="1"/>
    <xf numFmtId="3" fontId="6" fillId="27" borderId="11" xfId="0" applyNumberFormat="1" applyFont="1" applyFill="1" applyBorder="1"/>
    <xf numFmtId="166" fontId="1" fillId="27" borderId="11" xfId="70" applyNumberFormat="1" applyFill="1" applyBorder="1"/>
    <xf numFmtId="165" fontId="0" fillId="0" borderId="0" xfId="0" applyNumberFormat="1" applyFill="1"/>
    <xf numFmtId="165" fontId="25" fillId="0" borderId="0" xfId="0" applyNumberFormat="1" applyFont="1" applyFill="1"/>
    <xf numFmtId="165" fontId="20" fillId="0" borderId="0" xfId="0" applyNumberFormat="1" applyFont="1" applyFill="1" applyBorder="1"/>
    <xf numFmtId="165" fontId="6" fillId="0" borderId="0" xfId="0" applyNumberFormat="1" applyFont="1" applyFill="1"/>
    <xf numFmtId="166" fontId="27" fillId="0" borderId="0" xfId="0" applyNumberFormat="1" applyFont="1" applyFill="1"/>
    <xf numFmtId="165" fontId="27" fillId="26" borderId="0" xfId="0" applyNumberFormat="1" applyFont="1" applyFill="1"/>
    <xf numFmtId="165" fontId="33" fillId="0" borderId="0" xfId="0" applyNumberFormat="1" applyFont="1"/>
    <xf numFmtId="165" fontId="34" fillId="0" borderId="0" xfId="0" applyNumberFormat="1" applyFont="1" applyFill="1" applyBorder="1"/>
    <xf numFmtId="165" fontId="12" fillId="0" borderId="0" xfId="0" applyNumberFormat="1" applyFont="1" applyFill="1"/>
    <xf numFmtId="49" fontId="36" fillId="0" borderId="0" xfId="0" applyNumberFormat="1" applyFont="1" applyFill="1" applyAlignment="1">
      <alignment horizontal="left"/>
    </xf>
    <xf numFmtId="165" fontId="26" fillId="26" borderId="7" xfId="65" applyNumberFormat="1" applyFont="1" applyFill="1" applyBorder="1" applyAlignment="1"/>
    <xf numFmtId="165" fontId="26" fillId="0" borderId="0" xfId="65" applyFont="1"/>
    <xf numFmtId="165" fontId="26" fillId="26" borderId="7" xfId="65" applyNumberFormat="1" applyFont="1" applyFill="1" applyBorder="1" applyAlignment="1">
      <alignment horizontal="right"/>
    </xf>
    <xf numFmtId="2" fontId="26" fillId="30" borderId="7" xfId="65" applyNumberFormat="1" applyFont="1" applyFill="1" applyBorder="1" applyAlignment="1"/>
    <xf numFmtId="165" fontId="26" fillId="30" borderId="7" xfId="65" applyNumberFormat="1" applyFont="1" applyFill="1" applyBorder="1" applyAlignment="1"/>
    <xf numFmtId="166" fontId="26" fillId="0" borderId="0" xfId="65" applyNumberFormat="1" applyFont="1" applyAlignment="1">
      <alignment horizontal="left"/>
    </xf>
    <xf numFmtId="165" fontId="36" fillId="31" borderId="24" xfId="65" applyNumberFormat="1" applyFont="1" applyFill="1" applyBorder="1" applyAlignment="1"/>
    <xf numFmtId="165" fontId="26" fillId="0" borderId="7" xfId="65" applyFont="1" applyFill="1" applyBorder="1" applyAlignment="1">
      <alignment horizontal="right"/>
    </xf>
    <xf numFmtId="165" fontId="12" fillId="32" borderId="0" xfId="0" applyNumberFormat="1" applyFont="1" applyFill="1"/>
    <xf numFmtId="165" fontId="25" fillId="27" borderId="0" xfId="0" applyNumberFormat="1" applyFont="1" applyFill="1"/>
    <xf numFmtId="166" fontId="27" fillId="0" borderId="0" xfId="70" applyNumberFormat="1" applyFont="1"/>
    <xf numFmtId="166" fontId="25" fillId="0" borderId="0" xfId="70" applyNumberFormat="1" applyFont="1"/>
    <xf numFmtId="166" fontId="12" fillId="0" borderId="0" xfId="70" applyNumberFormat="1" applyFont="1"/>
    <xf numFmtId="166" fontId="19" fillId="0" borderId="0" xfId="70" applyNumberFormat="1" applyFont="1"/>
    <xf numFmtId="166" fontId="24" fillId="0" borderId="0" xfId="70" applyNumberFormat="1" applyFont="1"/>
    <xf numFmtId="0" fontId="4" fillId="0" borderId="0" xfId="0" applyFont="1"/>
    <xf numFmtId="165" fontId="24" fillId="0" borderId="0" xfId="0" applyNumberFormat="1" applyFont="1"/>
    <xf numFmtId="165" fontId="27" fillId="24" borderId="0" xfId="0" applyNumberFormat="1" applyFont="1" applyFill="1"/>
    <xf numFmtId="0" fontId="24" fillId="0" borderId="0" xfId="0" applyFont="1"/>
    <xf numFmtId="166" fontId="24" fillId="0" borderId="0" xfId="0" applyNumberFormat="1" applyFont="1"/>
    <xf numFmtId="165" fontId="24" fillId="0" borderId="0" xfId="0" applyNumberFormat="1" applyFont="1" applyFill="1"/>
    <xf numFmtId="165" fontId="24" fillId="0" borderId="21" xfId="0" applyNumberFormat="1" applyFont="1" applyBorder="1"/>
    <xf numFmtId="165" fontId="19" fillId="0" borderId="0" xfId="0" applyNumberFormat="1" applyFont="1"/>
    <xf numFmtId="165" fontId="19" fillId="0" borderId="0" xfId="0" applyNumberFormat="1" applyFont="1" applyAlignment="1">
      <alignment horizontal="center"/>
    </xf>
    <xf numFmtId="0" fontId="37" fillId="0" borderId="0" xfId="0" applyFont="1"/>
    <xf numFmtId="3" fontId="6" fillId="33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27" borderId="0" xfId="0" applyFont="1" applyFill="1" applyAlignment="1">
      <alignment horizontal="left" indent="1"/>
    </xf>
    <xf numFmtId="2" fontId="25" fillId="27" borderId="0" xfId="0" applyNumberFormat="1" applyFont="1" applyFill="1"/>
    <xf numFmtId="166" fontId="25" fillId="0" borderId="0" xfId="0" applyNumberFormat="1" applyFont="1"/>
    <xf numFmtId="166" fontId="24" fillId="0" borderId="21" xfId="70" applyNumberFormat="1" applyFont="1" applyBorder="1"/>
    <xf numFmtId="166" fontId="25" fillId="0" borderId="21" xfId="70" applyNumberFormat="1" applyFont="1" applyBorder="1"/>
    <xf numFmtId="2" fontId="5" fillId="24" borderId="7" xfId="70" quotePrefix="1" applyNumberFormat="1" applyFont="1" applyFill="1" applyBorder="1" applyAlignment="1"/>
    <xf numFmtId="49" fontId="17" fillId="25" borderId="0" xfId="0" applyNumberFormat="1" applyFont="1" applyFill="1" applyAlignment="1">
      <alignment horizontal="center"/>
    </xf>
    <xf numFmtId="0" fontId="5" fillId="24" borderId="7" xfId="70" applyNumberFormat="1" applyFont="1" applyFill="1" applyBorder="1" applyAlignment="1">
      <alignment horizontal="center"/>
    </xf>
    <xf numFmtId="9" fontId="5" fillId="24" borderId="7" xfId="70" quotePrefix="1" applyNumberFormat="1" applyFont="1" applyFill="1" applyBorder="1" applyAlignment="1"/>
    <xf numFmtId="49" fontId="4" fillId="0" borderId="0" xfId="0" applyNumberFormat="1" applyFont="1" applyFill="1" applyBorder="1" applyAlignment="1">
      <alignment horizontal="left" indent="2"/>
    </xf>
    <xf numFmtId="49" fontId="35" fillId="0" borderId="0" xfId="0" applyNumberFormat="1" applyFont="1" applyFill="1" applyAlignment="1">
      <alignment horizontal="left"/>
    </xf>
    <xf numFmtId="49" fontId="21" fillId="0" borderId="0" xfId="0" applyNumberFormat="1" applyFont="1"/>
    <xf numFmtId="49" fontId="22" fillId="0" borderId="0" xfId="0" applyNumberFormat="1" applyFont="1" applyFill="1" applyAlignment="1">
      <alignment horizontal="left" indent="1"/>
    </xf>
    <xf numFmtId="165" fontId="24" fillId="0" borderId="0" xfId="0" applyNumberFormat="1" applyFont="1" applyFill="1" applyBorder="1"/>
    <xf numFmtId="49" fontId="39" fillId="0" borderId="0" xfId="0" applyNumberFormat="1" applyFont="1" applyFill="1" applyAlignment="1">
      <alignment horizontal="left"/>
    </xf>
    <xf numFmtId="0" fontId="24" fillId="0" borderId="0" xfId="0" applyNumberFormat="1" applyFont="1" applyAlignment="1">
      <alignment horizontal="center"/>
    </xf>
    <xf numFmtId="0" fontId="25" fillId="0" borderId="0" xfId="0" applyNumberFormat="1" applyFont="1"/>
    <xf numFmtId="49" fontId="4" fillId="0" borderId="0" xfId="65" applyNumberFormat="1" applyFont="1" applyFill="1" applyAlignment="1">
      <alignment horizontal="left" indent="1"/>
    </xf>
    <xf numFmtId="49" fontId="22" fillId="0" borderId="0" xfId="65" applyNumberFormat="1" applyFont="1" applyFill="1" applyAlignment="1">
      <alignment horizontal="left" indent="1"/>
    </xf>
    <xf numFmtId="49" fontId="4" fillId="0" borderId="0" xfId="70" applyNumberFormat="1" applyFont="1" applyFill="1" applyAlignment="1">
      <alignment horizontal="left" indent="2"/>
    </xf>
    <xf numFmtId="0" fontId="20" fillId="0" borderId="0" xfId="0" applyNumberFormat="1" applyFont="1" applyAlignment="1">
      <alignment horizontal="center"/>
    </xf>
    <xf numFmtId="1" fontId="12" fillId="28" borderId="0" xfId="0" applyNumberFormat="1" applyFont="1" applyFill="1" applyAlignment="1">
      <alignment horizontal="center"/>
    </xf>
    <xf numFmtId="49" fontId="7" fillId="26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49" fontId="14" fillId="29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 indent="1"/>
    </xf>
    <xf numFmtId="165" fontId="4" fillId="0" borderId="0" xfId="65" applyFill="1" applyAlignment="1">
      <alignment horizontal="left" indent="1"/>
    </xf>
    <xf numFmtId="165" fontId="36" fillId="26" borderId="24" xfId="65" applyNumberFormat="1" applyFont="1" applyFill="1" applyBorder="1" applyAlignment="1"/>
    <xf numFmtId="3" fontId="24" fillId="0" borderId="0" xfId="0" applyNumberFormat="1" applyFont="1"/>
    <xf numFmtId="3" fontId="25" fillId="0" borderId="0" xfId="0" applyNumberFormat="1" applyFont="1"/>
    <xf numFmtId="4" fontId="25" fillId="0" borderId="0" xfId="0" applyNumberFormat="1" applyFont="1"/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27" fillId="0" borderId="21" xfId="0" applyNumberFormat="1" applyFont="1" applyBorder="1"/>
    <xf numFmtId="165" fontId="27" fillId="0" borderId="0" xfId="0" applyNumberFormat="1" applyFont="1" applyFill="1" applyBorder="1"/>
    <xf numFmtId="4" fontId="27" fillId="0" borderId="0" xfId="0" applyNumberFormat="1" applyFont="1"/>
    <xf numFmtId="3" fontId="27" fillId="0" borderId="0" xfId="0" applyNumberFormat="1" applyFont="1"/>
    <xf numFmtId="165" fontId="15" fillId="26" borderId="7" xfId="65" applyFont="1" applyFill="1" applyBorder="1" applyAlignment="1"/>
    <xf numFmtId="165" fontId="15" fillId="26" borderId="7" xfId="65" applyNumberFormat="1" applyFont="1" applyFill="1" applyBorder="1" applyAlignment="1"/>
    <xf numFmtId="165" fontId="15" fillId="26" borderId="25" xfId="65" applyNumberFormat="1" applyFont="1" applyFill="1" applyBorder="1" applyAlignment="1"/>
    <xf numFmtId="165" fontId="40" fillId="31" borderId="24" xfId="65" applyNumberFormat="1" applyFont="1" applyFill="1" applyBorder="1" applyAlignment="1"/>
    <xf numFmtId="165" fontId="15" fillId="0" borderId="0" xfId="65" applyFont="1"/>
    <xf numFmtId="165" fontId="40" fillId="26" borderId="24" xfId="65" applyNumberFormat="1" applyFont="1" applyFill="1" applyBorder="1" applyAlignment="1"/>
    <xf numFmtId="165" fontId="40" fillId="31" borderId="26" xfId="65" applyNumberFormat="1" applyFont="1" applyFill="1" applyBorder="1" applyAlignment="1"/>
    <xf numFmtId="165" fontId="15" fillId="26" borderId="27" xfId="65" applyFont="1" applyFill="1" applyBorder="1" applyAlignment="1"/>
    <xf numFmtId="165" fontId="15" fillId="26" borderId="28" xfId="65" applyFont="1" applyFill="1" applyBorder="1" applyAlignment="1"/>
    <xf numFmtId="165" fontId="40" fillId="26" borderId="7" xfId="65" applyFont="1" applyFill="1" applyBorder="1" applyAlignment="1"/>
    <xf numFmtId="165" fontId="15" fillId="26" borderId="7" xfId="65" applyFont="1" applyFill="1" applyBorder="1" applyAlignment="1">
      <alignment horizontal="right"/>
    </xf>
    <xf numFmtId="165" fontId="15" fillId="26" borderId="26" xfId="65" applyFont="1" applyFill="1" applyBorder="1" applyAlignment="1">
      <alignment horizontal="right"/>
    </xf>
    <xf numFmtId="165" fontId="15" fillId="0" borderId="29" xfId="65" applyFont="1" applyFill="1" applyBorder="1" applyAlignment="1">
      <alignment horizontal="left"/>
    </xf>
    <xf numFmtId="165" fontId="15" fillId="26" borderId="7" xfId="65" applyNumberFormat="1" applyFont="1" applyFill="1" applyBorder="1" applyAlignment="1">
      <alignment horizontal="right"/>
    </xf>
    <xf numFmtId="2" fontId="15" fillId="30" borderId="7" xfId="65" applyNumberFormat="1" applyFont="1" applyFill="1" applyBorder="1" applyAlignment="1"/>
    <xf numFmtId="165" fontId="15" fillId="30" borderId="7" xfId="65" applyNumberFormat="1" applyFont="1" applyFill="1" applyBorder="1" applyAlignment="1"/>
    <xf numFmtId="1" fontId="15" fillId="27" borderId="7" xfId="65" applyNumberFormat="1" applyFont="1" applyFill="1" applyBorder="1" applyAlignment="1">
      <alignment horizontal="right"/>
    </xf>
    <xf numFmtId="1" fontId="36" fillId="0" borderId="0" xfId="65" applyNumberFormat="1" applyFont="1" applyFill="1"/>
    <xf numFmtId="1" fontId="40" fillId="0" borderId="0" xfId="65" applyNumberFormat="1" applyFont="1" applyFill="1"/>
    <xf numFmtId="169" fontId="0" fillId="0" borderId="0" xfId="0" applyNumberFormat="1"/>
    <xf numFmtId="0" fontId="3" fillId="0" borderId="0" xfId="0" applyFont="1"/>
    <xf numFmtId="0" fontId="21" fillId="0" borderId="0" xfId="0" applyFont="1"/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27" borderId="0" xfId="0" applyFont="1" applyFill="1" applyAlignment="1">
      <alignment horizontal="left" indent="1"/>
    </xf>
    <xf numFmtId="0" fontId="41" fillId="27" borderId="0" xfId="0" applyFont="1" applyFill="1" applyAlignment="1">
      <alignment horizontal="left" indent="1"/>
    </xf>
    <xf numFmtId="0" fontId="42" fillId="34" borderId="0" xfId="0" applyFont="1" applyFill="1" applyAlignment="1">
      <alignment horizontal="center"/>
    </xf>
    <xf numFmtId="0" fontId="7" fillId="35" borderId="0" xfId="0" applyFont="1" applyFill="1" applyAlignment="1">
      <alignment horizontal="left" indent="1"/>
    </xf>
    <xf numFmtId="0" fontId="6" fillId="35" borderId="0" xfId="0" applyFont="1" applyFill="1"/>
    <xf numFmtId="0" fontId="43" fillId="29" borderId="0" xfId="0" applyFont="1" applyFill="1" applyAlignment="1">
      <alignment horizontal="center"/>
    </xf>
    <xf numFmtId="0" fontId="23" fillId="0" borderId="0" xfId="37" applyAlignment="1" applyProtection="1"/>
    <xf numFmtId="165" fontId="40" fillId="26" borderId="7" xfId="65" applyNumberFormat="1" applyFont="1" applyFill="1" applyBorder="1" applyAlignment="1"/>
    <xf numFmtId="165" fontId="36" fillId="26" borderId="7" xfId="65" applyNumberFormat="1" applyFont="1" applyFill="1" applyBorder="1" applyAlignment="1"/>
    <xf numFmtId="0" fontId="2" fillId="36" borderId="0" xfId="0" applyFont="1" applyFill="1"/>
    <xf numFmtId="0" fontId="0" fillId="36" borderId="0" xfId="0" applyFill="1"/>
    <xf numFmtId="0" fontId="13" fillId="36" borderId="0" xfId="0" applyFont="1" applyFill="1" applyBorder="1"/>
    <xf numFmtId="49" fontId="9" fillId="36" borderId="0" xfId="0" applyNumberFormat="1" applyFont="1" applyFill="1" applyAlignment="1">
      <alignment horizontal="center"/>
    </xf>
    <xf numFmtId="166" fontId="1" fillId="35" borderId="0" xfId="70" applyNumberFormat="1" applyFill="1"/>
    <xf numFmtId="2" fontId="15" fillId="27" borderId="7" xfId="65" applyNumberFormat="1" applyFont="1" applyFill="1" applyBorder="1" applyAlignment="1">
      <alignment horizontal="right"/>
    </xf>
    <xf numFmtId="2" fontId="26" fillId="27" borderId="7" xfId="65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6" fontId="27" fillId="0" borderId="21" xfId="70" applyNumberFormat="1" applyFont="1" applyBorder="1"/>
    <xf numFmtId="166" fontId="20" fillId="0" borderId="0" xfId="70" applyNumberFormat="1" applyFont="1"/>
    <xf numFmtId="165" fontId="40" fillId="26" borderId="7" xfId="65" applyFont="1" applyFill="1" applyBorder="1" applyAlignment="1">
      <alignment horizontal="right"/>
    </xf>
    <xf numFmtId="165" fontId="25" fillId="24" borderId="0" xfId="0" applyNumberFormat="1" applyFont="1" applyFill="1"/>
    <xf numFmtId="165" fontId="4" fillId="0" borderId="0" xfId="65" applyFont="1" applyFill="1" applyAlignment="1">
      <alignment horizontal="left"/>
    </xf>
    <xf numFmtId="165" fontId="40" fillId="0" borderId="24" xfId="65" applyNumberFormat="1" applyFont="1" applyFill="1" applyBorder="1" applyAlignment="1">
      <alignment horizontal="center"/>
    </xf>
    <xf numFmtId="165" fontId="36" fillId="0" borderId="24" xfId="65" applyNumberFormat="1" applyFont="1" applyFill="1" applyBorder="1" applyAlignment="1">
      <alignment horizontal="center"/>
    </xf>
    <xf numFmtId="165" fontId="21" fillId="0" borderId="0" xfId="65" applyFont="1" applyFill="1" applyAlignment="1">
      <alignment horizontal="left"/>
    </xf>
    <xf numFmtId="165" fontId="36" fillId="0" borderId="26" xfId="65" applyNumberFormat="1" applyFont="1" applyFill="1" applyBorder="1" applyAlignment="1">
      <alignment horizontal="center"/>
    </xf>
    <xf numFmtId="165" fontId="40" fillId="0" borderId="0" xfId="65" applyNumberFormat="1" applyFont="1" applyFill="1" applyBorder="1" applyAlignment="1">
      <alignment horizontal="center"/>
    </xf>
    <xf numFmtId="0" fontId="0" fillId="37" borderId="0" xfId="0" applyFill="1"/>
    <xf numFmtId="0" fontId="32" fillId="0" borderId="0" xfId="0" applyFont="1"/>
    <xf numFmtId="165" fontId="27" fillId="37" borderId="0" xfId="0" applyNumberFormat="1" applyFont="1" applyFill="1"/>
    <xf numFmtId="165" fontId="15" fillId="26" borderId="0" xfId="65" applyFont="1" applyFill="1" applyBorder="1" applyAlignment="1"/>
    <xf numFmtId="165" fontId="18" fillId="0" borderId="0" xfId="0" applyNumberFormat="1" applyFont="1"/>
    <xf numFmtId="165" fontId="27" fillId="25" borderId="0" xfId="0" applyNumberFormat="1" applyFont="1" applyFill="1"/>
    <xf numFmtId="3" fontId="27" fillId="36" borderId="0" xfId="0" applyNumberFormat="1" applyFont="1" applyFill="1" applyBorder="1" applyAlignment="1">
      <alignment horizontal="right"/>
    </xf>
    <xf numFmtId="3" fontId="24" fillId="36" borderId="0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167" fontId="5" fillId="24" borderId="7" xfId="70" quotePrefix="1" applyNumberFormat="1" applyFont="1" applyFill="1" applyBorder="1" applyAlignment="1"/>
    <xf numFmtId="165" fontId="25" fillId="38" borderId="21" xfId="0" applyNumberFormat="1" applyFont="1" applyFill="1" applyBorder="1"/>
    <xf numFmtId="165" fontId="1" fillId="0" borderId="0" xfId="0" applyNumberFormat="1" applyFont="1"/>
    <xf numFmtId="0" fontId="43" fillId="39" borderId="0" xfId="0" applyFont="1" applyFill="1" applyAlignment="1">
      <alignment horizontal="center"/>
    </xf>
    <xf numFmtId="0" fontId="43" fillId="40" borderId="0" xfId="0" applyFont="1" applyFill="1" applyAlignment="1">
      <alignment horizontal="center"/>
    </xf>
    <xf numFmtId="0" fontId="43" fillId="39" borderId="0" xfId="0" applyFont="1" applyFill="1" applyAlignment="1">
      <alignment horizontal="left"/>
    </xf>
    <xf numFmtId="0" fontId="2" fillId="41" borderId="0" xfId="0" applyFont="1" applyFill="1"/>
    <xf numFmtId="0" fontId="0" fillId="41" borderId="0" xfId="0" applyFill="1"/>
    <xf numFmtId="0" fontId="13" fillId="41" borderId="0" xfId="0" applyFont="1" applyFill="1" applyBorder="1"/>
    <xf numFmtId="49" fontId="17" fillId="41" borderId="0" xfId="0" applyNumberFormat="1" applyFont="1" applyFill="1" applyAlignment="1">
      <alignment horizontal="center"/>
    </xf>
    <xf numFmtId="49" fontId="28" fillId="41" borderId="0" xfId="0" applyNumberFormat="1" applyFont="1" applyFill="1" applyAlignment="1">
      <alignment horizontal="center"/>
    </xf>
    <xf numFmtId="49" fontId="9" fillId="41" borderId="0" xfId="0" applyNumberFormat="1" applyFont="1" applyFill="1" applyAlignment="1">
      <alignment horizontal="center"/>
    </xf>
    <xf numFmtId="0" fontId="12" fillId="41" borderId="0" xfId="0" applyFont="1" applyFill="1" applyBorder="1"/>
    <xf numFmtId="165" fontId="27" fillId="41" borderId="0" xfId="0" applyNumberFormat="1" applyFont="1" applyFill="1" applyBorder="1" applyAlignment="1">
      <alignment horizontal="right"/>
    </xf>
    <xf numFmtId="165" fontId="24" fillId="41" borderId="0" xfId="0" applyNumberFormat="1" applyFont="1" applyFill="1"/>
    <xf numFmtId="165" fontId="0" fillId="41" borderId="0" xfId="0" applyNumberFormat="1" applyFill="1"/>
    <xf numFmtId="2" fontId="1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72" fontId="12" fillId="0" borderId="0" xfId="28" applyNumberFormat="1" applyFont="1" applyAlignment="1">
      <alignment horizontal="center"/>
    </xf>
    <xf numFmtId="172" fontId="19" fillId="0" borderId="0" xfId="28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19" fillId="0" borderId="0" xfId="0" applyNumberFormat="1" applyFont="1" applyAlignment="1">
      <alignment horizontal="center"/>
    </xf>
    <xf numFmtId="10" fontId="12" fillId="0" borderId="0" xfId="70" applyNumberFormat="1" applyFont="1" applyAlignment="1">
      <alignment horizontal="center"/>
    </xf>
    <xf numFmtId="10" fontId="19" fillId="0" borderId="0" xfId="70" applyNumberFormat="1" applyFont="1" applyAlignment="1">
      <alignment horizontal="center"/>
    </xf>
    <xf numFmtId="0" fontId="1" fillId="0" borderId="0" xfId="0" applyFont="1"/>
    <xf numFmtId="165" fontId="25" fillId="0" borderId="0" xfId="41" applyNumberFormat="1" applyFont="1"/>
    <xf numFmtId="0" fontId="1" fillId="0" borderId="0" xfId="41"/>
    <xf numFmtId="49" fontId="3" fillId="0" borderId="0" xfId="41" applyNumberFormat="1" applyFont="1" applyFill="1" applyAlignment="1">
      <alignment horizontal="left"/>
    </xf>
    <xf numFmtId="166" fontId="27" fillId="0" borderId="0" xfId="41" applyNumberFormat="1" applyFont="1"/>
    <xf numFmtId="165" fontId="27" fillId="0" borderId="0" xfId="41" applyNumberFormat="1" applyFont="1"/>
    <xf numFmtId="165" fontId="24" fillId="0" borderId="0" xfId="41" applyNumberFormat="1" applyFont="1"/>
    <xf numFmtId="165" fontId="27" fillId="37" borderId="0" xfId="41" applyNumberFormat="1" applyFont="1" applyFill="1"/>
    <xf numFmtId="165" fontId="1" fillId="0" borderId="0" xfId="41" applyNumberFormat="1"/>
    <xf numFmtId="0" fontId="27" fillId="0" borderId="0" xfId="41" applyNumberFormat="1" applyFont="1" applyAlignment="1">
      <alignment horizontal="center"/>
    </xf>
    <xf numFmtId="165" fontId="20" fillId="0" borderId="0" xfId="41" applyNumberFormat="1" applyFont="1"/>
    <xf numFmtId="165" fontId="27" fillId="0" borderId="21" xfId="41" applyNumberFormat="1" applyFont="1" applyBorder="1"/>
    <xf numFmtId="165" fontId="25" fillId="0" borderId="21" xfId="41" applyNumberFormat="1" applyFont="1" applyBorder="1"/>
    <xf numFmtId="165" fontId="12" fillId="0" borderId="0" xfId="41" applyNumberFormat="1" applyFont="1"/>
    <xf numFmtId="49" fontId="4" fillId="0" borderId="0" xfId="41" applyNumberFormat="1" applyFont="1" applyFill="1" applyAlignment="1">
      <alignment horizontal="left" indent="1"/>
    </xf>
    <xf numFmtId="165" fontId="25" fillId="0" borderId="0" xfId="41" applyNumberFormat="1" applyFont="1" applyFill="1"/>
    <xf numFmtId="165" fontId="25" fillId="38" borderId="21" xfId="41" applyNumberFormat="1" applyFont="1" applyFill="1" applyBorder="1"/>
    <xf numFmtId="165" fontId="12" fillId="0" borderId="0" xfId="41" applyNumberFormat="1" applyFont="1" applyFill="1"/>
    <xf numFmtId="165" fontId="27" fillId="0" borderId="0" xfId="41" applyNumberFormat="1" applyFont="1" applyFill="1" applyBorder="1"/>
    <xf numFmtId="165" fontId="25" fillId="0" borderId="0" xfId="41" applyNumberFormat="1" applyFont="1" applyBorder="1"/>
    <xf numFmtId="166" fontId="24" fillId="0" borderId="0" xfId="41" applyNumberFormat="1" applyFont="1"/>
    <xf numFmtId="166" fontId="25" fillId="0" borderId="0" xfId="41" applyNumberFormat="1" applyFont="1"/>
    <xf numFmtId="165" fontId="36" fillId="26" borderId="7" xfId="65" applyNumberFormat="1" applyFont="1" applyFill="1" applyBorder="1" applyAlignment="1">
      <alignment horizontal="right"/>
    </xf>
    <xf numFmtId="165" fontId="26" fillId="0" borderId="0" xfId="65" applyNumberFormat="1" applyFont="1"/>
    <xf numFmtId="165" fontId="26" fillId="26" borderId="26" xfId="65" applyNumberFormat="1" applyFont="1" applyFill="1" applyBorder="1" applyAlignment="1">
      <alignment horizontal="right"/>
    </xf>
    <xf numFmtId="0" fontId="7" fillId="42" borderId="0" xfId="0" applyFont="1" applyFill="1" applyAlignment="1">
      <alignment horizontal="left" indent="1"/>
    </xf>
    <xf numFmtId="0" fontId="41" fillId="42" borderId="0" xfId="0" applyFont="1" applyFill="1" applyAlignment="1">
      <alignment horizontal="left" indent="1"/>
    </xf>
    <xf numFmtId="0" fontId="68" fillId="43" borderId="0" xfId="0" applyFont="1" applyFill="1" applyAlignment="1">
      <alignment horizontal="center"/>
    </xf>
    <xf numFmtId="2" fontId="24" fillId="0" borderId="0" xfId="0" applyNumberFormat="1" applyFont="1"/>
    <xf numFmtId="165" fontId="40" fillId="26" borderId="26" xfId="65" applyFont="1" applyFill="1" applyBorder="1" applyAlignment="1"/>
    <xf numFmtId="165" fontId="36" fillId="26" borderId="26" xfId="65" applyNumberFormat="1" applyFont="1" applyFill="1" applyBorder="1" applyAlignment="1"/>
    <xf numFmtId="165" fontId="3" fillId="0" borderId="0" xfId="66" applyNumberFormat="1" applyFont="1" applyFill="1" applyAlignment="1">
      <alignment horizontal="left"/>
    </xf>
    <xf numFmtId="0" fontId="7" fillId="41" borderId="29" xfId="0" applyFont="1" applyFill="1" applyBorder="1"/>
    <xf numFmtId="166" fontId="5" fillId="41" borderId="7" xfId="70" quotePrefix="1" applyNumberFormat="1" applyFont="1" applyFill="1" applyBorder="1" applyAlignment="1"/>
    <xf numFmtId="167" fontId="5" fillId="41" borderId="7" xfId="70" quotePrefix="1" applyNumberFormat="1" applyFont="1" applyFill="1" applyBorder="1" applyAlignment="1"/>
    <xf numFmtId="2" fontId="5" fillId="41" borderId="7" xfId="70" quotePrefix="1" applyNumberFormat="1" applyFont="1" applyFill="1" applyBorder="1" applyAlignment="1"/>
    <xf numFmtId="0" fontId="5" fillId="41" borderId="7" xfId="70" applyNumberFormat="1" applyFont="1" applyFill="1" applyBorder="1" applyAlignment="1">
      <alignment horizontal="center"/>
    </xf>
    <xf numFmtId="0" fontId="65" fillId="44" borderId="0" xfId="41" applyFont="1" applyFill="1"/>
    <xf numFmtId="0" fontId="63" fillId="44" borderId="0" xfId="41" applyFont="1" applyFill="1"/>
    <xf numFmtId="0" fontId="1" fillId="44" borderId="0" xfId="41" applyFont="1" applyFill="1"/>
    <xf numFmtId="0" fontId="1" fillId="31" borderId="0" xfId="41" applyFill="1"/>
    <xf numFmtId="0" fontId="10" fillId="44" borderId="0" xfId="41" applyFont="1" applyFill="1"/>
    <xf numFmtId="0" fontId="32" fillId="31" borderId="0" xfId="41" applyFont="1" applyFill="1"/>
    <xf numFmtId="0" fontId="1" fillId="44" borderId="0" xfId="41" applyFill="1"/>
    <xf numFmtId="0" fontId="2" fillId="0" borderId="0" xfId="41" applyFont="1"/>
    <xf numFmtId="49" fontId="9" fillId="0" borderId="0" xfId="41" applyNumberFormat="1" applyFont="1" applyFill="1" applyAlignment="1">
      <alignment horizontal="center"/>
    </xf>
    <xf numFmtId="0" fontId="7" fillId="0" borderId="0" xfId="41" applyFont="1"/>
    <xf numFmtId="3" fontId="1" fillId="0" borderId="0" xfId="41" applyNumberFormat="1"/>
    <xf numFmtId="49" fontId="6" fillId="28" borderId="0" xfId="41" applyNumberFormat="1" applyFont="1" applyFill="1" applyBorder="1" applyAlignment="1">
      <alignment horizontal="left" indent="6"/>
    </xf>
    <xf numFmtId="0" fontId="1" fillId="28" borderId="0" xfId="41" applyFill="1"/>
    <xf numFmtId="171" fontId="6" fillId="28" borderId="0" xfId="41" applyNumberFormat="1" applyFont="1" applyFill="1"/>
    <xf numFmtId="3" fontId="1" fillId="28" borderId="0" xfId="41" applyNumberFormat="1" applyFill="1"/>
    <xf numFmtId="49" fontId="1" fillId="28" borderId="0" xfId="41" applyNumberFormat="1" applyFill="1" applyBorder="1" applyAlignment="1">
      <alignment horizontal="left" indent="6"/>
    </xf>
    <xf numFmtId="171" fontId="1" fillId="0" borderId="0" xfId="41" applyNumberFormat="1"/>
    <xf numFmtId="49" fontId="1" fillId="35" borderId="0" xfId="41" applyNumberFormat="1" applyFont="1" applyFill="1" applyBorder="1" applyAlignment="1">
      <alignment horizontal="left" indent="6"/>
    </xf>
    <xf numFmtId="49" fontId="1" fillId="35" borderId="0" xfId="41" applyNumberFormat="1" applyFill="1" applyBorder="1" applyAlignment="1">
      <alignment horizontal="left" indent="6"/>
    </xf>
    <xf numFmtId="3" fontId="1" fillId="35" borderId="0" xfId="41" applyNumberFormat="1" applyFill="1"/>
    <xf numFmtId="0" fontId="1" fillId="35" borderId="0" xfId="41" applyFill="1"/>
    <xf numFmtId="0" fontId="6" fillId="0" borderId="0" xfId="41" applyFont="1" applyAlignment="1">
      <alignment horizontal="center"/>
    </xf>
    <xf numFmtId="10" fontId="25" fillId="0" borderId="0" xfId="70" applyNumberFormat="1" applyFont="1"/>
    <xf numFmtId="10" fontId="5" fillId="24" borderId="7" xfId="70" quotePrefix="1" applyNumberFormat="1" applyFont="1" applyFill="1" applyBorder="1" applyAlignment="1"/>
    <xf numFmtId="10" fontId="5" fillId="41" borderId="7" xfId="70" quotePrefix="1" applyNumberFormat="1" applyFont="1" applyFill="1" applyBorder="1" applyAlignment="1"/>
    <xf numFmtId="165" fontId="5" fillId="41" borderId="7" xfId="70" quotePrefix="1" applyNumberFormat="1" applyFont="1" applyFill="1" applyBorder="1" applyAlignment="1"/>
    <xf numFmtId="0" fontId="14" fillId="0" borderId="0" xfId="0" applyFont="1" applyAlignment="1">
      <alignment horizontal="left"/>
    </xf>
    <xf numFmtId="9" fontId="5" fillId="41" borderId="7" xfId="70" quotePrefix="1" applyNumberFormat="1" applyFont="1" applyFill="1" applyBorder="1" applyAlignment="1"/>
    <xf numFmtId="166" fontId="69" fillId="0" borderId="0" xfId="70" applyNumberFormat="1" applyFont="1"/>
    <xf numFmtId="49" fontId="6" fillId="36" borderId="0" xfId="0" applyNumberFormat="1" applyFont="1" applyFill="1" applyBorder="1" applyAlignment="1"/>
    <xf numFmtId="0" fontId="66" fillId="0" borderId="0" xfId="0" applyFont="1"/>
    <xf numFmtId="1" fontId="25" fillId="25" borderId="0" xfId="0" applyNumberFormat="1" applyFont="1" applyFill="1" applyAlignment="1">
      <alignment horizontal="center"/>
    </xf>
    <xf numFmtId="10" fontId="24" fillId="0" borderId="0" xfId="70" applyNumberFormat="1" applyFont="1"/>
    <xf numFmtId="0" fontId="0" fillId="45" borderId="0" xfId="0" applyFill="1"/>
    <xf numFmtId="0" fontId="6" fillId="45" borderId="0" xfId="0" applyFont="1" applyFill="1"/>
    <xf numFmtId="49" fontId="9" fillId="45" borderId="0" xfId="0" applyNumberFormat="1" applyFont="1" applyFill="1" applyAlignment="1">
      <alignment horizontal="center"/>
    </xf>
    <xf numFmtId="0" fontId="1" fillId="45" borderId="0" xfId="0" applyFont="1" applyFill="1"/>
    <xf numFmtId="3" fontId="0" fillId="45" borderId="0" xfId="0" applyNumberFormat="1" applyFill="1"/>
    <xf numFmtId="3" fontId="6" fillId="45" borderId="0" xfId="0" applyNumberFormat="1" applyFont="1" applyFill="1"/>
    <xf numFmtId="0" fontId="70" fillId="0" borderId="0" xfId="0" applyNumberFormat="1" applyFont="1" applyAlignment="1">
      <alignment horizontal="center"/>
    </xf>
    <xf numFmtId="165" fontId="4" fillId="0" borderId="0" xfId="66" applyNumberFormat="1" applyFont="1" applyFill="1" applyAlignment="1">
      <alignment horizontal="left" indent="1"/>
    </xf>
    <xf numFmtId="165" fontId="25" fillId="46" borderId="0" xfId="0" applyNumberFormat="1" applyFont="1" applyFill="1"/>
    <xf numFmtId="3" fontId="71" fillId="45" borderId="0" xfId="0" applyNumberFormat="1" applyFont="1" applyFill="1"/>
    <xf numFmtId="174" fontId="5" fillId="24" borderId="0" xfId="70" quotePrefix="1" applyNumberFormat="1" applyFont="1" applyFill="1" applyBorder="1" applyAlignment="1"/>
    <xf numFmtId="174" fontId="5" fillId="41" borderId="0" xfId="70" quotePrefix="1" applyNumberFormat="1" applyFont="1" applyFill="1" applyBorder="1" applyAlignment="1"/>
    <xf numFmtId="165" fontId="7" fillId="0" borderId="0" xfId="66" applyNumberFormat="1" applyFont="1" applyFill="1" applyAlignment="1">
      <alignment horizontal="left"/>
    </xf>
    <xf numFmtId="165" fontId="21" fillId="0" borderId="0" xfId="66" applyNumberFormat="1" applyFont="1" applyFill="1" applyAlignment="1">
      <alignment horizontal="left"/>
    </xf>
    <xf numFmtId="0" fontId="2" fillId="0" borderId="0" xfId="42" applyFont="1"/>
    <xf numFmtId="0" fontId="1" fillId="0" borderId="0" xfId="42"/>
    <xf numFmtId="165" fontId="1" fillId="0" borderId="0" xfId="42" applyNumberFormat="1"/>
    <xf numFmtId="1" fontId="71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70" fillId="0" borderId="0" xfId="0" applyNumberFormat="1" applyFont="1" applyAlignment="1">
      <alignment horizontal="center"/>
    </xf>
    <xf numFmtId="165" fontId="69" fillId="26" borderId="0" xfId="0" applyNumberFormat="1" applyFont="1" applyFill="1"/>
    <xf numFmtId="165" fontId="72" fillId="26" borderId="0" xfId="0" applyNumberFormat="1" applyFont="1" applyFill="1"/>
    <xf numFmtId="2" fontId="1" fillId="0" borderId="0" xfId="0" applyNumberFormat="1" applyFont="1"/>
    <xf numFmtId="0" fontId="2" fillId="43" borderId="0" xfId="0" applyFont="1" applyFill="1"/>
    <xf numFmtId="0" fontId="0" fillId="43" borderId="0" xfId="0" applyFill="1"/>
    <xf numFmtId="165" fontId="6" fillId="43" borderId="0" xfId="65" applyFont="1" applyFill="1" applyAlignment="1">
      <alignment horizontal="left" indent="1"/>
    </xf>
    <xf numFmtId="165" fontId="0" fillId="43" borderId="0" xfId="0" applyNumberFormat="1" applyFill="1"/>
    <xf numFmtId="165" fontId="6" fillId="43" borderId="0" xfId="65" applyFont="1" applyFill="1" applyAlignment="1">
      <alignment horizontal="left"/>
    </xf>
    <xf numFmtId="49" fontId="9" fillId="43" borderId="0" xfId="0" applyNumberFormat="1" applyFont="1" applyFill="1" applyAlignment="1">
      <alignment horizontal="center"/>
    </xf>
    <xf numFmtId="49" fontId="17" fillId="43" borderId="0" xfId="0" applyNumberFormat="1" applyFont="1" applyFill="1" applyAlignment="1">
      <alignment horizontal="center"/>
    </xf>
    <xf numFmtId="168" fontId="29" fillId="43" borderId="0" xfId="70" applyNumberFormat="1" applyFont="1" applyFill="1" applyBorder="1" applyAlignment="1">
      <alignment horizontal="right"/>
    </xf>
    <xf numFmtId="168" fontId="1" fillId="43" borderId="0" xfId="70" applyNumberFormat="1" applyFill="1" applyBorder="1" applyAlignment="1">
      <alignment horizontal="right"/>
    </xf>
    <xf numFmtId="168" fontId="20" fillId="43" borderId="0" xfId="70" applyNumberFormat="1" applyFont="1" applyFill="1" applyBorder="1" applyAlignment="1">
      <alignment horizontal="right"/>
    </xf>
    <xf numFmtId="168" fontId="6" fillId="43" borderId="0" xfId="70" applyNumberFormat="1" applyFont="1" applyFill="1" applyBorder="1" applyAlignment="1">
      <alignment horizontal="right"/>
    </xf>
    <xf numFmtId="49" fontId="73" fillId="43" borderId="0" xfId="0" applyNumberFormat="1" applyFont="1" applyFill="1" applyAlignment="1">
      <alignment horizontal="center"/>
    </xf>
    <xf numFmtId="168" fontId="74" fillId="43" borderId="0" xfId="0" applyNumberFormat="1" applyFont="1" applyFill="1"/>
    <xf numFmtId="168" fontId="72" fillId="43" borderId="0" xfId="0" applyNumberFormat="1" applyFont="1" applyFill="1"/>
    <xf numFmtId="168" fontId="69" fillId="43" borderId="0" xfId="70" applyNumberFormat="1" applyFont="1" applyFill="1" applyBorder="1" applyAlignment="1">
      <alignment horizontal="right"/>
    </xf>
    <xf numFmtId="49" fontId="14" fillId="0" borderId="0" xfId="41" applyNumberFormat="1" applyFont="1" applyFill="1"/>
    <xf numFmtId="0" fontId="24" fillId="0" borderId="0" xfId="41" applyFont="1"/>
    <xf numFmtId="49" fontId="17" fillId="0" borderId="0" xfId="41" applyNumberFormat="1" applyFont="1" applyFill="1" applyAlignment="1">
      <alignment horizontal="center"/>
    </xf>
    <xf numFmtId="49" fontId="28" fillId="0" borderId="0" xfId="41" applyNumberFormat="1" applyFont="1" applyFill="1" applyAlignment="1">
      <alignment horizontal="center"/>
    </xf>
    <xf numFmtId="0" fontId="1" fillId="0" borderId="0" xfId="41" applyFont="1"/>
    <xf numFmtId="0" fontId="1" fillId="0" borderId="0" xfId="41" applyFont="1" applyAlignment="1">
      <alignment horizontal="left"/>
    </xf>
    <xf numFmtId="0" fontId="6" fillId="0" borderId="0" xfId="41" applyFont="1"/>
    <xf numFmtId="165" fontId="1" fillId="0" borderId="0" xfId="41" applyNumberFormat="1" applyFont="1"/>
    <xf numFmtId="49" fontId="75" fillId="0" borderId="0" xfId="41" applyNumberFormat="1" applyFont="1" applyFill="1" applyAlignment="1">
      <alignment horizontal="center"/>
    </xf>
    <xf numFmtId="0" fontId="28" fillId="0" borderId="0" xfId="41" applyNumberFormat="1" applyFont="1" applyFill="1" applyAlignment="1">
      <alignment horizontal="center"/>
    </xf>
    <xf numFmtId="49" fontId="8" fillId="0" borderId="0" xfId="41" applyNumberFormat="1" applyFont="1" applyFill="1" applyAlignment="1">
      <alignment horizontal="center"/>
    </xf>
    <xf numFmtId="49" fontId="5" fillId="24" borderId="7" xfId="70" applyNumberFormat="1" applyFont="1" applyFill="1" applyBorder="1" applyAlignment="1">
      <alignment horizontal="center"/>
    </xf>
    <xf numFmtId="49" fontId="5" fillId="41" borderId="7" xfId="70" applyNumberFormat="1" applyFont="1" applyFill="1" applyBorder="1" applyAlignment="1">
      <alignment horizontal="center"/>
    </xf>
    <xf numFmtId="165" fontId="25" fillId="0" borderId="21" xfId="41" applyNumberFormat="1" applyFont="1" applyFill="1" applyBorder="1"/>
    <xf numFmtId="3" fontId="71" fillId="0" borderId="0" xfId="0" applyNumberFormat="1" applyFont="1"/>
    <xf numFmtId="3" fontId="74" fillId="0" borderId="0" xfId="0" applyNumberFormat="1" applyFont="1"/>
    <xf numFmtId="3" fontId="6" fillId="0" borderId="0" xfId="0" applyNumberFormat="1" applyFont="1"/>
    <xf numFmtId="175" fontId="71" fillId="0" borderId="0" xfId="0" applyNumberFormat="1" applyFont="1"/>
    <xf numFmtId="175" fontId="74" fillId="0" borderId="0" xfId="0" applyNumberFormat="1" applyFont="1"/>
    <xf numFmtId="175" fontId="70" fillId="0" borderId="0" xfId="0" applyNumberFormat="1" applyFont="1"/>
    <xf numFmtId="165" fontId="6" fillId="41" borderId="0" xfId="0" applyNumberFormat="1" applyFont="1" applyFill="1"/>
    <xf numFmtId="49" fontId="6" fillId="41" borderId="0" xfId="0" applyNumberFormat="1" applyFont="1" applyFill="1" applyBorder="1" applyAlignment="1">
      <alignment horizontal="left" indent="6"/>
    </xf>
    <xf numFmtId="171" fontId="6" fillId="41" borderId="0" xfId="0" applyNumberFormat="1" applyFont="1" applyFill="1"/>
    <xf numFmtId="49" fontId="0" fillId="41" borderId="0" xfId="0" applyNumberFormat="1" applyFill="1" applyBorder="1" applyAlignment="1">
      <alignment horizontal="left" indent="6"/>
    </xf>
    <xf numFmtId="3" fontId="1" fillId="41" borderId="0" xfId="0" applyNumberFormat="1" applyFont="1" applyFill="1"/>
    <xf numFmtId="49" fontId="1" fillId="41" borderId="0" xfId="0" applyNumberFormat="1" applyFont="1" applyFill="1" applyBorder="1" applyAlignment="1">
      <alignment horizontal="left" indent="6"/>
    </xf>
    <xf numFmtId="49" fontId="0" fillId="41" borderId="0" xfId="0" applyNumberFormat="1" applyFill="1" applyBorder="1" applyAlignment="1">
      <alignment horizontal="left" indent="2"/>
    </xf>
    <xf numFmtId="49" fontId="9" fillId="0" borderId="0" xfId="0" applyNumberFormat="1" applyFont="1" applyFill="1" applyAlignment="1">
      <alignment horizontal="center"/>
    </xf>
    <xf numFmtId="0" fontId="10" fillId="0" borderId="0" xfId="0" applyFont="1"/>
    <xf numFmtId="0" fontId="2" fillId="0" borderId="0" xfId="0" applyFont="1"/>
    <xf numFmtId="0" fontId="25" fillId="0" borderId="0" xfId="0" applyNumberFormat="1" applyFont="1" applyFill="1" applyAlignment="1">
      <alignment horizontal="center"/>
    </xf>
    <xf numFmtId="176" fontId="0" fillId="0" borderId="0" xfId="0" applyNumberFormat="1"/>
    <xf numFmtId="2" fontId="27" fillId="0" borderId="0" xfId="0" applyNumberFormat="1" applyFont="1"/>
    <xf numFmtId="2" fontId="25" fillId="0" borderId="0" xfId="0" applyNumberFormat="1" applyFont="1"/>
    <xf numFmtId="10" fontId="27" fillId="0" borderId="0" xfId="70" applyNumberFormat="1" applyFont="1"/>
    <xf numFmtId="1" fontId="26" fillId="27" borderId="7" xfId="65" applyNumberFormat="1" applyFont="1" applyFill="1" applyBorder="1" applyAlignment="1">
      <alignment horizontal="right"/>
    </xf>
    <xf numFmtId="10" fontId="15" fillId="27" borderId="7" xfId="70" applyNumberFormat="1" applyFont="1" applyFill="1" applyBorder="1" applyAlignment="1">
      <alignment horizontal="right"/>
    </xf>
    <xf numFmtId="10" fontId="26" fillId="27" borderId="7" xfId="70" applyNumberFormat="1" applyFont="1" applyFill="1" applyBorder="1" applyAlignment="1">
      <alignment horizontal="right"/>
    </xf>
    <xf numFmtId="165" fontId="15" fillId="27" borderId="7" xfId="65" applyNumberFormat="1" applyFont="1" applyFill="1" applyBorder="1" applyAlignment="1">
      <alignment horizontal="right"/>
    </xf>
    <xf numFmtId="165" fontId="26" fillId="27" borderId="7" xfId="65" applyNumberFormat="1" applyFont="1" applyFill="1" applyBorder="1" applyAlignment="1">
      <alignment horizontal="right"/>
    </xf>
    <xf numFmtId="10" fontId="69" fillId="0" borderId="0" xfId="70" applyNumberFormat="1" applyFont="1"/>
    <xf numFmtId="0" fontId="13" fillId="43" borderId="0" xfId="0" applyFont="1" applyFill="1" applyBorder="1"/>
    <xf numFmtId="10" fontId="4" fillId="0" borderId="0" xfId="70" applyNumberFormat="1" applyFont="1" applyFill="1" applyAlignment="1">
      <alignment horizontal="left" indent="1"/>
    </xf>
    <xf numFmtId="177" fontId="6" fillId="28" borderId="0" xfId="41" applyNumberFormat="1" applyFont="1" applyFill="1"/>
    <xf numFmtId="166" fontId="69" fillId="0" borderId="0" xfId="0" applyNumberFormat="1" applyFont="1"/>
    <xf numFmtId="0" fontId="7" fillId="0" borderId="0" xfId="41" applyFont="1" applyAlignment="1">
      <alignment horizontal="right"/>
    </xf>
    <xf numFmtId="0" fontId="6" fillId="0" borderId="0" xfId="41" applyFont="1" applyAlignment="1">
      <alignment horizontal="right"/>
    </xf>
    <xf numFmtId="0" fontId="10" fillId="45" borderId="0" xfId="0" applyFont="1" applyFill="1"/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41"/>
    <cellStyle name="Normal 10 2" xfId="42"/>
    <cellStyle name="Normal 10 3" xfId="43"/>
    <cellStyle name="Normal 10 4" xfId="44"/>
    <cellStyle name="Normal 10 5" xfId="45"/>
    <cellStyle name="Normal 10 6" xfId="46"/>
    <cellStyle name="Normal 11" xfId="47"/>
    <cellStyle name="Normal 11 2" xfId="48"/>
    <cellStyle name="Normal 12" xfId="49"/>
    <cellStyle name="Normal 13" xfId="50"/>
    <cellStyle name="Normal 2" xfId="51"/>
    <cellStyle name="Normal 2 2" xfId="52"/>
    <cellStyle name="Normal 2 3" xfId="53"/>
    <cellStyle name="Normal 2 4" xfId="54"/>
    <cellStyle name="Normal 2 5" xfId="55"/>
    <cellStyle name="Normal 2 6" xfId="56"/>
    <cellStyle name="Normal 2 7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H-Ass" xfId="65"/>
    <cellStyle name="Normal_H-Ass 2" xfId="66"/>
    <cellStyle name="Normal_Health Weights for LTFM" xfId="67"/>
    <cellStyle name="Note" xfId="68" builtinId="10" customBuiltin="1"/>
    <cellStyle name="Output" xfId="69" builtinId="21" customBuiltin="1"/>
    <cellStyle name="Percent" xfId="70" builtinId="5"/>
    <cellStyle name="Percent 2" xfId="71"/>
    <cellStyle name="Percent 2 2" xfId="72"/>
    <cellStyle name="Percent 2 3" xfId="73"/>
    <cellStyle name="Percent 2 4" xfId="74"/>
    <cellStyle name="Percent 2 5" xfId="75"/>
    <cellStyle name="Percent 2 6" xfId="76"/>
    <cellStyle name="Title" xfId="77" builtinId="15" customBuiltin="1"/>
    <cellStyle name="Total" xfId="78" builtinId="25" customBuiltin="1"/>
    <cellStyle name="Warning Text" xfId="7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1" dropStyle="combo" dx="22" fmlaLink="Offsets!$B$1" fmlaRange="Offsets!$A$2:$A$32" noThreeD="1" sel="31" val="0"/>
</file>

<file path=xl/ctrlProps/ctrlProp2.xml><?xml version="1.0" encoding="utf-8"?>
<formControlPr xmlns="http://schemas.microsoft.com/office/spreadsheetml/2009/9/main" objectType="Drop" dropLines="31" dropStyle="combo" dx="22" fmlaLink="Offsets!$B$1" fmlaRange="Offsets!$A$2:$A$32" noThreeD="1" sel="31" val="0"/>
</file>

<file path=xl/ctrlProps/ctrlProp3.xml><?xml version="1.0" encoding="utf-8"?>
<formControlPr xmlns="http://schemas.microsoft.com/office/spreadsheetml/2009/9/main" objectType="Drop" dropLines="31" dropStyle="combo" dx="22" fmlaLink="Offsets!$B$1" fmlaRange="Offsets!$A$2:$A$32" noThreeD="1" sel="3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0</xdr:rowOff>
        </xdr:from>
        <xdr:to>
          <xdr:col>0</xdr:col>
          <xdr:colOff>4714875</xdr:colOff>
          <xdr:row>4</xdr:row>
          <xdr:rowOff>323850</xdr:rowOff>
        </xdr:to>
        <xdr:sp macro="" textlink="">
          <xdr:nvSpPr>
            <xdr:cNvPr id="434177" name="Drop Down 1" hidden="1">
              <a:extLst>
                <a:ext uri="{63B3BB69-23CF-44E3-9099-C40C66FF867C}">
                  <a14:compatExt spid="_x0000_s43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0</xdr:rowOff>
        </xdr:from>
        <xdr:to>
          <xdr:col>0</xdr:col>
          <xdr:colOff>4714875</xdr:colOff>
          <xdr:row>4</xdr:row>
          <xdr:rowOff>323850</xdr:rowOff>
        </xdr:to>
        <xdr:sp macro="" textlink="">
          <xdr:nvSpPr>
            <xdr:cNvPr id="436225" name="Drop Down 1" hidden="1">
              <a:extLst>
                <a:ext uri="{63B3BB69-23CF-44E3-9099-C40C66FF867C}">
                  <a14:compatExt spid="_x0000_s43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0</xdr:rowOff>
        </xdr:from>
        <xdr:to>
          <xdr:col>0</xdr:col>
          <xdr:colOff>4714875</xdr:colOff>
          <xdr:row>4</xdr:row>
          <xdr:rowOff>323850</xdr:rowOff>
        </xdr:to>
        <xdr:sp macro="" textlink="">
          <xdr:nvSpPr>
            <xdr:cNvPr id="430081" name="Drop Down 1" hidden="1">
              <a:extLst>
                <a:ext uri="{63B3BB69-23CF-44E3-9099-C40C66FF867C}">
                  <a14:compatExt spid="_x0000_s430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3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4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topLeftCell="A2" workbookViewId="0">
      <selection activeCell="B33" sqref="B33"/>
    </sheetView>
  </sheetViews>
  <sheetFormatPr defaultRowHeight="12.75" x14ac:dyDescent="0.2"/>
  <cols>
    <col min="1" max="1" width="70.7109375" customWidth="1"/>
  </cols>
  <sheetData>
    <row r="1" spans="1:2" ht="15.75" x14ac:dyDescent="0.25">
      <c r="A1" s="5" t="s">
        <v>353</v>
      </c>
      <c r="B1">
        <v>31</v>
      </c>
    </row>
    <row r="2" spans="1:2" x14ac:dyDescent="0.2">
      <c r="A2" s="31" t="s">
        <v>686</v>
      </c>
      <c r="B2" s="32">
        <v>1</v>
      </c>
    </row>
    <row r="3" spans="1:2" x14ac:dyDescent="0.2">
      <c r="A3" s="31" t="s">
        <v>323</v>
      </c>
      <c r="B3" s="32">
        <v>2</v>
      </c>
    </row>
    <row r="4" spans="1:2" x14ac:dyDescent="0.2">
      <c r="A4" s="31" t="s">
        <v>324</v>
      </c>
      <c r="B4" s="32">
        <v>3</v>
      </c>
    </row>
    <row r="5" spans="1:2" x14ac:dyDescent="0.2">
      <c r="A5" s="31" t="s">
        <v>325</v>
      </c>
      <c r="B5" s="32">
        <v>4</v>
      </c>
    </row>
    <row r="6" spans="1:2" x14ac:dyDescent="0.2">
      <c r="A6" s="31"/>
      <c r="B6" s="32">
        <v>5</v>
      </c>
    </row>
    <row r="7" spans="1:2" x14ac:dyDescent="0.2">
      <c r="A7" s="31" t="s">
        <v>327</v>
      </c>
      <c r="B7" s="32">
        <v>6</v>
      </c>
    </row>
    <row r="8" spans="1:2" x14ac:dyDescent="0.2">
      <c r="A8" s="31"/>
      <c r="B8" s="32">
        <v>7</v>
      </c>
    </row>
    <row r="9" spans="1:2" x14ac:dyDescent="0.2">
      <c r="A9" s="31" t="s">
        <v>351</v>
      </c>
      <c r="B9" s="32">
        <v>8</v>
      </c>
    </row>
    <row r="10" spans="1:2" x14ac:dyDescent="0.2">
      <c r="A10" s="31"/>
      <c r="B10" s="32">
        <v>9</v>
      </c>
    </row>
    <row r="11" spans="1:2" x14ac:dyDescent="0.2">
      <c r="A11" s="31" t="s">
        <v>687</v>
      </c>
      <c r="B11" s="32">
        <v>10</v>
      </c>
    </row>
    <row r="12" spans="1:2" x14ac:dyDescent="0.2">
      <c r="A12" s="31" t="s">
        <v>328</v>
      </c>
      <c r="B12" s="32">
        <v>11</v>
      </c>
    </row>
    <row r="13" spans="1:2" x14ac:dyDescent="0.2">
      <c r="A13" s="31" t="s">
        <v>329</v>
      </c>
      <c r="B13" s="32">
        <v>12</v>
      </c>
    </row>
    <row r="14" spans="1:2" x14ac:dyDescent="0.2">
      <c r="A14" s="31" t="s">
        <v>330</v>
      </c>
      <c r="B14" s="32">
        <v>13</v>
      </c>
    </row>
    <row r="15" spans="1:2" x14ac:dyDescent="0.2">
      <c r="A15" s="31" t="s">
        <v>818</v>
      </c>
      <c r="B15" s="32">
        <v>14</v>
      </c>
    </row>
    <row r="16" spans="1:2" x14ac:dyDescent="0.2">
      <c r="A16" s="31" t="s">
        <v>808</v>
      </c>
      <c r="B16" s="32">
        <v>15</v>
      </c>
    </row>
    <row r="17" spans="1:2" x14ac:dyDescent="0.2">
      <c r="A17" s="31"/>
      <c r="B17" s="32">
        <v>16</v>
      </c>
    </row>
    <row r="18" spans="1:2" x14ac:dyDescent="0.2">
      <c r="A18" s="31" t="s">
        <v>354</v>
      </c>
      <c r="B18" s="32">
        <v>17</v>
      </c>
    </row>
    <row r="19" spans="1:2" x14ac:dyDescent="0.2">
      <c r="A19" s="31" t="s">
        <v>819</v>
      </c>
      <c r="B19" s="32">
        <v>18</v>
      </c>
    </row>
    <row r="20" spans="1:2" x14ac:dyDescent="0.2">
      <c r="A20" s="31"/>
      <c r="B20" s="32">
        <v>19</v>
      </c>
    </row>
    <row r="21" spans="1:2" x14ac:dyDescent="0.2">
      <c r="A21" s="31"/>
      <c r="B21" s="32">
        <v>20</v>
      </c>
    </row>
    <row r="22" spans="1:2" x14ac:dyDescent="0.2">
      <c r="A22" s="31" t="s">
        <v>352</v>
      </c>
      <c r="B22" s="32">
        <v>21</v>
      </c>
    </row>
    <row r="23" spans="1:2" x14ac:dyDescent="0.2">
      <c r="A23" s="31" t="s">
        <v>689</v>
      </c>
      <c r="B23" s="32">
        <v>22</v>
      </c>
    </row>
    <row r="24" spans="1:2" x14ac:dyDescent="0.2">
      <c r="A24" s="31" t="s">
        <v>691</v>
      </c>
      <c r="B24" s="32">
        <v>23</v>
      </c>
    </row>
    <row r="25" spans="1:2" x14ac:dyDescent="0.2">
      <c r="A25" s="31" t="s">
        <v>692</v>
      </c>
      <c r="B25" s="32">
        <v>24</v>
      </c>
    </row>
    <row r="26" spans="1:2" x14ac:dyDescent="0.2">
      <c r="B26" s="32">
        <v>25</v>
      </c>
    </row>
    <row r="27" spans="1:2" x14ac:dyDescent="0.2">
      <c r="A27" s="31" t="s">
        <v>182</v>
      </c>
      <c r="B27" s="32">
        <v>26</v>
      </c>
    </row>
    <row r="28" spans="1:2" x14ac:dyDescent="0.2">
      <c r="A28" s="31" t="s">
        <v>693</v>
      </c>
      <c r="B28" s="32">
        <v>27</v>
      </c>
    </row>
    <row r="29" spans="1:2" x14ac:dyDescent="0.2">
      <c r="A29" s="31" t="s">
        <v>694</v>
      </c>
      <c r="B29" s="32">
        <v>28</v>
      </c>
    </row>
    <row r="30" spans="1:2" x14ac:dyDescent="0.2">
      <c r="A30" s="31" t="s">
        <v>695</v>
      </c>
      <c r="B30" s="32">
        <v>29</v>
      </c>
    </row>
    <row r="31" spans="1:2" x14ac:dyDescent="0.2">
      <c r="A31" s="31" t="s">
        <v>820</v>
      </c>
      <c r="B31" s="32">
        <v>30</v>
      </c>
    </row>
    <row r="32" spans="1:2" x14ac:dyDescent="0.2">
      <c r="A32" s="31" t="s">
        <v>821</v>
      </c>
      <c r="B32" s="32">
        <v>31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54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Z196" sqref="Z196"/>
    </sheetView>
  </sheetViews>
  <sheetFormatPr defaultRowHeight="12.75" x14ac:dyDescent="0.2"/>
  <cols>
    <col min="1" max="1" width="70.7109375" style="124" customWidth="1"/>
    <col min="2" max="2" width="8.7109375" customWidth="1"/>
    <col min="3" max="3" width="4.7109375" style="72" customWidth="1"/>
    <col min="4" max="10" width="8.7109375" style="127" customWidth="1"/>
    <col min="11" max="24" width="8.7109375" style="73" customWidth="1"/>
  </cols>
  <sheetData>
    <row r="1" spans="1:24" ht="15.75" x14ac:dyDescent="0.25">
      <c r="A1" s="165" t="s">
        <v>394</v>
      </c>
      <c r="B1" s="24" t="s">
        <v>956</v>
      </c>
      <c r="C1" s="164">
        <f>MATCH($B$1,Scenarios!$B$3:$C$3,0)</f>
        <v>2</v>
      </c>
      <c r="D1" s="204" t="s">
        <v>117</v>
      </c>
      <c r="E1" s="205"/>
      <c r="F1" s="206" t="s">
        <v>118</v>
      </c>
      <c r="G1" s="207" t="s">
        <v>119</v>
      </c>
      <c r="H1" s="208"/>
      <c r="I1" s="209" t="s">
        <v>118</v>
      </c>
      <c r="J1" s="245" t="s">
        <v>747</v>
      </c>
      <c r="K1" s="243"/>
      <c r="L1" s="244" t="s">
        <v>118</v>
      </c>
      <c r="M1" s="291" t="s">
        <v>773</v>
      </c>
      <c r="N1" s="292"/>
      <c r="O1" s="293" t="s">
        <v>118</v>
      </c>
      <c r="P1" s="232" t="s">
        <v>774</v>
      </c>
    </row>
    <row r="2" spans="1:24" ht="13.5" x14ac:dyDescent="0.25">
      <c r="A2" s="166" t="s">
        <v>701</v>
      </c>
      <c r="B2" s="231"/>
      <c r="C2" s="232" t="s">
        <v>601</v>
      </c>
      <c r="D2"/>
      <c r="E2"/>
      <c r="F2"/>
      <c r="G2"/>
      <c r="H2"/>
      <c r="I2"/>
      <c r="J2"/>
      <c r="K2"/>
      <c r="L2"/>
      <c r="M2"/>
      <c r="N2"/>
      <c r="O2" s="117" t="s">
        <v>152</v>
      </c>
      <c r="P2"/>
      <c r="Q2"/>
      <c r="R2"/>
      <c r="S2"/>
      <c r="T2"/>
      <c r="U2"/>
      <c r="V2"/>
      <c r="W2"/>
      <c r="X2"/>
    </row>
    <row r="3" spans="1:24" ht="15.75" x14ac:dyDescent="0.25">
      <c r="A3" s="52" t="s">
        <v>136</v>
      </c>
      <c r="B3" s="163"/>
      <c r="C3" s="163"/>
      <c r="D3" s="163" t="s">
        <v>445</v>
      </c>
      <c r="E3" s="163" t="s">
        <v>446</v>
      </c>
      <c r="F3" s="163" t="s">
        <v>447</v>
      </c>
      <c r="G3" s="163" t="s">
        <v>448</v>
      </c>
      <c r="H3" s="163" t="s">
        <v>449</v>
      </c>
      <c r="I3" s="163" t="s">
        <v>450</v>
      </c>
      <c r="J3" s="140" t="s">
        <v>451</v>
      </c>
      <c r="K3" s="140" t="s">
        <v>452</v>
      </c>
      <c r="L3" s="140" t="s">
        <v>453</v>
      </c>
      <c r="M3" s="140" t="s">
        <v>454</v>
      </c>
      <c r="N3" s="140" t="s">
        <v>455</v>
      </c>
      <c r="O3" s="139" t="s">
        <v>456</v>
      </c>
      <c r="P3" s="139" t="s">
        <v>457</v>
      </c>
      <c r="Q3" s="139" t="s">
        <v>458</v>
      </c>
      <c r="R3" s="139" t="s">
        <v>459</v>
      </c>
      <c r="S3" s="139" t="s">
        <v>460</v>
      </c>
      <c r="T3" s="139" t="s">
        <v>461</v>
      </c>
      <c r="U3" s="139" t="s">
        <v>462</v>
      </c>
      <c r="V3" s="139" t="s">
        <v>463</v>
      </c>
      <c r="W3" s="139" t="s">
        <v>464</v>
      </c>
      <c r="X3" s="139" t="s">
        <v>465</v>
      </c>
    </row>
    <row r="4" spans="1:24" ht="13.5" x14ac:dyDescent="0.25">
      <c r="A4" s="157" t="s">
        <v>350</v>
      </c>
      <c r="B4" s="220" t="s">
        <v>366</v>
      </c>
      <c r="C4" s="353">
        <v>2006</v>
      </c>
      <c r="D4" s="353">
        <f>$C$4+1</f>
        <v>2007</v>
      </c>
      <c r="E4" s="353">
        <f>$C$4+2</f>
        <v>2008</v>
      </c>
      <c r="F4" s="353">
        <f>$C$4+3</f>
        <v>2009</v>
      </c>
      <c r="G4" s="353">
        <f>$C$4+4</f>
        <v>2010</v>
      </c>
      <c r="H4" s="353">
        <f>$C$4+5</f>
        <v>2011</v>
      </c>
      <c r="I4" s="353">
        <f>$C$4+6</f>
        <v>2012</v>
      </c>
      <c r="J4" s="354">
        <f>$C$4+7</f>
        <v>2013</v>
      </c>
      <c r="K4" s="354">
        <f>$C$4+8</f>
        <v>2014</v>
      </c>
      <c r="L4" s="354">
        <f>$C$4+9</f>
        <v>2015</v>
      </c>
      <c r="M4" s="354">
        <f>$C$4+10</f>
        <v>2016</v>
      </c>
      <c r="N4" s="354">
        <f>$C$4+11</f>
        <v>2017</v>
      </c>
      <c r="O4" s="355">
        <f>$C$4+12</f>
        <v>2018</v>
      </c>
      <c r="P4" s="355">
        <f>$C$4+13</f>
        <v>2019</v>
      </c>
      <c r="Q4" s="355">
        <f>$C$4+14</f>
        <v>2020</v>
      </c>
      <c r="R4" s="355">
        <f>$C$4+15</f>
        <v>2021</v>
      </c>
      <c r="S4" s="355">
        <f>$C$4+16</f>
        <v>2022</v>
      </c>
      <c r="T4" s="355">
        <f>$C$4+17</f>
        <v>2023</v>
      </c>
      <c r="U4" s="355">
        <f>$C$4+18</f>
        <v>2024</v>
      </c>
      <c r="V4" s="355">
        <f>$C$4+19</f>
        <v>2025</v>
      </c>
      <c r="W4" s="355">
        <f>$C$4+20</f>
        <v>2026</v>
      </c>
      <c r="X4" s="355">
        <f>$C$4+21</f>
        <v>2027</v>
      </c>
    </row>
    <row r="5" spans="1:24" ht="21" customHeight="1" x14ac:dyDescent="0.2">
      <c r="A5" s="27"/>
      <c r="C5"/>
      <c r="D5" s="119">
        <f ca="1">OFFSET(D$7,Offsets!$B$1,0)/D$233</f>
        <v>7.618805678885468E-2</v>
      </c>
      <c r="E5" s="119">
        <f ca="1">OFFSET(E$7,Offsets!$B$1,0)/E$233</f>
        <v>5.5175158807424803E-2</v>
      </c>
      <c r="F5" s="119">
        <f ca="1">OFFSET(F$7,Offsets!$B$1,0)/F$233</f>
        <v>9.211786609842984E-2</v>
      </c>
      <c r="G5" s="119">
        <f ca="1">OFFSET(G$7,Offsets!$B$1,0)/G$233</f>
        <v>0.1397597666663182</v>
      </c>
      <c r="H5" s="119">
        <f ca="1">OFFSET(H$7,Offsets!$B$1,0)/H$233</f>
        <v>0.1999990031947608</v>
      </c>
      <c r="I5" s="119">
        <f ca="1">OFFSET(I$7,Offsets!$B$1,0)/I$233</f>
        <v>0.24335435286885454</v>
      </c>
      <c r="J5" s="123">
        <f ca="1">OFFSET(J$7,Offsets!$B$1,0)/J$233</f>
        <v>0.27770680589498625</v>
      </c>
      <c r="K5" s="123">
        <f ca="1">OFFSET(K$7,Offsets!$B$1,0)/K$233</f>
        <v>0.2917389651088082</v>
      </c>
      <c r="L5" s="123">
        <f ca="1">OFFSET(L$7,Offsets!$B$1,0)/L$233</f>
        <v>0.29540828906840971</v>
      </c>
      <c r="M5" s="123">
        <f ca="1">OFFSET(M$7,Offsets!$B$1,0)/M$233</f>
        <v>0.29506109877400882</v>
      </c>
      <c r="N5" s="123">
        <f ca="1">OFFSET(N$7,Offsets!$B$1,0)/N$233</f>
        <v>0.29272734990295152</v>
      </c>
      <c r="O5" s="120">
        <f ca="1">OFFSET(O$7,Offsets!$B$1,0)/O$233</f>
        <v>0.28512097393363167</v>
      </c>
      <c r="P5" s="120">
        <f ca="1">OFFSET(P$7,Offsets!$B$1,0)/P$233</f>
        <v>0.27690883877606581</v>
      </c>
      <c r="Q5" s="120">
        <f ca="1">OFFSET(Q$7,Offsets!$B$1,0)/Q$233</f>
        <v>0.26360025565611273</v>
      </c>
      <c r="R5" s="120">
        <f ca="1">OFFSET(R$7,Offsets!$B$1,0)/R$233</f>
        <v>0.24628352233721362</v>
      </c>
      <c r="S5" s="120">
        <f ca="1">OFFSET(S$7,Offsets!$B$1,0)/S$233</f>
        <v>0.22385410474973313</v>
      </c>
      <c r="T5" s="120">
        <f ca="1">OFFSET(T$7,Offsets!$B$1,0)/T$233</f>
        <v>0.19737986123037748</v>
      </c>
      <c r="U5" s="120">
        <f ca="1">OFFSET(U$7,Offsets!$B$1,0)/U$233</f>
        <v>0.16754198883332819</v>
      </c>
      <c r="V5" s="120">
        <f ca="1">OFFSET(V$7,Offsets!$B$1,0)/V$233</f>
        <v>0.13445489185087617</v>
      </c>
      <c r="W5" s="120">
        <f ca="1">OFFSET(W$7,Offsets!$B$1,0)/W$233</f>
        <v>9.8239902788078232E-2</v>
      </c>
      <c r="X5" s="120">
        <f ca="1">OFFSET(X$7,Offsets!$B$1,0)/X$233</f>
        <v>5.9006341152268063E-2</v>
      </c>
    </row>
    <row r="6" spans="1:24" ht="15.75" customHeight="1" x14ac:dyDescent="0.25">
      <c r="A6" s="153" t="s">
        <v>386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x14ac:dyDescent="0.2">
      <c r="A7" s="27" t="s">
        <v>158</v>
      </c>
      <c r="C7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x14ac:dyDescent="0.2">
      <c r="A8" s="225" t="s">
        <v>681</v>
      </c>
      <c r="B8" s="69"/>
      <c r="C8"/>
      <c r="D8" s="69">
        <f t="shared" ref="D8:X8" si="0">D$52</f>
        <v>53.064</v>
      </c>
      <c r="E8" s="69">
        <f t="shared" si="0"/>
        <v>56.372</v>
      </c>
      <c r="F8" s="69">
        <f t="shared" si="0"/>
        <v>54.145000000000003</v>
      </c>
      <c r="G8" s="69">
        <f t="shared" si="0"/>
        <v>50.346999999999994</v>
      </c>
      <c r="H8" s="69">
        <f t="shared" si="0"/>
        <v>51.128</v>
      </c>
      <c r="I8" s="69">
        <f t="shared" si="0"/>
        <v>54.664999999999992</v>
      </c>
      <c r="J8" s="125">
        <f t="shared" ca="1" si="0"/>
        <v>56.873999999999995</v>
      </c>
      <c r="K8" s="125">
        <f t="shared" ca="1" si="0"/>
        <v>61.24799999999999</v>
      </c>
      <c r="L8" s="125">
        <f t="shared" ca="1" si="0"/>
        <v>64.878</v>
      </c>
      <c r="M8" s="125">
        <f t="shared" ca="1" si="0"/>
        <v>68.079000000000008</v>
      </c>
      <c r="N8" s="125">
        <f t="shared" ca="1" si="0"/>
        <v>71.021999999999991</v>
      </c>
      <c r="O8" s="73">
        <f t="shared" ca="1" si="0"/>
        <v>74.819682007430018</v>
      </c>
      <c r="P8" s="73">
        <f t="shared" ca="1" si="0"/>
        <v>78.541976965980496</v>
      </c>
      <c r="Q8" s="73">
        <f t="shared" ca="1" si="0"/>
        <v>82.562735794019659</v>
      </c>
      <c r="R8" s="73">
        <f t="shared" ca="1" si="0"/>
        <v>86.750487640109355</v>
      </c>
      <c r="S8" s="73">
        <f t="shared" ca="1" si="0"/>
        <v>91.163347347685601</v>
      </c>
      <c r="T8" s="73">
        <f t="shared" ca="1" si="0"/>
        <v>95.468693485570668</v>
      </c>
      <c r="U8" s="73">
        <f t="shared" ca="1" si="0"/>
        <v>99.762949680729264</v>
      </c>
      <c r="V8" s="73">
        <f t="shared" ca="1" si="0"/>
        <v>104.17088641022437</v>
      </c>
      <c r="W8" s="73">
        <f t="shared" ca="1" si="0"/>
        <v>108.71624717756796</v>
      </c>
      <c r="X8" s="73">
        <f t="shared" ca="1" si="0"/>
        <v>113.38980207292451</v>
      </c>
    </row>
    <row r="9" spans="1:24" x14ac:dyDescent="0.2">
      <c r="A9" s="225" t="s">
        <v>320</v>
      </c>
      <c r="B9" s="69"/>
      <c r="C9"/>
      <c r="D9" s="69">
        <f t="shared" ref="D9:X9" si="1">SUM(D$8,D$60,D$68)</f>
        <v>74.588999999999999</v>
      </c>
      <c r="E9" s="69">
        <f t="shared" si="1"/>
        <v>81.478999999999999</v>
      </c>
      <c r="F9" s="69">
        <f t="shared" si="1"/>
        <v>79.506</v>
      </c>
      <c r="G9" s="69">
        <f t="shared" si="1"/>
        <v>74.724999999999994</v>
      </c>
      <c r="H9" s="69">
        <f t="shared" si="1"/>
        <v>81.562999999999988</v>
      </c>
      <c r="I9" s="69">
        <f t="shared" si="1"/>
        <v>83.483000000000004</v>
      </c>
      <c r="J9" s="125">
        <f t="shared" ca="1" si="1"/>
        <v>84.606999999999985</v>
      </c>
      <c r="K9" s="125">
        <f t="shared" ca="1" si="1"/>
        <v>90.077999999999989</v>
      </c>
      <c r="L9" s="125">
        <f t="shared" ca="1" si="1"/>
        <v>95.465000000000003</v>
      </c>
      <c r="M9" s="125">
        <f t="shared" ca="1" si="1"/>
        <v>99.566000000000003</v>
      </c>
      <c r="N9" s="125">
        <f t="shared" ca="1" si="1"/>
        <v>103.91499999999999</v>
      </c>
      <c r="O9" s="73">
        <f t="shared" ca="1" si="1"/>
        <v>108.75699453471101</v>
      </c>
      <c r="P9" s="73">
        <f t="shared" ca="1" si="1"/>
        <v>113.92028952477897</v>
      </c>
      <c r="Q9" s="73">
        <f t="shared" ca="1" si="1"/>
        <v>119.5126823938605</v>
      </c>
      <c r="R9" s="73">
        <f t="shared" ca="1" si="1"/>
        <v>125.32918253417857</v>
      </c>
      <c r="S9" s="73">
        <f t="shared" ca="1" si="1"/>
        <v>131.45458877145236</v>
      </c>
      <c r="T9" s="73">
        <f t="shared" ca="1" si="1"/>
        <v>137.54794582337345</v>
      </c>
      <c r="U9" s="73">
        <f t="shared" ca="1" si="1"/>
        <v>143.67589251643136</v>
      </c>
      <c r="V9" s="73">
        <f t="shared" ca="1" si="1"/>
        <v>149.96649265366636</v>
      </c>
      <c r="W9" s="73">
        <f t="shared" ca="1" si="1"/>
        <v>156.45114782386469</v>
      </c>
      <c r="X9" s="73">
        <f t="shared" ca="1" si="1"/>
        <v>163.1161023662992</v>
      </c>
    </row>
    <row r="10" spans="1:24" x14ac:dyDescent="0.2">
      <c r="A10" s="225" t="s">
        <v>321</v>
      </c>
      <c r="B10" s="69"/>
      <c r="C10"/>
      <c r="D10" s="69">
        <f t="shared" ref="D10:X10" si="2">SUM(D$11,D$138)</f>
        <v>68.728999999999999</v>
      </c>
      <c r="E10" s="69">
        <f t="shared" si="2"/>
        <v>75.841999999999999</v>
      </c>
      <c r="F10" s="69">
        <f t="shared" si="2"/>
        <v>83.398999999999987</v>
      </c>
      <c r="G10" s="69">
        <f t="shared" si="2"/>
        <v>81.039999999999992</v>
      </c>
      <c r="H10" s="69">
        <f t="shared" si="2"/>
        <v>99.959000000000003</v>
      </c>
      <c r="I10" s="69">
        <f t="shared" si="2"/>
        <v>92.723000000000013</v>
      </c>
      <c r="J10" s="125">
        <f t="shared" ca="1" si="2"/>
        <v>91.927000000000007</v>
      </c>
      <c r="K10" s="125">
        <f t="shared" ca="1" si="2"/>
        <v>91.919000000000011</v>
      </c>
      <c r="L10" s="125">
        <f t="shared" ca="1" si="2"/>
        <v>95.149000000000001</v>
      </c>
      <c r="M10" s="125">
        <f t="shared" ca="1" si="2"/>
        <v>97.852999999999994</v>
      </c>
      <c r="N10" s="125">
        <f t="shared" ca="1" si="2"/>
        <v>101.447</v>
      </c>
      <c r="O10" s="73">
        <f t="shared" ca="1" si="2"/>
        <v>105.03291055901111</v>
      </c>
      <c r="P10" s="73">
        <f t="shared" ca="1" si="2"/>
        <v>108.22290613585882</v>
      </c>
      <c r="Q10" s="73">
        <f t="shared" ca="1" si="2"/>
        <v>112.12629735345413</v>
      </c>
      <c r="R10" s="73">
        <f t="shared" ca="1" si="2"/>
        <v>116.22758237794692</v>
      </c>
      <c r="S10" s="73">
        <f t="shared" ca="1" si="2"/>
        <v>120.31869433447412</v>
      </c>
      <c r="T10" s="73">
        <f t="shared" ca="1" si="2"/>
        <v>124.47044596619241</v>
      </c>
      <c r="U10" s="73">
        <f t="shared" ca="1" si="2"/>
        <v>128.75118828032137</v>
      </c>
      <c r="V10" s="73">
        <f t="shared" ca="1" si="2"/>
        <v>133.09614963908962</v>
      </c>
      <c r="W10" s="73">
        <f t="shared" ca="1" si="2"/>
        <v>137.5394257562871</v>
      </c>
      <c r="X10" s="73">
        <f t="shared" ca="1" si="2"/>
        <v>142.04465689844295</v>
      </c>
    </row>
    <row r="11" spans="1:24" x14ac:dyDescent="0.2">
      <c r="A11" s="225" t="s">
        <v>326</v>
      </c>
      <c r="B11" s="69"/>
      <c r="C11"/>
      <c r="D11" s="69">
        <f>SUM(D$84,D$95,D$99,D$108,D$112,D$118,D$124,D$134,$D$140:D$140)</f>
        <v>65.843999999999994</v>
      </c>
      <c r="E11" s="69">
        <f>SUM(E$84,E$95,E$99,E$108,E$112,E$118,E$124,E$134,$D$140:E$140)</f>
        <v>72.741</v>
      </c>
      <c r="F11" s="69">
        <f>SUM(F$84,F$95,F$99,F$108,F$112,F$118,F$124,F$134,$D$140:F$140)</f>
        <v>80.328999999999994</v>
      </c>
      <c r="G11" s="69">
        <f>SUM(G$84,G$95,G$99,G$108,G$112,G$118,G$124,G$134,$D$140:G$140)</f>
        <v>78.262999999999991</v>
      </c>
      <c r="H11" s="69">
        <f>SUM(H$84,H$95,H$99,H$108,H$112,H$118,H$124,H$134,$D$140:H$140)</f>
        <v>96.363</v>
      </c>
      <c r="I11" s="69">
        <f>SUM(I$84,I$95,I$99,I$108,I$112,I$118,I$124,I$134,$D$140:I$140)</f>
        <v>88.433000000000007</v>
      </c>
      <c r="J11" s="125">
        <f ca="1">SUM(J$84,J$95,J$99,J$108,J$112,J$118,J$124,J$134,$D$140:J$140)</f>
        <v>87.51700000000001</v>
      </c>
      <c r="K11" s="125">
        <f ca="1">SUM(K$84,K$95,K$99,K$108,K$112,K$118,K$124,K$134,$D$140:K$140)</f>
        <v>87.236000000000018</v>
      </c>
      <c r="L11" s="125">
        <f ca="1">SUM(L$84,L$95,L$99,L$108,L$112,L$118,L$124,L$134,$D$140:L$140)</f>
        <v>89.888000000000005</v>
      </c>
      <c r="M11" s="125">
        <f ca="1">SUM(M$84,M$95,M$99,M$108,M$112,M$118,M$124,M$134,$D$140:M$140)</f>
        <v>92.5</v>
      </c>
      <c r="N11" s="125">
        <f ca="1">SUM(N$84,N$95,N$99,N$108,N$112,N$118,N$124,N$134,$D$140:N$140)</f>
        <v>95.653999999999996</v>
      </c>
      <c r="O11" s="73">
        <f ca="1">SUM(O$84,O$95,O$99,O$108,O$112,O$118,O$124,O$134,$D$140:O$140)</f>
        <v>98.536206359011118</v>
      </c>
      <c r="P11" s="73">
        <f ca="1">SUM(P$84,P$95,P$99,P$108,P$112,P$118,P$124,P$134,$D$140:P$140)</f>
        <v>101.44479404309796</v>
      </c>
      <c r="Q11" s="73">
        <f ca="1">SUM(Q$84,Q$95,Q$99,Q$108,Q$112,Q$118,Q$124,Q$134,$D$140:Q$140)</f>
        <v>105.08019755670028</v>
      </c>
      <c r="R11" s="73">
        <f ca="1">SUM(R$84,R$95,R$99,R$108,R$112,R$118,R$124,R$134,$D$140:R$140)</f>
        <v>108.97443257961801</v>
      </c>
      <c r="S11" s="73">
        <f ca="1">SUM(S$84,S$95,S$99,S$108,S$112,S$118,S$124,S$134,$D$140:S$140)</f>
        <v>113.03143640171444</v>
      </c>
      <c r="T11" s="73">
        <f ca="1">SUM(T$84,T$95,T$99,T$108,T$112,T$118,T$124,T$134,$D$140:T$140)</f>
        <v>117.26540896505875</v>
      </c>
      <c r="U11" s="73">
        <f ca="1">SUM(U$84,U$95,U$99,U$108,U$112,U$118,U$124,U$134,$D$140:U$140)</f>
        <v>121.71522900895935</v>
      </c>
      <c r="V11" s="73">
        <f ca="1">SUM(V$84,V$95,V$99,V$108,V$112,V$118,V$124,V$134,$D$140:V$140)</f>
        <v>126.31890257955928</v>
      </c>
      <c r="W11" s="73">
        <f ca="1">SUM(W$84,W$95,W$99,W$108,W$112,W$118,W$124,W$134,$D$140:W$140)</f>
        <v>131.11671083521739</v>
      </c>
      <c r="X11" s="73">
        <f ca="1">SUM(X$84,X$95,X$99,X$108,X$112,X$118,X$124,X$134,$D$140:X$140)</f>
        <v>136.07779149525106</v>
      </c>
    </row>
    <row r="12" spans="1:24" x14ac:dyDescent="0.2">
      <c r="A12" s="225" t="s">
        <v>904</v>
      </c>
      <c r="B12" s="233"/>
      <c r="C12"/>
      <c r="D12" s="69">
        <f>Data!C$11</f>
        <v>0</v>
      </c>
      <c r="E12" s="69">
        <f>Data!D$11</f>
        <v>0</v>
      </c>
      <c r="F12" s="69">
        <f>Data!E$11</f>
        <v>0</v>
      </c>
      <c r="G12" s="69">
        <f>Data!F$11</f>
        <v>0</v>
      </c>
      <c r="H12" s="69">
        <f>Data!G$11</f>
        <v>0</v>
      </c>
      <c r="I12" s="69">
        <f>Data!H$11</f>
        <v>0</v>
      </c>
      <c r="J12" s="125">
        <f>Data!I$11</f>
        <v>0.02</v>
      </c>
      <c r="K12" s="125">
        <f>Data!J$11</f>
        <v>0.17</v>
      </c>
      <c r="L12" s="125">
        <f>Data!K$11</f>
        <v>0.25</v>
      </c>
      <c r="M12" s="125">
        <f>Data!L$11</f>
        <v>0.33</v>
      </c>
      <c r="N12" s="125">
        <f>Data!M$11</f>
        <v>0.42</v>
      </c>
      <c r="O12" s="73">
        <f t="shared" ref="O12:X12" ca="1" si="3">N$12*O$156/N$156</f>
        <v>0.43874573018364915</v>
      </c>
      <c r="P12" s="73">
        <f t="shared" ca="1" si="3"/>
        <v>0.45848606046833262</v>
      </c>
      <c r="Q12" s="73">
        <f t="shared" ca="1" si="3"/>
        <v>0.47964118459041899</v>
      </c>
      <c r="R12" s="73">
        <f t="shared" ca="1" si="3"/>
        <v>0.50152897061583568</v>
      </c>
      <c r="S12" s="73">
        <f t="shared" ca="1" si="3"/>
        <v>0.52459266685310457</v>
      </c>
      <c r="T12" s="73">
        <f t="shared" ca="1" si="3"/>
        <v>0.54868024544854821</v>
      </c>
      <c r="U12" s="73">
        <f t="shared" ca="1" si="3"/>
        <v>0.57336031026513334</v>
      </c>
      <c r="V12" s="73">
        <f t="shared" ca="1" si="3"/>
        <v>0.59869372290921208</v>
      </c>
      <c r="W12" s="73">
        <f t="shared" ca="1" si="3"/>
        <v>0.6248169426834016</v>
      </c>
      <c r="X12" s="73">
        <f t="shared" ca="1" si="3"/>
        <v>0.65167692320140314</v>
      </c>
    </row>
    <row r="13" spans="1:24" x14ac:dyDescent="0.2">
      <c r="A13" s="225" t="s">
        <v>322</v>
      </c>
      <c r="B13" s="69"/>
      <c r="C13"/>
      <c r="D13" s="69">
        <f>D$9-SUM(D$10,D$12)</f>
        <v>5.8599999999999994</v>
      </c>
      <c r="E13" s="69">
        <f t="shared" ref="E13:X13" si="4">E$9-SUM(E$10,E$12)</f>
        <v>5.6370000000000005</v>
      </c>
      <c r="F13" s="69">
        <f t="shared" si="4"/>
        <v>-3.8929999999999865</v>
      </c>
      <c r="G13" s="69">
        <f t="shared" si="4"/>
        <v>-6.3149999999999977</v>
      </c>
      <c r="H13" s="69">
        <f t="shared" si="4"/>
        <v>-18.396000000000015</v>
      </c>
      <c r="I13" s="69">
        <f t="shared" si="4"/>
        <v>-9.2400000000000091</v>
      </c>
      <c r="J13" s="125">
        <f t="shared" ca="1" si="4"/>
        <v>-7.3400000000000176</v>
      </c>
      <c r="K13" s="125">
        <f t="shared" ca="1" si="4"/>
        <v>-2.0110000000000241</v>
      </c>
      <c r="L13" s="125">
        <f ca="1">L$9-SUM(L$10,L$12)</f>
        <v>6.6000000000002501E-2</v>
      </c>
      <c r="M13" s="125">
        <f t="shared" ca="1" si="4"/>
        <v>1.3830000000000098</v>
      </c>
      <c r="N13" s="125">
        <f t="shared" ca="1" si="4"/>
        <v>2.0479999999999876</v>
      </c>
      <c r="O13" s="73">
        <f t="shared" ca="1" si="4"/>
        <v>3.2853382455162432</v>
      </c>
      <c r="P13" s="73">
        <f t="shared" ca="1" si="4"/>
        <v>5.238897328451813</v>
      </c>
      <c r="Q13" s="73">
        <f t="shared" ca="1" si="4"/>
        <v>6.9067438558159466</v>
      </c>
      <c r="R13" s="73">
        <f t="shared" ca="1" si="4"/>
        <v>8.6000711856158176</v>
      </c>
      <c r="S13" s="73">
        <f t="shared" ca="1" si="4"/>
        <v>10.611301770125138</v>
      </c>
      <c r="T13" s="73">
        <f t="shared" ca="1" si="4"/>
        <v>12.528819611732487</v>
      </c>
      <c r="U13" s="73">
        <f t="shared" ca="1" si="4"/>
        <v>14.351343925844844</v>
      </c>
      <c r="V13" s="73">
        <f t="shared" ca="1" si="4"/>
        <v>16.271649291667529</v>
      </c>
      <c r="W13" s="73">
        <f t="shared" ca="1" si="4"/>
        <v>18.28690512489419</v>
      </c>
      <c r="X13" s="73">
        <f t="shared" ca="1" si="4"/>
        <v>20.419768544654858</v>
      </c>
    </row>
    <row r="14" spans="1:24" x14ac:dyDescent="0.2">
      <c r="A14" s="225" t="s">
        <v>567</v>
      </c>
      <c r="B14" s="233"/>
      <c r="C14"/>
      <c r="D14" s="69">
        <f>SUM(Data!C$13:C$15,-Data!C$16)</f>
        <v>2.1629999999999998</v>
      </c>
      <c r="E14" s="69">
        <f>SUM(Data!D$13:D$15,-Data!D$16)</f>
        <v>-3.2530000000000001</v>
      </c>
      <c r="F14" s="69">
        <f>SUM(Data!E$13:E$15,-Data!E$16)</f>
        <v>-6.612000000000001</v>
      </c>
      <c r="G14" s="69">
        <f>SUM(Data!F$13:F$15,-Data!F$16)</f>
        <v>1.806</v>
      </c>
      <c r="H14" s="69">
        <f>SUM(Data!G$13:G$15,-Data!G$16)</f>
        <v>5.0360000000000005</v>
      </c>
      <c r="I14" s="69">
        <f>SUM(Data!H$13:H$15,-Data!H$16)</f>
        <v>-5.657</v>
      </c>
      <c r="J14" s="125">
        <f>SUM(Data!I$13:I$15,-Data!I$16) + IF($L$1="Yes",J$331,0)</f>
        <v>4.0650000000000004</v>
      </c>
      <c r="K14" s="125">
        <f>SUM(Data!J$13:J$15,-Data!J$16) + IF($L$1="Yes",K$331,0)</f>
        <v>2.06</v>
      </c>
      <c r="L14" s="125">
        <f>SUM(Data!K$13:K$15,-Data!K$16) + IF($L$1="Yes",L$331,0)</f>
        <v>2.0350000000000001</v>
      </c>
      <c r="M14" s="125">
        <f>SUM(Data!L$13:L$15,-Data!L$16) + IF($L$1="Yes",M$331,0)</f>
        <v>2.1669999999999998</v>
      </c>
      <c r="N14" s="125">
        <f>SUM(Data!M$13:M$15,-Data!M$16) + IF($L$1="Yes",N$331,0)</f>
        <v>2.3370000000000002</v>
      </c>
      <c r="O14" s="73">
        <f t="shared" ref="O14:X14" ca="1" si="5">SUM(N$14,(O$163-N$163),(N$14-N$23)*O$234)</f>
        <v>2.3544961937862117</v>
      </c>
      <c r="P14" s="73">
        <f t="shared" ca="1" si="5"/>
        <v>2.5531931950307865</v>
      </c>
      <c r="Q14" s="73">
        <f t="shared" ca="1" si="5"/>
        <v>2.8384641946880613</v>
      </c>
      <c r="R14" s="73">
        <f t="shared" ca="1" si="5"/>
        <v>3.1416634387315709</v>
      </c>
      <c r="S14" s="73">
        <f t="shared" ca="1" si="5"/>
        <v>3.4601154582659457</v>
      </c>
      <c r="T14" s="73">
        <f t="shared" ca="1" si="5"/>
        <v>3.7938477993352095</v>
      </c>
      <c r="U14" s="73">
        <f t="shared" ca="1" si="5"/>
        <v>4.1393695230949508</v>
      </c>
      <c r="V14" s="73">
        <f t="shared" ca="1" si="5"/>
        <v>4.492802799838298</v>
      </c>
      <c r="W14" s="73">
        <f t="shared" ca="1" si="5"/>
        <v>4.8520130390594804</v>
      </c>
      <c r="X14" s="73">
        <f t="shared" ca="1" si="5"/>
        <v>5.21423789393649</v>
      </c>
    </row>
    <row r="15" spans="1:24" x14ac:dyDescent="0.2">
      <c r="A15" s="225" t="s">
        <v>129</v>
      </c>
      <c r="B15" s="70"/>
      <c r="C15"/>
      <c r="D15" s="69">
        <f t="shared" ref="D15:X15" si="6">SUM(D$13,D$14)</f>
        <v>8.0229999999999997</v>
      </c>
      <c r="E15" s="69">
        <f t="shared" si="6"/>
        <v>2.3840000000000003</v>
      </c>
      <c r="F15" s="69">
        <f t="shared" si="6"/>
        <v>-10.504999999999988</v>
      </c>
      <c r="G15" s="69">
        <f t="shared" si="6"/>
        <v>-4.5089999999999977</v>
      </c>
      <c r="H15" s="69">
        <f t="shared" si="6"/>
        <v>-13.360000000000014</v>
      </c>
      <c r="I15" s="69">
        <f t="shared" si="6"/>
        <v>-14.897000000000009</v>
      </c>
      <c r="J15" s="125">
        <f t="shared" ca="1" si="6"/>
        <v>-3.2750000000000172</v>
      </c>
      <c r="K15" s="125">
        <f t="shared" ca="1" si="6"/>
        <v>4.8999999999975952E-2</v>
      </c>
      <c r="L15" s="125">
        <f t="shared" ca="1" si="6"/>
        <v>2.1010000000000026</v>
      </c>
      <c r="M15" s="125">
        <f t="shared" ca="1" si="6"/>
        <v>3.5500000000000096</v>
      </c>
      <c r="N15" s="125">
        <f t="shared" ca="1" si="6"/>
        <v>4.3849999999999874</v>
      </c>
      <c r="O15" s="73">
        <f t="shared" ca="1" si="6"/>
        <v>5.6398344393024544</v>
      </c>
      <c r="P15" s="73">
        <f t="shared" ca="1" si="6"/>
        <v>7.7920905234825995</v>
      </c>
      <c r="Q15" s="73">
        <f t="shared" ca="1" si="6"/>
        <v>9.745208050504008</v>
      </c>
      <c r="R15" s="73">
        <f t="shared" ca="1" si="6"/>
        <v>11.741734624347389</v>
      </c>
      <c r="S15" s="73">
        <f t="shared" ca="1" si="6"/>
        <v>14.071417228391084</v>
      </c>
      <c r="T15" s="73">
        <f t="shared" ca="1" si="6"/>
        <v>16.322667411067698</v>
      </c>
      <c r="U15" s="73">
        <f t="shared" ca="1" si="6"/>
        <v>18.490713448939793</v>
      </c>
      <c r="V15" s="73">
        <f t="shared" ca="1" si="6"/>
        <v>20.764452091505827</v>
      </c>
      <c r="W15" s="73">
        <f t="shared" ca="1" si="6"/>
        <v>23.138918163953669</v>
      </c>
      <c r="X15" s="73">
        <f t="shared" ca="1" si="6"/>
        <v>25.634006438591349</v>
      </c>
    </row>
    <row r="16" spans="1:24" x14ac:dyDescent="0.2">
      <c r="A16" s="27" t="s">
        <v>161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225" t="s">
        <v>681</v>
      </c>
      <c r="B17" s="69"/>
      <c r="C17"/>
      <c r="D17" s="69">
        <f t="shared" ref="D17:X17" si="7">D$54</f>
        <v>53.476999999999997</v>
      </c>
      <c r="E17" s="69">
        <f t="shared" si="7"/>
        <v>56.747</v>
      </c>
      <c r="F17" s="69">
        <f t="shared" si="7"/>
        <v>54.680999999999997</v>
      </c>
      <c r="G17" s="69">
        <f t="shared" si="7"/>
        <v>50.744</v>
      </c>
      <c r="H17" s="69">
        <f t="shared" si="7"/>
        <v>51.557000000000002</v>
      </c>
      <c r="I17" s="69">
        <f t="shared" si="7"/>
        <v>55.081000000000003</v>
      </c>
      <c r="J17" s="125">
        <f t="shared" ca="1" si="7"/>
        <v>57.375999999999998</v>
      </c>
      <c r="K17" s="125">
        <f t="shared" ca="1" si="7"/>
        <v>61.856999999999999</v>
      </c>
      <c r="L17" s="125">
        <f t="shared" ca="1" si="7"/>
        <v>65.643000000000001</v>
      </c>
      <c r="M17" s="125">
        <f t="shared" ca="1" si="7"/>
        <v>68.914000000000001</v>
      </c>
      <c r="N17" s="125">
        <f t="shared" ca="1" si="7"/>
        <v>71.903999999999996</v>
      </c>
      <c r="O17" s="73">
        <f t="shared" ca="1" si="7"/>
        <v>75.741048040815684</v>
      </c>
      <c r="P17" s="73">
        <f t="shared" ca="1" si="7"/>
        <v>79.504797692964004</v>
      </c>
      <c r="Q17" s="73">
        <f t="shared" ca="1" si="7"/>
        <v>83.569982281659549</v>
      </c>
      <c r="R17" s="73">
        <f t="shared" ca="1" si="7"/>
        <v>87.803698478402623</v>
      </c>
      <c r="S17" s="73">
        <f t="shared" ca="1" si="7"/>
        <v>92.264991948077125</v>
      </c>
      <c r="T17" s="73">
        <f t="shared" ca="1" si="7"/>
        <v>96.62092200101263</v>
      </c>
      <c r="U17" s="73">
        <f t="shared" ca="1" si="7"/>
        <v>100.96700633228605</v>
      </c>
      <c r="V17" s="73">
        <f t="shared" ca="1" si="7"/>
        <v>105.42814322833372</v>
      </c>
      <c r="W17" s="73">
        <f t="shared" ca="1" si="7"/>
        <v>110.02836275720311</v>
      </c>
      <c r="X17" s="73">
        <f t="shared" ca="1" si="7"/>
        <v>114.75832361164747</v>
      </c>
    </row>
    <row r="18" spans="1:24" x14ac:dyDescent="0.2">
      <c r="A18" s="225" t="s">
        <v>320</v>
      </c>
      <c r="B18" s="69"/>
      <c r="C18"/>
      <c r="D18" s="69">
        <f t="shared" ref="D18:X18" si="8">SUM(D$17,D$59,D$66)</f>
        <v>58.210999999999999</v>
      </c>
      <c r="E18" s="69">
        <f t="shared" si="8"/>
        <v>61.819000000000003</v>
      </c>
      <c r="F18" s="69">
        <f t="shared" si="8"/>
        <v>59.481999999999999</v>
      </c>
      <c r="G18" s="69">
        <f t="shared" si="8"/>
        <v>56.216000000000001</v>
      </c>
      <c r="H18" s="69">
        <f t="shared" si="8"/>
        <v>57.55</v>
      </c>
      <c r="I18" s="69">
        <f t="shared" si="8"/>
        <v>60.565000000000005</v>
      </c>
      <c r="J18" s="125">
        <f t="shared" ca="1" si="8"/>
        <v>62.939</v>
      </c>
      <c r="K18" s="125">
        <f t="shared" ca="1" si="8"/>
        <v>67.786000000000001</v>
      </c>
      <c r="L18" s="125">
        <f t="shared" ca="1" si="8"/>
        <v>71.816999999999993</v>
      </c>
      <c r="M18" s="125">
        <f t="shared" ca="1" si="8"/>
        <v>74.967000000000013</v>
      </c>
      <c r="N18" s="125">
        <f t="shared" ca="1" si="8"/>
        <v>78.266999999999996</v>
      </c>
      <c r="O18" s="73">
        <f t="shared" ca="1" si="8"/>
        <v>81.964255278162824</v>
      </c>
      <c r="P18" s="73">
        <f t="shared" ca="1" si="8"/>
        <v>85.922074098846124</v>
      </c>
      <c r="Q18" s="73">
        <f t="shared" ca="1" si="8"/>
        <v>90.22259405487226</v>
      </c>
      <c r="R18" s="73">
        <f t="shared" ca="1" si="8"/>
        <v>94.702480061904879</v>
      </c>
      <c r="S18" s="73">
        <f t="shared" ca="1" si="8"/>
        <v>99.419463248956134</v>
      </c>
      <c r="T18" s="73">
        <f t="shared" ca="1" si="8"/>
        <v>104.04187216798211</v>
      </c>
      <c r="U18" s="73">
        <f t="shared" ca="1" si="8"/>
        <v>108.66268956957389</v>
      </c>
      <c r="V18" s="73">
        <f t="shared" ca="1" si="8"/>
        <v>113.40626264134384</v>
      </c>
      <c r="W18" s="73">
        <f t="shared" ca="1" si="8"/>
        <v>118.29565985733163</v>
      </c>
      <c r="X18" s="73">
        <f t="shared" ca="1" si="8"/>
        <v>123.32036492280017</v>
      </c>
    </row>
    <row r="19" spans="1:24" x14ac:dyDescent="0.2">
      <c r="A19" s="225" t="s">
        <v>321</v>
      </c>
      <c r="B19" s="69"/>
      <c r="C19"/>
      <c r="D19" s="69">
        <f>SUM(D$20,D$137)</f>
        <v>54.003</v>
      </c>
      <c r="E19" s="69">
        <f t="shared" ref="E19:X19" si="9">SUM(E$20,E$137)</f>
        <v>56.997</v>
      </c>
      <c r="F19" s="69">
        <f t="shared" si="9"/>
        <v>64.001999999999995</v>
      </c>
      <c r="G19" s="69">
        <f t="shared" si="9"/>
        <v>64.013000000000005</v>
      </c>
      <c r="H19" s="69">
        <f t="shared" si="9"/>
        <v>70.45</v>
      </c>
      <c r="I19" s="69">
        <f t="shared" si="9"/>
        <v>69.075999999999979</v>
      </c>
      <c r="J19" s="272">
        <f t="shared" ca="1" si="9"/>
        <v>71.998000000000005</v>
      </c>
      <c r="K19" s="272">
        <f t="shared" ca="1" si="9"/>
        <v>71.781000000000006</v>
      </c>
      <c r="L19" s="272">
        <f t="shared" ca="1" si="9"/>
        <v>73.652000000000015</v>
      </c>
      <c r="M19" s="272">
        <f t="shared" ca="1" si="9"/>
        <v>75.557000000000002</v>
      </c>
      <c r="N19" s="272">
        <f t="shared" ca="1" si="9"/>
        <v>78.043999999999983</v>
      </c>
      <c r="O19" s="267">
        <f t="shared" ca="1" si="9"/>
        <v>81.006992934734413</v>
      </c>
      <c r="P19" s="267">
        <f t="shared" ca="1" si="9"/>
        <v>83.099745213256057</v>
      </c>
      <c r="Q19" s="267">
        <f t="shared" ca="1" si="9"/>
        <v>85.820431218686949</v>
      </c>
      <c r="R19" s="267">
        <f t="shared" ca="1" si="9"/>
        <v>88.679595253718077</v>
      </c>
      <c r="S19" s="267">
        <f t="shared" ca="1" si="9"/>
        <v>91.477282370109194</v>
      </c>
      <c r="T19" s="267">
        <f t="shared" ca="1" si="9"/>
        <v>94.269188906000906</v>
      </c>
      <c r="U19" s="267">
        <f t="shared" ca="1" si="9"/>
        <v>97.140236030010001</v>
      </c>
      <c r="V19" s="267">
        <f t="shared" ca="1" si="9"/>
        <v>100.02514296347883</v>
      </c>
      <c r="W19" s="267">
        <f t="shared" ca="1" si="9"/>
        <v>102.95008597061275</v>
      </c>
      <c r="X19" s="267">
        <f t="shared" ca="1" si="9"/>
        <v>105.87820272563319</v>
      </c>
    </row>
    <row r="20" spans="1:24" x14ac:dyDescent="0.2">
      <c r="A20" s="225" t="s">
        <v>326</v>
      </c>
      <c r="B20" s="69"/>
      <c r="C20"/>
      <c r="D20" s="271">
        <f>SUM(D$82,D$94,D$98,D$107,D$111,D$117,D$123,D$133,$D$140:D$140)</f>
        <v>51.673999999999999</v>
      </c>
      <c r="E20" s="271">
        <f>SUM(E$82,E$94,E$98,E$107,E$111,E$117,E$123,E$133,$D$140:E$140)</f>
        <v>54.536999999999999</v>
      </c>
      <c r="F20" s="271">
        <f>SUM(F$82,F$94,F$98,F$107,F$111,F$117,F$123,F$133,$D$140:F$140)</f>
        <v>61.572999999999993</v>
      </c>
      <c r="G20" s="271">
        <f>SUM(G$82,G$94,G$98,G$107,G$111,G$117,G$123,G$133,$D$140:G$140)</f>
        <v>61.701999999999998</v>
      </c>
      <c r="H20" s="271">
        <f>SUM(H$82,H$94,H$98,H$107,H$111,H$117,H$123,H$133,$D$140:H$140)</f>
        <v>67.384</v>
      </c>
      <c r="I20" s="271">
        <f>SUM(I$82,I$94,I$98,I$107,I$111,I$117,I$123,I$133,$D$140:I$140)</f>
        <v>65.564999999999984</v>
      </c>
      <c r="J20" s="272">
        <f ca="1">SUM(J$82,J$94,J$98,J$107,J$111,J$117,J$123,J$133,$D$140:J$140)</f>
        <v>68.419000000000011</v>
      </c>
      <c r="K20" s="272">
        <f ca="1">SUM(K$82,K$94,K$98,K$107,K$111,K$117,K$123,K$133,$D$140:K$140)</f>
        <v>68.029000000000011</v>
      </c>
      <c r="L20" s="272">
        <f ca="1">SUM(L$82,L$94,L$98,L$107,L$111,L$117,L$123,L$133,$D$140:L$140)</f>
        <v>69.680000000000021</v>
      </c>
      <c r="M20" s="272">
        <f ca="1">SUM(M$82,M$94,M$98,M$107,M$111,M$117,M$123,M$133,$D$140:M$140)</f>
        <v>71.567999999999998</v>
      </c>
      <c r="N20" s="272">
        <f ca="1">SUM(N$82,N$94,N$98,N$107,N$111,N$117,N$123,N$133,$D$140:N$140)</f>
        <v>73.764999999999986</v>
      </c>
      <c r="O20" s="267">
        <f ca="1">SUM(O$82,O$94,O$98,O$107,O$111,O$117,O$123,O$133,$D$140:O$140)</f>
        <v>75.700082934734411</v>
      </c>
      <c r="P20" s="267">
        <f ca="1">SUM(P$82,P$94,P$98,P$107,P$111,P$117,P$123,P$133,$D$140:P$140)</f>
        <v>77.608759873602423</v>
      </c>
      <c r="Q20" s="267">
        <f ca="1">SUM(Q$82,Q$94,Q$98,Q$107,Q$111,Q$117,Q$123,Q$133,$D$140:Q$140)</f>
        <v>80.169652563772928</v>
      </c>
      <c r="R20" s="267">
        <f ca="1">SUM(R$82,R$94,R$98,R$107,R$111,R$117,R$123,R$133,$D$140:R$140)</f>
        <v>82.950260129866209</v>
      </c>
      <c r="S20" s="267">
        <f ca="1">SUM(S$82,S$94,S$98,S$107,S$111,S$117,S$123,S$133,$D$140:S$140)</f>
        <v>85.836244195203022</v>
      </c>
      <c r="T20" s="267">
        <f ca="1">SUM(T$82,T$94,T$98,T$107,T$111,T$117,T$123,T$133,$D$140:T$140)</f>
        <v>88.846579277531319</v>
      </c>
      <c r="U20" s="267">
        <f ca="1">SUM(U$82,U$94,U$98,U$107,U$111,U$117,U$123,U$133,$D$140:U$140)</f>
        <v>92.041021328052878</v>
      </c>
      <c r="V20" s="267">
        <f ca="1">SUM(V$82,V$94,V$98,V$107,V$111,V$117,V$123,V$133,$D$140:V$140)</f>
        <v>95.355145198520731</v>
      </c>
      <c r="W20" s="267">
        <f ca="1">SUM(W$82,W$94,W$98,W$107,W$111,W$117,W$123,W$133,$D$140:W$140)</f>
        <v>98.822537303935789</v>
      </c>
      <c r="X20" s="267">
        <f ca="1">SUM(X$82,X$94,X$98,X$107,X$111,X$117,X$123,X$133,$D$140:X$140)</f>
        <v>102.41336512409259</v>
      </c>
    </row>
    <row r="21" spans="1:24" x14ac:dyDescent="0.2">
      <c r="A21" s="225" t="s">
        <v>822</v>
      </c>
      <c r="B21" s="69"/>
      <c r="C21"/>
      <c r="D21" s="271">
        <f t="shared" ref="D21:X21" si="10">D$19-SUM(D$82,D$137)</f>
        <v>34.905999999999999</v>
      </c>
      <c r="E21" s="271">
        <f t="shared" si="10"/>
        <v>36.659999999999997</v>
      </c>
      <c r="F21" s="271">
        <f t="shared" si="10"/>
        <v>42.190999999999995</v>
      </c>
      <c r="G21" s="271">
        <f t="shared" si="10"/>
        <v>40.51700000000001</v>
      </c>
      <c r="H21" s="271">
        <f t="shared" si="10"/>
        <v>45.379000000000005</v>
      </c>
      <c r="I21" s="271">
        <f t="shared" si="10"/>
        <v>43.536999999999978</v>
      </c>
      <c r="J21" s="272">
        <f t="shared" ca="1" si="10"/>
        <v>45.541000000000004</v>
      </c>
      <c r="K21" s="272">
        <f t="shared" ca="1" si="10"/>
        <v>44.431000000000012</v>
      </c>
      <c r="L21" s="272">
        <f t="shared" ca="1" si="10"/>
        <v>45.567000000000014</v>
      </c>
      <c r="M21" s="272">
        <f t="shared" ca="1" si="10"/>
        <v>46.906999999999996</v>
      </c>
      <c r="N21" s="272">
        <f t="shared" ca="1" si="10"/>
        <v>48.365999999999985</v>
      </c>
      <c r="O21" s="267">
        <f t="shared" ca="1" si="10"/>
        <v>49.598555956367328</v>
      </c>
      <c r="P21" s="267">
        <f t="shared" ca="1" si="10"/>
        <v>50.523005189469409</v>
      </c>
      <c r="Q21" s="267">
        <f t="shared" ca="1" si="10"/>
        <v>52.018179253278618</v>
      </c>
      <c r="R21" s="267">
        <f t="shared" ca="1" si="10"/>
        <v>53.541191257264344</v>
      </c>
      <c r="S21" s="267">
        <f t="shared" ca="1" si="10"/>
        <v>55.102355543484464</v>
      </c>
      <c r="T21" s="267">
        <f t="shared" ca="1" si="10"/>
        <v>56.715759480715128</v>
      </c>
      <c r="U21" s="267">
        <f t="shared" ca="1" si="10"/>
        <v>58.360085821408177</v>
      </c>
      <c r="V21" s="267">
        <f t="shared" ca="1" si="10"/>
        <v>60.039830542769295</v>
      </c>
      <c r="W21" s="267">
        <f t="shared" ca="1" si="10"/>
        <v>61.76449924648206</v>
      </c>
      <c r="X21" s="267">
        <f t="shared" ca="1" si="10"/>
        <v>63.530050787171277</v>
      </c>
    </row>
    <row r="22" spans="1:24" x14ac:dyDescent="0.2">
      <c r="A22" s="225" t="s">
        <v>322</v>
      </c>
      <c r="B22" s="69"/>
      <c r="C22"/>
      <c r="D22" s="271">
        <f>D$18-D$19</f>
        <v>4.2079999999999984</v>
      </c>
      <c r="E22" s="271">
        <f t="shared" ref="E22:X22" si="11">E$18-E$19</f>
        <v>4.8220000000000027</v>
      </c>
      <c r="F22" s="271">
        <f t="shared" si="11"/>
        <v>-4.519999999999996</v>
      </c>
      <c r="G22" s="271">
        <f t="shared" si="11"/>
        <v>-7.7970000000000041</v>
      </c>
      <c r="H22" s="271">
        <f t="shared" si="11"/>
        <v>-12.900000000000006</v>
      </c>
      <c r="I22" s="271">
        <f t="shared" si="11"/>
        <v>-8.5109999999999744</v>
      </c>
      <c r="J22" s="125">
        <f t="shared" ca="1" si="11"/>
        <v>-9.0590000000000046</v>
      </c>
      <c r="K22" s="125">
        <f t="shared" ca="1" si="11"/>
        <v>-3.9950000000000045</v>
      </c>
      <c r="L22" s="125">
        <f t="shared" ca="1" si="11"/>
        <v>-1.8350000000000222</v>
      </c>
      <c r="M22" s="125">
        <f t="shared" ca="1" si="11"/>
        <v>-0.5899999999999892</v>
      </c>
      <c r="N22" s="125">
        <f t="shared" ca="1" si="11"/>
        <v>0.22300000000001319</v>
      </c>
      <c r="O22" s="73">
        <f t="shared" ca="1" si="11"/>
        <v>0.9572623434284111</v>
      </c>
      <c r="P22" s="73">
        <f t="shared" ca="1" si="11"/>
        <v>2.8223288855900677</v>
      </c>
      <c r="Q22" s="73">
        <f t="shared" ca="1" si="11"/>
        <v>4.4021628361853118</v>
      </c>
      <c r="R22" s="73">
        <f t="shared" ca="1" si="11"/>
        <v>6.0228848081868023</v>
      </c>
      <c r="S22" s="73">
        <f t="shared" ca="1" si="11"/>
        <v>7.9421808788469406</v>
      </c>
      <c r="T22" s="73">
        <f t="shared" ca="1" si="11"/>
        <v>9.7726832619812001</v>
      </c>
      <c r="U22" s="73">
        <f t="shared" ca="1" si="11"/>
        <v>11.522453539563884</v>
      </c>
      <c r="V22" s="73">
        <f t="shared" ca="1" si="11"/>
        <v>13.381119677865016</v>
      </c>
      <c r="W22" s="73">
        <f t="shared" ca="1" si="11"/>
        <v>15.345573886718881</v>
      </c>
      <c r="X22" s="73">
        <f t="shared" ca="1" si="11"/>
        <v>17.442162197166979</v>
      </c>
    </row>
    <row r="23" spans="1:24" x14ac:dyDescent="0.2">
      <c r="A23" s="225" t="s">
        <v>567</v>
      </c>
      <c r="B23" s="233"/>
      <c r="C23"/>
      <c r="D23" s="69">
        <f>SUM(Data!C$106:C$107)</f>
        <v>2.3029999999999999</v>
      </c>
      <c r="E23" s="69">
        <f>SUM(Data!D$106:D$107)</f>
        <v>-0.93100000000000005</v>
      </c>
      <c r="F23" s="69">
        <f>SUM(Data!E$106:E$107)</f>
        <v>-1.3420000000000001</v>
      </c>
      <c r="G23" s="69">
        <f>SUM(Data!F$106:F$107)</f>
        <v>0.79700000000000004</v>
      </c>
      <c r="H23" s="69">
        <f>SUM(Data!G$106:G$107)</f>
        <v>3.633</v>
      </c>
      <c r="I23" s="69">
        <f>SUM(Data!H$106:H$107)</f>
        <v>-3.16</v>
      </c>
      <c r="J23" s="125">
        <f>SUM(Data!I$106:I$107) + IF($L$1="Yes",J$331,0)</f>
        <v>2.9020000000000001</v>
      </c>
      <c r="K23" s="125">
        <f>SUM(Data!J$106:J$107) + IF($L$1="Yes",K$331,0)</f>
        <v>1.76</v>
      </c>
      <c r="L23" s="125">
        <f>SUM(Data!K$106:K$107) + IF($L$1="Yes",L$331,0)</f>
        <v>1.859</v>
      </c>
      <c r="M23" s="125">
        <f>SUM(Data!L$106:L$107) + IF($L$1="Yes",M$331,0)</f>
        <v>1.909</v>
      </c>
      <c r="N23" s="125">
        <f>SUM(Data!M$106:M$107) + IF($L$1="Yes",N$331,0)</f>
        <v>2.0070000000000001</v>
      </c>
      <c r="O23" s="267">
        <f t="shared" ref="O23:X23" si="12">SUM(N$23,O$163-N$163)</f>
        <v>2.009767405784773</v>
      </c>
      <c r="P23" s="267">
        <f t="shared" si="12"/>
        <v>2.192954147519953</v>
      </c>
      <c r="Q23" s="267">
        <f t="shared" si="12"/>
        <v>2.4616032639384455</v>
      </c>
      <c r="R23" s="267">
        <f t="shared" si="12"/>
        <v>2.7476049618191278</v>
      </c>
      <c r="S23" s="267">
        <f t="shared" si="12"/>
        <v>3.0479355057385056</v>
      </c>
      <c r="T23" s="267">
        <f t="shared" si="12"/>
        <v>3.3627418921970635</v>
      </c>
      <c r="U23" s="267">
        <f t="shared" si="12"/>
        <v>3.6888721364580594</v>
      </c>
      <c r="V23" s="267">
        <f t="shared" si="12"/>
        <v>4.0224005889810597</v>
      </c>
      <c r="W23" s="267">
        <f t="shared" si="12"/>
        <v>4.3610854412368063</v>
      </c>
      <c r="X23" s="267">
        <f t="shared" si="12"/>
        <v>4.7022060257068148</v>
      </c>
    </row>
    <row r="24" spans="1:24" x14ac:dyDescent="0.2">
      <c r="A24" s="225" t="s">
        <v>129</v>
      </c>
      <c r="B24" s="69"/>
      <c r="C24"/>
      <c r="D24" s="271">
        <f>SUM(D$22,D$23)</f>
        <v>6.5109999999999983</v>
      </c>
      <c r="E24" s="271">
        <f t="shared" ref="E24:X24" si="13">SUM(E$22,E$23)</f>
        <v>3.8910000000000027</v>
      </c>
      <c r="F24" s="271">
        <f t="shared" si="13"/>
        <v>-5.8619999999999965</v>
      </c>
      <c r="G24" s="271">
        <f t="shared" si="13"/>
        <v>-7.0000000000000044</v>
      </c>
      <c r="H24" s="271">
        <f t="shared" si="13"/>
        <v>-9.2670000000000066</v>
      </c>
      <c r="I24" s="271">
        <f t="shared" si="13"/>
        <v>-11.670999999999975</v>
      </c>
      <c r="J24" s="125">
        <f t="shared" ca="1" si="13"/>
        <v>-6.1570000000000045</v>
      </c>
      <c r="K24" s="125">
        <f t="shared" ca="1" si="13"/>
        <v>-2.2350000000000048</v>
      </c>
      <c r="L24" s="125">
        <f t="shared" ca="1" si="13"/>
        <v>2.3999999999977817E-2</v>
      </c>
      <c r="M24" s="125">
        <f t="shared" ca="1" si="13"/>
        <v>1.3190000000000108</v>
      </c>
      <c r="N24" s="125">
        <f t="shared" ca="1" si="13"/>
        <v>2.2300000000000133</v>
      </c>
      <c r="O24" s="73">
        <f t="shared" ca="1" si="13"/>
        <v>2.9670297492131841</v>
      </c>
      <c r="P24" s="73">
        <f t="shared" ca="1" si="13"/>
        <v>5.0152830331100207</v>
      </c>
      <c r="Q24" s="73">
        <f t="shared" ca="1" si="13"/>
        <v>6.8637661001237573</v>
      </c>
      <c r="R24" s="73">
        <f t="shared" ca="1" si="13"/>
        <v>8.7704897700059306</v>
      </c>
      <c r="S24" s="73">
        <f t="shared" ca="1" si="13"/>
        <v>10.990116384585447</v>
      </c>
      <c r="T24" s="73">
        <f t="shared" ca="1" si="13"/>
        <v>13.135425154178265</v>
      </c>
      <c r="U24" s="73">
        <f t="shared" ca="1" si="13"/>
        <v>15.211325676021943</v>
      </c>
      <c r="V24" s="73">
        <f t="shared" ca="1" si="13"/>
        <v>17.403520266846076</v>
      </c>
      <c r="W24" s="73">
        <f t="shared" ca="1" si="13"/>
        <v>19.706659327955688</v>
      </c>
      <c r="X24" s="73">
        <f t="shared" ca="1" si="13"/>
        <v>22.144368222873794</v>
      </c>
    </row>
    <row r="25" spans="1:24" x14ac:dyDescent="0.2">
      <c r="A25" s="225" t="s">
        <v>823</v>
      </c>
      <c r="B25" s="69"/>
      <c r="C25"/>
      <c r="D25" s="271">
        <f t="shared" ref="D25:X25" si="14">(D$18-D$66)-(D$19-D$137)</f>
        <v>3.9570000000000007</v>
      </c>
      <c r="E25" s="271">
        <f t="shared" si="14"/>
        <v>4.9380000000000024</v>
      </c>
      <c r="F25" s="271">
        <f t="shared" si="14"/>
        <v>-3.9629999999999939</v>
      </c>
      <c r="G25" s="271">
        <f t="shared" si="14"/>
        <v>-7.6210000000000022</v>
      </c>
      <c r="H25" s="271">
        <f t="shared" si="14"/>
        <v>-12.003</v>
      </c>
      <c r="I25" s="271">
        <f t="shared" si="14"/>
        <v>-6.7949999999999804</v>
      </c>
      <c r="J25" s="125">
        <f t="shared" ca="1" si="14"/>
        <v>-7.7410000000000139</v>
      </c>
      <c r="K25" s="125">
        <f t="shared" ca="1" si="14"/>
        <v>-2.8290000000000077</v>
      </c>
      <c r="L25" s="125">
        <f t="shared" ca="1" si="14"/>
        <v>-0.69600000000002638</v>
      </c>
      <c r="M25" s="125">
        <f t="shared" ca="1" si="14"/>
        <v>0.51100000000000989</v>
      </c>
      <c r="N25" s="125">
        <f t="shared" ca="1" si="14"/>
        <v>1.3510000000000133</v>
      </c>
      <c r="O25" s="73">
        <f t="shared" ca="1" si="14"/>
        <v>3.0606147263344354</v>
      </c>
      <c r="P25" s="73">
        <f t="shared" ca="1" si="14"/>
        <v>4.9760804320198133</v>
      </c>
      <c r="Q25" s="73">
        <f t="shared" ca="1" si="14"/>
        <v>6.5419731827980172</v>
      </c>
      <c r="R25" s="73">
        <f t="shared" ca="1" si="14"/>
        <v>8.0579146827460448</v>
      </c>
      <c r="S25" s="73">
        <f t="shared" ca="1" si="14"/>
        <v>9.6973136137679177</v>
      </c>
      <c r="T25" s="73">
        <f t="shared" ca="1" si="14"/>
        <v>11.108279901592994</v>
      </c>
      <c r="U25" s="73">
        <f t="shared" ca="1" si="14"/>
        <v>12.326600925907087</v>
      </c>
      <c r="V25" s="73">
        <f t="shared" ca="1" si="14"/>
        <v>13.5416262699204</v>
      </c>
      <c r="W25" s="73">
        <f t="shared" ca="1" si="14"/>
        <v>14.743826258176867</v>
      </c>
      <c r="X25" s="73">
        <f t="shared" ca="1" si="14"/>
        <v>15.953719308562611</v>
      </c>
    </row>
    <row r="26" spans="1:24" ht="15.75" customHeight="1" x14ac:dyDescent="0.25">
      <c r="A26" s="153" t="s">
        <v>387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">
      <c r="A27" s="27" t="s">
        <v>160</v>
      </c>
      <c r="B27" s="70"/>
      <c r="C27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x14ac:dyDescent="0.2">
      <c r="A28" s="225" t="s">
        <v>688</v>
      </c>
      <c r="B28" s="70"/>
      <c r="C28"/>
      <c r="D28" s="69">
        <f>SUM(D$145,D$147,D$157,D$177,D$192,$D$194:D$194,D$202)</f>
        <v>180.34899999999999</v>
      </c>
      <c r="E28" s="69">
        <f>SUM(E$145,E$147,E$157,E$177,E$192,$D$194:E$194,E$202)</f>
        <v>200.83500000000001</v>
      </c>
      <c r="F28" s="69">
        <f>SUM(F$145,F$147,F$157,F$177,F$192,$D$194:F$194,F$202)</f>
        <v>217.15100000000001</v>
      </c>
      <c r="G28" s="69">
        <f>SUM(G$145,G$147,G$157,G$177,G$192,$D$194:G$194,G$202)</f>
        <v>223.35499999999999</v>
      </c>
      <c r="H28" s="69">
        <f>SUM(H$145,H$147,H$157,H$177,H$192,$D$194:H$194,H$202)</f>
        <v>245.215</v>
      </c>
      <c r="I28" s="69">
        <f>SUM(I$145,I$147,I$157,I$177,I$192,$D$194:I$194,I$202)</f>
        <v>240.31800000000001</v>
      </c>
      <c r="J28" s="125">
        <f ca="1">SUM(J$145,J$147,J$157,J$177,J$192,$D$194:J$194,J$202)</f>
        <v>237.82</v>
      </c>
      <c r="K28" s="125">
        <f ca="1">SUM(K$145,K$147,K$157,K$177,K$192,$D$194:K$194,K$202)</f>
        <v>246.761</v>
      </c>
      <c r="L28" s="125">
        <f ca="1">SUM(L$145,L$147,L$157,L$177,L$192,$D$194:L$194,L$202)</f>
        <v>248.18600000000001</v>
      </c>
      <c r="M28" s="125">
        <f ca="1">SUM(M$145,M$147,M$157,M$177,M$192,$D$194:M$194,M$202)</f>
        <v>258.45999999999998</v>
      </c>
      <c r="N28" s="125">
        <f ca="1">SUM(N$145,N$147,N$157,N$177,N$192,$D$194:N$194,N$202)</f>
        <v>272.23800000000006</v>
      </c>
      <c r="O28" s="73">
        <f ca="1">SUM(O$145,O$147,O$157,O$177,O$192,$D$194:O$194,O$202)</f>
        <v>282.77378329983873</v>
      </c>
      <c r="P28" s="73">
        <f ca="1">SUM(P$145,P$147,P$157,P$177,P$192,$D$194:P$194,P$202)</f>
        <v>295.19389669889318</v>
      </c>
      <c r="Q28" s="73">
        <f ca="1">SUM(Q$145,Q$147,Q$157,Q$177,Q$192,$D$194:Q$194,Q$202)</f>
        <v>308.46993590059532</v>
      </c>
      <c r="R28" s="73">
        <f ca="1">SUM(R$145,R$147,R$157,R$177,R$192,$D$194:R$194,R$202)</f>
        <v>322.55011226975222</v>
      </c>
      <c r="S28" s="73">
        <f ca="1">SUM(S$145,S$147,S$157,S$177,S$192,$D$194:S$194,S$202)</f>
        <v>337.4248562552732</v>
      </c>
      <c r="T28" s="73">
        <f ca="1">SUM(T$145,T$147,T$157,T$177,T$192,$D$194:T$194,T$202)</f>
        <v>353.06581389749289</v>
      </c>
      <c r="U28" s="73">
        <f ca="1">SUM(U$145,U$147,U$157,U$177,U$192,$D$194:U$194,U$202)</f>
        <v>369.31339262406942</v>
      </c>
      <c r="V28" s="73">
        <f ca="1">SUM(V$145,V$147,V$157,V$177,V$192,$D$194:V$194,V$202)</f>
        <v>386.16751749377147</v>
      </c>
      <c r="W28" s="73">
        <f ca="1">SUM(W$145,W$147,W$157,W$177,W$192,$D$194:W$194,W$202)</f>
        <v>403.6456122850264</v>
      </c>
      <c r="X28" s="73">
        <f ca="1">SUM(X$145,X$147,X$157,X$177,X$192,$D$194:X$194,X$202)</f>
        <v>421.72031319305506</v>
      </c>
    </row>
    <row r="29" spans="1:24" x14ac:dyDescent="0.2">
      <c r="A29" s="225" t="s">
        <v>690</v>
      </c>
      <c r="B29" s="70"/>
      <c r="C29"/>
      <c r="D29" s="69">
        <f t="shared" ref="D29:X29" si="15">SUM(D$223,D$222)</f>
        <v>41.897999999999996</v>
      </c>
      <c r="E29" s="69">
        <f t="shared" si="15"/>
        <v>46.11</v>
      </c>
      <c r="F29" s="69">
        <f t="shared" si="15"/>
        <v>61.953000000000003</v>
      </c>
      <c r="G29" s="69">
        <f t="shared" si="15"/>
        <v>69.733000000000004</v>
      </c>
      <c r="H29" s="69">
        <f t="shared" si="15"/>
        <v>90.245000000000005</v>
      </c>
      <c r="I29" s="69">
        <f t="shared" si="15"/>
        <v>100.53399999999999</v>
      </c>
      <c r="J29" s="125">
        <f t="shared" si="15"/>
        <v>102.74900000000001</v>
      </c>
      <c r="K29" s="125">
        <f t="shared" si="15"/>
        <v>113.669</v>
      </c>
      <c r="L29" s="125">
        <f t="shared" si="15"/>
        <v>112.494</v>
      </c>
      <c r="M29" s="125">
        <f t="shared" si="15"/>
        <v>117.733</v>
      </c>
      <c r="N29" s="125">
        <f t="shared" si="15"/>
        <v>125.419</v>
      </c>
      <c r="O29" s="73">
        <f t="shared" ca="1" si="15"/>
        <v>128.3733350901679</v>
      </c>
      <c r="P29" s="73">
        <f t="shared" ca="1" si="15"/>
        <v>130.9683977091793</v>
      </c>
      <c r="Q29" s="73">
        <f t="shared" ca="1" si="15"/>
        <v>132.35674814468808</v>
      </c>
      <c r="R29" s="73">
        <f t="shared" ca="1" si="15"/>
        <v>132.49559877744872</v>
      </c>
      <c r="S29" s="73">
        <f t="shared" ca="1" si="15"/>
        <v>131.00067274788486</v>
      </c>
      <c r="T29" s="73">
        <f t="shared" ca="1" si="15"/>
        <v>127.92653220658218</v>
      </c>
      <c r="U29" s="73">
        <f t="shared" ca="1" si="15"/>
        <v>123.22267380964274</v>
      </c>
      <c r="V29" s="73">
        <f t="shared" ca="1" si="15"/>
        <v>116.77663492854018</v>
      </c>
      <c r="W29" s="73">
        <f t="shared" ca="1" si="15"/>
        <v>108.48846187621632</v>
      </c>
      <c r="X29" s="73">
        <f t="shared" ca="1" si="15"/>
        <v>98.217889865383199</v>
      </c>
    </row>
    <row r="30" spans="1:24" x14ac:dyDescent="0.2">
      <c r="A30" s="225" t="s">
        <v>682</v>
      </c>
      <c r="B30" s="70"/>
      <c r="C30"/>
      <c r="D30" s="69">
        <f t="shared" ref="D30:X30" si="16">D$219</f>
        <v>41.624000000000002</v>
      </c>
      <c r="E30" s="69">
        <f t="shared" si="16"/>
        <v>49.210999999999999</v>
      </c>
      <c r="F30" s="69">
        <f t="shared" si="16"/>
        <v>55.683</v>
      </c>
      <c r="G30" s="69">
        <f t="shared" si="16"/>
        <v>58.634</v>
      </c>
      <c r="H30" s="69">
        <f t="shared" si="16"/>
        <v>74.082999999999998</v>
      </c>
      <c r="I30" s="69">
        <f t="shared" si="16"/>
        <v>80.004000000000005</v>
      </c>
      <c r="J30" s="125">
        <f t="shared" si="16"/>
        <v>77.009</v>
      </c>
      <c r="K30" s="125">
        <f t="shared" si="16"/>
        <v>73.375</v>
      </c>
      <c r="L30" s="125">
        <f t="shared" si="16"/>
        <v>72.27000000000001</v>
      </c>
      <c r="M30" s="125">
        <f t="shared" si="16"/>
        <v>72.076999999999998</v>
      </c>
      <c r="N30" s="125">
        <f t="shared" si="16"/>
        <v>73.561999999999983</v>
      </c>
      <c r="O30" s="73">
        <f t="shared" ca="1" si="16"/>
        <v>75.466613770368411</v>
      </c>
      <c r="P30" s="73">
        <f t="shared" ca="1" si="16"/>
        <v>77.462148526928843</v>
      </c>
      <c r="Q30" s="73">
        <f t="shared" ca="1" si="16"/>
        <v>79.566773349368233</v>
      </c>
      <c r="R30" s="73">
        <f t="shared" ca="1" si="16"/>
        <v>81.728073225394638</v>
      </c>
      <c r="S30" s="73">
        <f t="shared" ca="1" si="16"/>
        <v>83.987594426851757</v>
      </c>
      <c r="T30" s="73">
        <f t="shared" ca="1" si="16"/>
        <v>86.340848200839531</v>
      </c>
      <c r="U30" s="73">
        <f t="shared" ca="1" si="16"/>
        <v>88.76194434146646</v>
      </c>
      <c r="V30" s="73">
        <f t="shared" ca="1" si="16"/>
        <v>91.257572750175683</v>
      </c>
      <c r="W30" s="73">
        <f t="shared" ca="1" si="16"/>
        <v>93.844378221829359</v>
      </c>
      <c r="X30" s="73">
        <f t="shared" ca="1" si="16"/>
        <v>96.514634235736779</v>
      </c>
    </row>
    <row r="31" spans="1:24" x14ac:dyDescent="0.2">
      <c r="A31" s="225" t="s">
        <v>301</v>
      </c>
      <c r="B31" s="70"/>
      <c r="C31"/>
      <c r="D31" s="69">
        <f t="shared" ref="D31:X31" si="17">D$28-SUM(D$29,D$30)</f>
        <v>96.826999999999998</v>
      </c>
      <c r="E31" s="69">
        <f t="shared" si="17"/>
        <v>105.51400000000001</v>
      </c>
      <c r="F31" s="69">
        <f t="shared" si="17"/>
        <v>99.515000000000015</v>
      </c>
      <c r="G31" s="69">
        <f t="shared" si="17"/>
        <v>94.987999999999971</v>
      </c>
      <c r="H31" s="69">
        <f t="shared" si="17"/>
        <v>80.887</v>
      </c>
      <c r="I31" s="69">
        <f t="shared" si="17"/>
        <v>59.78</v>
      </c>
      <c r="J31" s="125">
        <f t="shared" ca="1" si="17"/>
        <v>58.061999999999983</v>
      </c>
      <c r="K31" s="125">
        <f t="shared" ca="1" si="17"/>
        <v>59.717000000000013</v>
      </c>
      <c r="L31" s="125">
        <f t="shared" ca="1" si="17"/>
        <v>63.421999999999997</v>
      </c>
      <c r="M31" s="125">
        <f t="shared" ca="1" si="17"/>
        <v>68.649999999999977</v>
      </c>
      <c r="N31" s="125">
        <f t="shared" ca="1" si="17"/>
        <v>73.257000000000062</v>
      </c>
      <c r="O31" s="73">
        <f t="shared" ca="1" si="17"/>
        <v>78.933834439302416</v>
      </c>
      <c r="P31" s="73">
        <f t="shared" ca="1" si="17"/>
        <v>86.763350462785041</v>
      </c>
      <c r="Q31" s="73">
        <f t="shared" ca="1" si="17"/>
        <v>96.546414406538986</v>
      </c>
      <c r="R31" s="73">
        <f t="shared" ca="1" si="17"/>
        <v>108.32644026690886</v>
      </c>
      <c r="S31" s="73">
        <f t="shared" ca="1" si="17"/>
        <v>122.43658908053658</v>
      </c>
      <c r="T31" s="73">
        <f t="shared" ca="1" si="17"/>
        <v>138.79843349007118</v>
      </c>
      <c r="U31" s="73">
        <f t="shared" ca="1" si="17"/>
        <v>157.32877447296022</v>
      </c>
      <c r="V31" s="73">
        <f t="shared" ca="1" si="17"/>
        <v>178.13330981505561</v>
      </c>
      <c r="W31" s="73">
        <f t="shared" ca="1" si="17"/>
        <v>201.31277218698074</v>
      </c>
      <c r="X31" s="73">
        <f t="shared" ca="1" si="17"/>
        <v>226.9877890919351</v>
      </c>
    </row>
    <row r="32" spans="1:24" x14ac:dyDescent="0.2">
      <c r="A32" s="27" t="s">
        <v>162</v>
      </c>
      <c r="B32" s="418"/>
      <c r="C32"/>
      <c r="D32" s="69"/>
      <c r="E32" s="69"/>
      <c r="F32" s="69"/>
      <c r="G32" s="69"/>
      <c r="H32" s="69"/>
      <c r="I32" s="69"/>
      <c r="J32" s="125"/>
      <c r="K32" s="125"/>
      <c r="L32" s="125"/>
      <c r="M32" s="125"/>
      <c r="N32" s="125"/>
    </row>
    <row r="33" spans="1:24" x14ac:dyDescent="0.2">
      <c r="A33" s="225" t="s">
        <v>688</v>
      </c>
      <c r="B33" s="70"/>
      <c r="C33"/>
      <c r="D33" s="69">
        <f>SUM(D$144,D$146,D$154,D$176,D$190,$D$194:D$194,D$201)</f>
        <v>105.21299999999999</v>
      </c>
      <c r="E33" s="69">
        <f>SUM(E$144,E$146,E$154,E$176,E$190,$D$194:E$194,E$201)</f>
        <v>116.18199999999999</v>
      </c>
      <c r="F33" s="69">
        <f>SUM(F$144,F$146,F$154,F$176,F$190,$D$194:F$194,F$201)</f>
        <v>126.19999999999999</v>
      </c>
      <c r="G33" s="69">
        <f>SUM(G$144,G$146,G$154,G$176,G$190,$D$194:G$194,G$201)</f>
        <v>127.215</v>
      </c>
      <c r="H33" s="69">
        <f>SUM(H$144,H$146,H$154,H$176,H$190,$D$194:H$194,H$201)</f>
        <v>138.965</v>
      </c>
      <c r="I33" s="69">
        <f>SUM(I$144,I$146,I$154,I$176,I$190,$D$194:I$194,I$201)</f>
        <v>138.40899999999999</v>
      </c>
      <c r="J33" s="125">
        <f ca="1">SUM(J$144,J$146,J$154,J$176,J$190,$D$194:J$194,J$201)</f>
        <v>134.96699999999998</v>
      </c>
      <c r="K33" s="125">
        <f ca="1">SUM(K$144,K$146,K$154,K$176,K$190,$D$194:K$194,K$201)</f>
        <v>140.53899999999999</v>
      </c>
      <c r="L33" s="272">
        <f ca="1">SUM(L$144,L$146,L$154,L$176,L$190,$D$194:L$194,L$201)</f>
        <v>139.19</v>
      </c>
      <c r="M33" s="272">
        <f ca="1">SUM(M$144,M$146,M$154,M$176,M$190,$D$194:M$194,M$201)</f>
        <v>145.05500000000001</v>
      </c>
      <c r="N33" s="272">
        <f ca="1">SUM(N$144,N$146,N$154,N$176,N$190,$D$194:N$194,N$201)</f>
        <v>153.01</v>
      </c>
      <c r="O33" s="73">
        <f ca="1">SUM(O$144,O$146,O$154,O$176,O$190,$D$194:O$194,O$201)</f>
        <v>157.61004340321466</v>
      </c>
      <c r="P33" s="73">
        <f ca="1">SUM(P$144,P$146,P$154,P$176,P$190,$D$194:P$194,P$201)</f>
        <v>163.75054421179681</v>
      </c>
      <c r="Q33" s="73">
        <f ca="1">SUM(Q$144,Q$146,Q$154,Q$176,Q$190,$D$194:Q$194,Q$201)</f>
        <v>170.19977435729263</v>
      </c>
      <c r="R33" s="73">
        <f ca="1">SUM(R$144,R$146,R$154,R$176,R$190,$D$194:R$194,R$201)</f>
        <v>177.04158498739741</v>
      </c>
      <c r="S33" s="73">
        <f ca="1">SUM(S$144,S$146,S$154,S$176,S$190,$D$194:S$194,S$201)</f>
        <v>184.10777715809536</v>
      </c>
      <c r="T33" s="73">
        <f ca="1">SUM(T$144,T$146,T$154,T$176,T$190,$D$194:T$194,T$201)</f>
        <v>191.41026305090239</v>
      </c>
      <c r="U33" s="73">
        <f ca="1">SUM(U$144,U$146,U$154,U$176,U$190,$D$194:U$194,U$201)</f>
        <v>198.87621474345625</v>
      </c>
      <c r="V33" s="73">
        <f ca="1">SUM(V$144,V$146,V$154,V$176,V$190,$D$194:V$194,V$201)</f>
        <v>206.48842805187695</v>
      </c>
      <c r="W33" s="73">
        <f ca="1">SUM(W$144,W$146,W$154,W$176,W$190,$D$194:W$194,W$201)</f>
        <v>214.2345397964244</v>
      </c>
      <c r="X33" s="73">
        <f ca="1">SUM(X$144,X$146,X$154,X$176,X$190,$D$194:X$194,X$201)</f>
        <v>222.09059181074548</v>
      </c>
    </row>
    <row r="34" spans="1:24" x14ac:dyDescent="0.2">
      <c r="A34" s="225" t="s">
        <v>683</v>
      </c>
      <c r="B34" s="103"/>
      <c r="C34"/>
      <c r="D34" s="69">
        <f t="shared" ref="D34:X34" si="18">D$225</f>
        <v>35.892000000000003</v>
      </c>
      <c r="E34" s="69">
        <f t="shared" si="18"/>
        <v>37.335999999999999</v>
      </c>
      <c r="F34" s="69">
        <f t="shared" si="18"/>
        <v>50.545000000000002</v>
      </c>
      <c r="G34" s="69">
        <f t="shared" si="18"/>
        <v>58.582999999999998</v>
      </c>
      <c r="H34" s="69">
        <f t="shared" si="18"/>
        <v>76.885000000000005</v>
      </c>
      <c r="I34" s="69">
        <f t="shared" si="18"/>
        <v>84.68</v>
      </c>
      <c r="J34" s="125">
        <f t="shared" si="18"/>
        <v>86.281999999999996</v>
      </c>
      <c r="K34" s="125">
        <f t="shared" si="18"/>
        <v>94.688999999999993</v>
      </c>
      <c r="L34" s="125">
        <f t="shared" si="18"/>
        <v>92.597999999999999</v>
      </c>
      <c r="M34" s="125">
        <f t="shared" si="18"/>
        <v>96.570999999999998</v>
      </c>
      <c r="N34" s="125">
        <f t="shared" si="18"/>
        <v>102.45</v>
      </c>
      <c r="O34" s="73">
        <f t="shared" ca="1" si="18"/>
        <v>103.99593446313702</v>
      </c>
      <c r="P34" s="73">
        <f t="shared" ca="1" si="18"/>
        <v>105.03306050026065</v>
      </c>
      <c r="Q34" s="73">
        <f t="shared" ca="1" si="18"/>
        <v>104.54991101919481</v>
      </c>
      <c r="R34" s="73">
        <f t="shared" ca="1" si="18"/>
        <v>102.56433045283949</v>
      </c>
      <c r="S34" s="73">
        <f t="shared" ca="1" si="18"/>
        <v>98.592902335810791</v>
      </c>
      <c r="T34" s="73">
        <f t="shared" ca="1" si="18"/>
        <v>92.712994581038672</v>
      </c>
      <c r="U34" s="73">
        <f t="shared" ca="1" si="18"/>
        <v>84.909050271965398</v>
      </c>
      <c r="V34" s="73">
        <f t="shared" ca="1" si="18"/>
        <v>75.04633939412642</v>
      </c>
      <c r="W34" s="73">
        <f t="shared" ca="1" si="18"/>
        <v>62.997047300738117</v>
      </c>
      <c r="X34" s="73">
        <f t="shared" ca="1" si="18"/>
        <v>48.605771905951229</v>
      </c>
    </row>
    <row r="35" spans="1:24" x14ac:dyDescent="0.2">
      <c r="A35" s="225" t="s">
        <v>684</v>
      </c>
      <c r="B35" s="103"/>
      <c r="C35"/>
      <c r="D35" s="69">
        <f t="shared" ref="D35:X35" si="19">D$216</f>
        <v>18.530999999999995</v>
      </c>
      <c r="E35" s="69">
        <f t="shared" si="19"/>
        <v>21.863000000000003</v>
      </c>
      <c r="F35" s="69">
        <f t="shared" si="19"/>
        <v>22.586000000000002</v>
      </c>
      <c r="G35" s="69">
        <f t="shared" si="19"/>
        <v>23.963000000000001</v>
      </c>
      <c r="H35" s="69">
        <f t="shared" si="19"/>
        <v>27.148999999999994</v>
      </c>
      <c r="I35" s="69">
        <f t="shared" si="19"/>
        <v>30.357999999999997</v>
      </c>
      <c r="J35" s="125">
        <f t="shared" si="19"/>
        <v>30.143000000000008</v>
      </c>
      <c r="K35" s="125">
        <f t="shared" si="19"/>
        <v>28.193000000000005</v>
      </c>
      <c r="L35" s="125">
        <f t="shared" si="19"/>
        <v>27.584999999999994</v>
      </c>
      <c r="M35" s="125">
        <f t="shared" si="19"/>
        <v>26.794000000000004</v>
      </c>
      <c r="N35" s="125">
        <f t="shared" si="19"/>
        <v>26.605</v>
      </c>
      <c r="O35" s="73">
        <f t="shared" ca="1" si="19"/>
        <v>26.65507919086447</v>
      </c>
      <c r="P35" s="73">
        <f t="shared" ca="1" si="19"/>
        <v>26.705745429212975</v>
      </c>
      <c r="Q35" s="73">
        <f t="shared" ca="1" si="19"/>
        <v>26.736503062400878</v>
      </c>
      <c r="R35" s="73">
        <f t="shared" ca="1" si="19"/>
        <v>26.755113252832693</v>
      </c>
      <c r="S35" s="73">
        <f t="shared" ca="1" si="19"/>
        <v>26.763885570737258</v>
      </c>
      <c r="T35" s="73">
        <f t="shared" ca="1" si="19"/>
        <v>26.771677065671287</v>
      </c>
      <c r="U35" s="73">
        <f t="shared" ca="1" si="19"/>
        <v>26.790619857327243</v>
      </c>
      <c r="V35" s="73">
        <f t="shared" ca="1" si="19"/>
        <v>26.82194052615122</v>
      </c>
      <c r="W35" s="73">
        <f t="shared" ca="1" si="19"/>
        <v>26.870140828159858</v>
      </c>
      <c r="X35" s="73">
        <f t="shared" ca="1" si="19"/>
        <v>26.932089548030945</v>
      </c>
    </row>
    <row r="36" spans="1:24" x14ac:dyDescent="0.2">
      <c r="A36" s="225" t="s">
        <v>301</v>
      </c>
      <c r="B36" s="103"/>
      <c r="C36"/>
      <c r="D36" s="69">
        <f>D$33-SUM(D$34,D$35)</f>
        <v>50.789999999999992</v>
      </c>
      <c r="E36" s="69">
        <f t="shared" ref="E36:X36" si="20">E$33-SUM(E$34,E$35)</f>
        <v>56.98299999999999</v>
      </c>
      <c r="F36" s="69">
        <f t="shared" si="20"/>
        <v>53.068999999999988</v>
      </c>
      <c r="G36" s="69">
        <f t="shared" si="20"/>
        <v>44.669000000000011</v>
      </c>
      <c r="H36" s="69">
        <f t="shared" si="20"/>
        <v>34.931000000000012</v>
      </c>
      <c r="I36" s="69">
        <f t="shared" si="20"/>
        <v>23.370999999999981</v>
      </c>
      <c r="J36" s="125">
        <f t="shared" ca="1" si="20"/>
        <v>18.541999999999973</v>
      </c>
      <c r="K36" s="125">
        <f t="shared" ca="1" si="20"/>
        <v>17.656999999999982</v>
      </c>
      <c r="L36" s="125">
        <f t="shared" ca="1" si="20"/>
        <v>19.007000000000005</v>
      </c>
      <c r="M36" s="125">
        <f t="shared" ca="1" si="20"/>
        <v>21.689999999999998</v>
      </c>
      <c r="N36" s="125">
        <f t="shared" ca="1" si="20"/>
        <v>23.954999999999984</v>
      </c>
      <c r="O36" s="73">
        <f t="shared" ca="1" si="20"/>
        <v>26.959029749213187</v>
      </c>
      <c r="P36" s="73">
        <f t="shared" ca="1" si="20"/>
        <v>32.011738282323194</v>
      </c>
      <c r="Q36" s="73">
        <f t="shared" ca="1" si="20"/>
        <v>38.913360275696931</v>
      </c>
      <c r="R36" s="73">
        <f t="shared" ca="1" si="20"/>
        <v>47.722141281725243</v>
      </c>
      <c r="S36" s="73">
        <f t="shared" ca="1" si="20"/>
        <v>58.75098925154731</v>
      </c>
      <c r="T36" s="73">
        <f t="shared" ca="1" si="20"/>
        <v>71.925591404192431</v>
      </c>
      <c r="U36" s="73">
        <f t="shared" ca="1" si="20"/>
        <v>87.176544614163603</v>
      </c>
      <c r="V36" s="73">
        <f t="shared" ca="1" si="20"/>
        <v>104.62014813159931</v>
      </c>
      <c r="W36" s="73">
        <f t="shared" ca="1" si="20"/>
        <v>124.36735166752642</v>
      </c>
      <c r="X36" s="73">
        <f t="shared" ca="1" si="20"/>
        <v>146.55273035676331</v>
      </c>
    </row>
    <row r="37" spans="1:24" x14ac:dyDescent="0.2">
      <c r="A37" s="225" t="s">
        <v>824</v>
      </c>
      <c r="B37" s="103"/>
      <c r="C37"/>
      <c r="D37" s="69">
        <f t="shared" ref="D37:X37" si="21">D$227-D$228</f>
        <v>30.646999999999998</v>
      </c>
      <c r="E37" s="69">
        <f t="shared" si="21"/>
        <v>31.389999999999997</v>
      </c>
      <c r="F37" s="69">
        <f t="shared" si="21"/>
        <v>43.355999999999995</v>
      </c>
      <c r="G37" s="69">
        <f t="shared" si="21"/>
        <v>53.590999999999994</v>
      </c>
      <c r="H37" s="69">
        <f t="shared" si="21"/>
        <v>72.42</v>
      </c>
      <c r="I37" s="69">
        <f t="shared" si="21"/>
        <v>79.635000000000005</v>
      </c>
      <c r="J37" s="125">
        <f t="shared" si="21"/>
        <v>80.175999999999988</v>
      </c>
      <c r="K37" s="125">
        <f t="shared" si="21"/>
        <v>88.441999999999993</v>
      </c>
      <c r="L37" s="125">
        <f t="shared" si="21"/>
        <v>86.251999999999995</v>
      </c>
      <c r="M37" s="125">
        <f t="shared" si="21"/>
        <v>90.06</v>
      </c>
      <c r="N37" s="125">
        <f t="shared" si="21"/>
        <v>95.858999999999995</v>
      </c>
      <c r="O37" s="73">
        <f t="shared" ca="1" si="21"/>
        <v>98.515934463137015</v>
      </c>
      <c r="P37" s="73">
        <f t="shared" ca="1" si="21"/>
        <v>99.553060500260642</v>
      </c>
      <c r="Q37" s="73">
        <f t="shared" ca="1" si="21"/>
        <v>99.069911019194805</v>
      </c>
      <c r="R37" s="73">
        <f t="shared" ca="1" si="21"/>
        <v>97.084330452839481</v>
      </c>
      <c r="S37" s="73">
        <f t="shared" ca="1" si="21"/>
        <v>93.112902335810787</v>
      </c>
      <c r="T37" s="73">
        <f t="shared" ca="1" si="21"/>
        <v>87.232994581038668</v>
      </c>
      <c r="U37" s="73">
        <f t="shared" ca="1" si="21"/>
        <v>79.429050271965394</v>
      </c>
      <c r="V37" s="73">
        <f t="shared" ca="1" si="21"/>
        <v>69.566339394126416</v>
      </c>
      <c r="W37" s="73">
        <f t="shared" ca="1" si="21"/>
        <v>57.517047300738113</v>
      </c>
      <c r="X37" s="73">
        <f t="shared" ca="1" si="21"/>
        <v>43.125771905951225</v>
      </c>
    </row>
    <row r="38" spans="1:24" x14ac:dyDescent="0.2">
      <c r="A38" s="225" t="s">
        <v>685</v>
      </c>
      <c r="B38" s="103"/>
      <c r="C38"/>
      <c r="D38" s="271">
        <f t="shared" ref="D38:X38" si="22">D$227-SUM(D$144,D$154,D$174)+SUM(D$170,D$203)</f>
        <v>13.195999999999998</v>
      </c>
      <c r="E38" s="271">
        <f t="shared" si="22"/>
        <v>10.257999999999997</v>
      </c>
      <c r="F38" s="271">
        <f t="shared" si="22"/>
        <v>17.119000000000003</v>
      </c>
      <c r="G38" s="271">
        <f t="shared" si="22"/>
        <v>26.738</v>
      </c>
      <c r="H38" s="271">
        <f t="shared" si="22"/>
        <v>40.128</v>
      </c>
      <c r="I38" s="271">
        <f t="shared" si="22"/>
        <v>50.671000000000021</v>
      </c>
      <c r="J38" s="272">
        <f t="shared" si="22"/>
        <v>59.99799999999999</v>
      </c>
      <c r="K38" s="272">
        <f t="shared" si="22"/>
        <v>66.748999999999995</v>
      </c>
      <c r="L38" s="272">
        <f t="shared" si="22"/>
        <v>70.685000000000002</v>
      </c>
      <c r="M38" s="272">
        <f t="shared" si="22"/>
        <v>73.477000000000004</v>
      </c>
      <c r="N38" s="272">
        <f t="shared" si="22"/>
        <v>75.859999999999985</v>
      </c>
      <c r="O38" s="267">
        <f t="shared" ca="1" si="22"/>
        <v>77.186671928008934</v>
      </c>
      <c r="P38" s="267">
        <f t="shared" ca="1" si="22"/>
        <v>78.336326430394678</v>
      </c>
      <c r="Q38" s="267">
        <f t="shared" ca="1" si="22"/>
        <v>78.012202779841019</v>
      </c>
      <c r="R38" s="267">
        <f t="shared" ca="1" si="22"/>
        <v>76.213451148064848</v>
      </c>
      <c r="S38" s="267">
        <f t="shared" ca="1" si="22"/>
        <v>72.45819725330233</v>
      </c>
      <c r="T38" s="267">
        <f t="shared" ca="1" si="22"/>
        <v>66.822452426558556</v>
      </c>
      <c r="U38" s="267">
        <f t="shared" ca="1" si="22"/>
        <v>59.272267243705116</v>
      </c>
      <c r="V38" s="267">
        <f t="shared" ca="1" si="22"/>
        <v>49.668558897486207</v>
      </c>
      <c r="W38" s="267">
        <f t="shared" ca="1" si="22"/>
        <v>37.873982000421861</v>
      </c>
      <c r="X38" s="267">
        <f t="shared" ca="1" si="22"/>
        <v>23.726368709740015</v>
      </c>
    </row>
    <row r="39" spans="1:24" ht="13.5" x14ac:dyDescent="0.25">
      <c r="A39" s="157" t="s">
        <v>517</v>
      </c>
      <c r="B39" s="42"/>
      <c r="C39"/>
      <c r="D39" s="69"/>
      <c r="E39" s="69"/>
      <c r="F39" s="69"/>
      <c r="G39" s="69"/>
      <c r="H39" s="69"/>
      <c r="I39" s="45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x14ac:dyDescent="0.2">
      <c r="A40" s="225" t="s">
        <v>606</v>
      </c>
      <c r="B40" s="233"/>
      <c r="C40"/>
      <c r="D40" s="275" t="str">
        <f>IF(ROUND(Data!C$17-D$15,3)=0,"OK","ERROR")</f>
        <v>OK</v>
      </c>
      <c r="E40" s="275" t="str">
        <f>IF(ROUND(Data!D$17-E$15,3)=0,"OK","ERROR")</f>
        <v>OK</v>
      </c>
      <c r="F40" s="275" t="str">
        <f>IF(ROUND(Data!E$17-F$15,3)=0,"OK","ERROR")</f>
        <v>OK</v>
      </c>
      <c r="G40" s="275" t="str">
        <f>IF(ROUND(Data!F$17-G$15,3)=0,"OK","ERROR")</f>
        <v>OK</v>
      </c>
      <c r="H40" s="275" t="str">
        <f>IF(ROUND(Data!G$17-H$15,3)=0,"OK","ERROR")</f>
        <v>OK</v>
      </c>
      <c r="I40" s="275" t="str">
        <f>IF(ROUND(Data!H$17-I$15,3)=0,"OK","ERROR")</f>
        <v>OK</v>
      </c>
      <c r="J40" s="158" t="str">
        <f ca="1">IF(ROUND(Data!I$17-J$15 + IF($F$1="Yes",J$322,0) + IF($I$1="Yes",SUM(J$285,J$304),0) + IF($L$1="Yes",J$336,0),3)=0,"OK","ERROR")</f>
        <v>OK</v>
      </c>
      <c r="K40" s="158" t="str">
        <f ca="1">IF(ROUND(Data!J$17-K$15 + IF($F$1="Yes",K$322,0) + IF($I$1="Yes",SUM(K$285,K$304),0) + IF($L$1="Yes",K$336,0),3)=0,"OK","ERROR")</f>
        <v>OK</v>
      </c>
      <c r="L40" s="158" t="str">
        <f ca="1">IF(ROUND(Data!K$17-L$15 + IF($F$1="Yes",L$322,0) + IF($I$1="Yes",SUM(L$285,L$304),0) + IF($L$1="Yes",L$336,0),3)=0,"OK","ERROR")</f>
        <v>OK</v>
      </c>
      <c r="M40" s="158" t="str">
        <f ca="1">IF(ROUND(Data!L$17-M$15 + IF($F$1="Yes",M$322,0) + IF($I$1="Yes",SUM(M$285,M$304),0) + IF($L$1="Yes",M$336,0),3)=0,"OK","ERROR")</f>
        <v>OK</v>
      </c>
      <c r="N40" s="158" t="str">
        <f ca="1">IF(ROUND(Data!M$17-N$15 + IF($F$1="Yes",N$322,0) + IF($I$1="Yes",SUM(N$285,N$304),0) + IF($L$1="Yes",N$336,0),3)=0,"OK","ERROR")</f>
        <v>OK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x14ac:dyDescent="0.2">
      <c r="A41" s="225" t="s">
        <v>518</v>
      </c>
      <c r="B41" s="233"/>
      <c r="C41"/>
      <c r="D41" s="275" t="str">
        <f>IF(ROUND(Data!C$108-D$24,3)=0,"OK","ERROR")</f>
        <v>OK</v>
      </c>
      <c r="E41" s="275" t="str">
        <f>IF(ROUND(Data!D$108-E$24,3)=0,"OK","ERROR")</f>
        <v>OK</v>
      </c>
      <c r="F41" s="275" t="str">
        <f>IF(ROUND(Data!E$108-F$24,3)=0,"OK","ERROR")</f>
        <v>OK</v>
      </c>
      <c r="G41" s="275" t="str">
        <f>IF(ROUND(Data!F$108-G$24,3)=0,"OK","ERROR")</f>
        <v>OK</v>
      </c>
      <c r="H41" s="275" t="str">
        <f>IF(ROUND(Data!G$108-H$24,3)=0,"OK","ERROR")</f>
        <v>OK</v>
      </c>
      <c r="I41" s="275" t="str">
        <f>IF(ROUND(Data!H$108-I$24,3)=0,"OK","ERROR")</f>
        <v>OK</v>
      </c>
      <c r="J41" s="158" t="str">
        <f ca="1">IF(ROUND(Data!I$108-J$24 + IF($F$1="Yes",J$322,0) + IF($I$1="Yes",J$304,0) + IF($L$1="Yes",J$336,0),3)=0,"OK","ERROR")</f>
        <v>OK</v>
      </c>
      <c r="K41" s="158" t="str">
        <f ca="1">IF(ROUND(Data!J$108-K$24 + IF($F$1="Yes",K$322,0) + IF($I$1="Yes",K$304,0) + IF($L$1="Yes",K$336,0),3)=0,"OK","ERROR")</f>
        <v>OK</v>
      </c>
      <c r="L41" s="158" t="str">
        <f ca="1">IF(ROUND(Data!K$108-L$24 + IF($F$1="Yes",L$322,0) + IF($I$1="Yes",L$304,0) + IF($L$1="Yes",L$336,0),3)=0,"OK","ERROR")</f>
        <v>OK</v>
      </c>
      <c r="M41" s="158" t="str">
        <f ca="1">IF(ROUND(Data!L$108-M$24 + IF($F$1="Yes",M$322,0) + IF($I$1="Yes",M$304,0) + IF($L$1="Yes",M$336,0),3)=0,"OK","ERROR")</f>
        <v>OK</v>
      </c>
      <c r="N41" s="158" t="str">
        <f ca="1">IF(ROUND(Data!M$108-N$24 + IF($F$1="Yes",N$322,0) + IF($I$1="Yes",N$304,0) + IF($L$1="Yes",N$336,0),3)=0,"OK","ERROR")</f>
        <v>OK</v>
      </c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x14ac:dyDescent="0.2">
      <c r="A42" s="225" t="s">
        <v>519</v>
      </c>
      <c r="B42" s="233"/>
      <c r="C42"/>
      <c r="D42" s="275" t="str">
        <f>IF(ROUND(Data!C$79-D$31,3)=0,"OK","ERROR")</f>
        <v>OK</v>
      </c>
      <c r="E42" s="275" t="str">
        <f>IF(ROUND(Data!D$79-E$31,3)=0,"OK","ERROR")</f>
        <v>OK</v>
      </c>
      <c r="F42" s="275" t="str">
        <f>IF(ROUND(Data!E$79-F$31,3)=0,"OK","ERROR")</f>
        <v>OK</v>
      </c>
      <c r="G42" s="275" t="str">
        <f>IF(ROUND(Data!F$79-G$31,3)=0,"OK","ERROR")</f>
        <v>OK</v>
      </c>
      <c r="H42" s="275" t="str">
        <f>IF(ROUND(Data!G$79-H$31,3)=0,"OK","ERROR")</f>
        <v>OK</v>
      </c>
      <c r="I42" s="275" t="str">
        <f>IF(ROUND(Data!H$79-I$31,3)=0,"OK","ERROR")</f>
        <v>OK</v>
      </c>
      <c r="J42" s="158" t="str">
        <f ca="1">IF(ROUND(Data!I$79-J$31 + IF($F$1="Yes",J$323,0) + IF($I$1="Yes",SUM(J$306,J$309),0) + IF($L$1="Yes",J$341,0),3)=0,"OK","ERROR")</f>
        <v>OK</v>
      </c>
      <c r="K42" s="158" t="str">
        <f ca="1">IF(ROUND(Data!J$79-K$31 + IF($F$1="Yes",K$323,0) + IF($I$1="Yes",SUM(K$306,K$309),0) + IF($L$1="Yes",K$341,0),3)=0,"OK","ERROR")</f>
        <v>OK</v>
      </c>
      <c r="L42" s="158" t="str">
        <f ca="1">IF(ROUND(Data!K$79-L$31 + IF($F$1="Yes",L$323,0) + IF($I$1="Yes",SUM(L$306,L$309),0) + IF($L$1="Yes",L$341,0),3)=0,"OK","ERROR")</f>
        <v>OK</v>
      </c>
      <c r="M42" s="158" t="str">
        <f ca="1">IF(ROUND(Data!L$79-M$31 + IF($F$1="Yes",M$323,0) + IF($I$1="Yes",SUM(M$306,M$309),0) + IF($L$1="Yes",M$341,0),3)=0,"OK","ERROR")</f>
        <v>OK</v>
      </c>
      <c r="N42" s="158" t="str">
        <f ca="1">IF(ROUND(Data!M$79-N$31 + IF($F$1="Yes",N$323,0) + IF($I$1="Yes",SUM(N$306,N$309),0) + IF($L$1="Yes",N$341,0),3)=0,"OK","ERROR")</f>
        <v>OK</v>
      </c>
      <c r="O42" s="404" t="str">
        <f ca="1">IF(ROUND(O$31-N$31-O$15 + IF(AND(OFFSET(Scenarios!$A$40,0,$C$1)="Yes",O$4&gt;=OFFSET(Scenarios!$A$41,0,$C$1),O$4&lt;=OFFSET(Scenarios!$A$42,0,$C$1)),OFFSET(Scenarios!$A$43,0,$C$1)*(1+OFFSET(Scenarios!$A$44,0,$C$1))^MAX(0,O$4-OFFSET(Scenarios!$A$41,0,$C$1)),0),3)=0,"OK","ERROR")</f>
        <v>OK</v>
      </c>
      <c r="P42" s="404" t="str">
        <f ca="1">IF(ROUND(P$31-O$31-P$15 + IF(AND(OFFSET(Scenarios!$A$40,0,$C$1)="Yes",P$4&gt;=OFFSET(Scenarios!$A$41,0,$C$1),P$4&lt;=OFFSET(Scenarios!$A$42,0,$C$1)),OFFSET(Scenarios!$A$43,0,$C$1)*(1+OFFSET(Scenarios!$A$44,0,$C$1))^MAX(0,P$4-OFFSET(Scenarios!$A$41,0,$C$1)),0),3)=0,"OK","ERROR")</f>
        <v>OK</v>
      </c>
      <c r="Q42" s="404" t="str">
        <f ca="1">IF(ROUND(Q$31-P$31-Q$15 + IF(AND(OFFSET(Scenarios!$A$40,0,$C$1)="Yes",Q$4&gt;=OFFSET(Scenarios!$A$41,0,$C$1),Q$4&lt;=OFFSET(Scenarios!$A$42,0,$C$1)),OFFSET(Scenarios!$A$43,0,$C$1)*(1+OFFSET(Scenarios!$A$44,0,$C$1))^MAX(0,Q$4-OFFSET(Scenarios!$A$41,0,$C$1)),0),3)=0,"OK","ERROR")</f>
        <v>OK</v>
      </c>
      <c r="R42" s="404" t="str">
        <f ca="1">IF(ROUND(R$31-Q$31-R$15 + IF(AND(OFFSET(Scenarios!$A$40,0,$C$1)="Yes",R$4&gt;=OFFSET(Scenarios!$A$41,0,$C$1),R$4&lt;=OFFSET(Scenarios!$A$42,0,$C$1)),OFFSET(Scenarios!$A$43,0,$C$1)*(1+OFFSET(Scenarios!$A$44,0,$C$1))^MAX(0,R$4-OFFSET(Scenarios!$A$41,0,$C$1)),0),3)=0,"OK","ERROR")</f>
        <v>OK</v>
      </c>
      <c r="S42" s="404" t="str">
        <f ca="1">IF(ROUND(S$31-R$31-S$15 + IF(AND(OFFSET(Scenarios!$A$40,0,$C$1)="Yes",S$4&gt;=OFFSET(Scenarios!$A$41,0,$C$1),S$4&lt;=OFFSET(Scenarios!$A$42,0,$C$1)),OFFSET(Scenarios!$A$43,0,$C$1)*(1+OFFSET(Scenarios!$A$44,0,$C$1))^MAX(0,S$4-OFFSET(Scenarios!$A$41,0,$C$1)),0),3)=0,"OK","ERROR")</f>
        <v>OK</v>
      </c>
      <c r="T42" s="404" t="str">
        <f ca="1">IF(ROUND(T$31-S$31-T$15 + IF(AND(OFFSET(Scenarios!$A$40,0,$C$1)="Yes",T$4&gt;=OFFSET(Scenarios!$A$41,0,$C$1),T$4&lt;=OFFSET(Scenarios!$A$42,0,$C$1)),OFFSET(Scenarios!$A$43,0,$C$1)*(1+OFFSET(Scenarios!$A$44,0,$C$1))^MAX(0,T$4-OFFSET(Scenarios!$A$41,0,$C$1)),0),3)=0,"OK","ERROR")</f>
        <v>OK</v>
      </c>
      <c r="U42" s="404" t="str">
        <f ca="1">IF(ROUND(U$31-T$31-U$15 + IF(AND(OFFSET(Scenarios!$A$40,0,$C$1)="Yes",U$4&gt;=OFFSET(Scenarios!$A$41,0,$C$1),U$4&lt;=OFFSET(Scenarios!$A$42,0,$C$1)),OFFSET(Scenarios!$A$43,0,$C$1)*(1+OFFSET(Scenarios!$A$44,0,$C$1))^MAX(0,U$4-OFFSET(Scenarios!$A$41,0,$C$1)),0),3)=0,"OK","ERROR")</f>
        <v>OK</v>
      </c>
      <c r="V42" s="404" t="str">
        <f ca="1">IF(ROUND(V$31-U$31-V$15 + IF(AND(OFFSET(Scenarios!$A$40,0,$C$1)="Yes",V$4&gt;=OFFSET(Scenarios!$A$41,0,$C$1),V$4&lt;=OFFSET(Scenarios!$A$42,0,$C$1)),OFFSET(Scenarios!$A$43,0,$C$1)*(1+OFFSET(Scenarios!$A$44,0,$C$1))^MAX(0,V$4-OFFSET(Scenarios!$A$41,0,$C$1)),0),3)=0,"OK","ERROR")</f>
        <v>OK</v>
      </c>
      <c r="W42" s="404" t="str">
        <f ca="1">IF(ROUND(W$31-V$31-W$15 + IF(AND(OFFSET(Scenarios!$A$40,0,$C$1)="Yes",W$4&gt;=OFFSET(Scenarios!$A$41,0,$C$1),W$4&lt;=OFFSET(Scenarios!$A$42,0,$C$1)),OFFSET(Scenarios!$A$43,0,$C$1)*(1+OFFSET(Scenarios!$A$44,0,$C$1))^MAX(0,W$4-OFFSET(Scenarios!$A$41,0,$C$1)),0),3)=0,"OK","ERROR")</f>
        <v>OK</v>
      </c>
      <c r="X42" s="404" t="str">
        <f ca="1">IF(ROUND(X$31-W$31-X$15 + IF(AND(OFFSET(Scenarios!$A$40,0,$C$1)="Yes",X$4&gt;=OFFSET(Scenarios!$A$41,0,$C$1),X$4&lt;=OFFSET(Scenarios!$A$42,0,$C$1)),OFFSET(Scenarios!$A$43,0,$C$1)*(1+OFFSET(Scenarios!$A$44,0,$C$1))^MAX(0,X$4-OFFSET(Scenarios!$A$41,0,$C$1)),0),3)=0,"OK","ERROR")</f>
        <v>OK</v>
      </c>
    </row>
    <row r="43" spans="1:24" x14ac:dyDescent="0.2">
      <c r="A43" s="225" t="s">
        <v>520</v>
      </c>
      <c r="B43" s="233"/>
      <c r="C43"/>
      <c r="D43" s="275" t="str">
        <f>IF(ROUND(Data!C$121-D$36,3)=0,"OK","ERROR")</f>
        <v>OK</v>
      </c>
      <c r="E43" s="275" t="str">
        <f>IF(ROUND(Data!D$121-E$36,3)=0,"OK","ERROR")</f>
        <v>OK</v>
      </c>
      <c r="F43" s="275" t="str">
        <f>IF(ROUND(Data!E$121-F$36,3)=0,"OK","ERROR")</f>
        <v>OK</v>
      </c>
      <c r="G43" s="275" t="str">
        <f>IF(ROUND(Data!F$121-G$36,3)=0,"OK","ERROR")</f>
        <v>OK</v>
      </c>
      <c r="H43" s="275" t="str">
        <f>IF(ROUND(Data!G$121-H$36,3)=0,"OK","ERROR")</f>
        <v>OK</v>
      </c>
      <c r="I43" s="275" t="str">
        <f>IF(ROUND(Data!H$121-I$36,3)=0,"OK","ERROR")</f>
        <v>OK</v>
      </c>
      <c r="J43" s="158" t="str">
        <f ca="1">IF(ROUND(Data!I$121-J$36 + IF($F$1="Yes",J$323,0) + IF($I$1="Yes",J$309,0) + IF($L$1="Yes",J$341,0),3)=0,"OK","ERROR")</f>
        <v>OK</v>
      </c>
      <c r="K43" s="158" t="str">
        <f ca="1">IF(ROUND(Data!J$121-K$36 + IF($F$1="Yes",K$323,0) + IF($I$1="Yes",K$309,0) + IF($L$1="Yes",K$341,0),3)=0,"OK","ERROR")</f>
        <v>OK</v>
      </c>
      <c r="L43" s="158" t="str">
        <f ca="1">IF(ROUND(Data!K$121-L$36 + IF($F$1="Yes",L$323,0) + IF($I$1="Yes",L$309,0) + IF($L$1="Yes",L$341,0),3)=0,"OK","ERROR")</f>
        <v>OK</v>
      </c>
      <c r="M43" s="158" t="str">
        <f ca="1">IF(ROUND(Data!L$121-M$36 + IF($F$1="Yes",M$323,0) + IF($I$1="Yes",M$309,0) + IF($L$1="Yes",M$341,0),3)=0,"OK","ERROR")</f>
        <v>OK</v>
      </c>
      <c r="N43" s="158" t="str">
        <f ca="1">IF(ROUND(Data!M$121-N$36 + IF($F$1="Yes",N$323,0) + IF($I$1="Yes",N$309,0) + IF($L$1="Yes",N$341,0),3)=0,"OK","ERROR")</f>
        <v>OK</v>
      </c>
      <c r="O43" s="404" t="str">
        <f ca="1">IF(ROUND(O$36-N$36-O$24 + IF(AND(OFFSET(Scenarios!$A$40,0,$C$1)="Yes",O$4&gt;=OFFSET(Scenarios!$A$41,0,$C$1),O$4&lt;=OFFSET(Scenarios!$A$42,0,$C$1)),OFFSET(Scenarios!$A$43,0,$C$1)*(1+OFFSET(Scenarios!$A$44,0,$C$1))^MAX(0,O$4-OFFSET(Scenarios!$A$41,0,$C$1)),0),3)=0,"OK","ERROR")</f>
        <v>OK</v>
      </c>
      <c r="P43" s="404" t="str">
        <f ca="1">IF(ROUND(P$36-O$36-P$24 + IF(AND(OFFSET(Scenarios!$A$40,0,$C$1)="Yes",P$4&gt;=OFFSET(Scenarios!$A$41,0,$C$1),P$4&lt;=OFFSET(Scenarios!$A$42,0,$C$1)),OFFSET(Scenarios!$A$43,0,$C$1)*(1+OFFSET(Scenarios!$A$44,0,$C$1))^MAX(0,P$4-OFFSET(Scenarios!$A$41,0,$C$1)),0),3)=0,"OK","ERROR")</f>
        <v>OK</v>
      </c>
      <c r="Q43" s="404" t="str">
        <f ca="1">IF(ROUND(Q$36-P$36-Q$24 + IF(AND(OFFSET(Scenarios!$A$40,0,$C$1)="Yes",Q$4&gt;=OFFSET(Scenarios!$A$41,0,$C$1),Q$4&lt;=OFFSET(Scenarios!$A$42,0,$C$1)),OFFSET(Scenarios!$A$43,0,$C$1)*(1+OFFSET(Scenarios!$A$44,0,$C$1))^MAX(0,Q$4-OFFSET(Scenarios!$A$41,0,$C$1)),0),3)=0,"OK","ERROR")</f>
        <v>OK</v>
      </c>
      <c r="R43" s="404" t="str">
        <f ca="1">IF(ROUND(R$36-Q$36-R$24 + IF(AND(OFFSET(Scenarios!$A$40,0,$C$1)="Yes",R$4&gt;=OFFSET(Scenarios!$A$41,0,$C$1),R$4&lt;=OFFSET(Scenarios!$A$42,0,$C$1)),OFFSET(Scenarios!$A$43,0,$C$1)*(1+OFFSET(Scenarios!$A$44,0,$C$1))^MAX(0,R$4-OFFSET(Scenarios!$A$41,0,$C$1)),0),3)=0,"OK","ERROR")</f>
        <v>OK</v>
      </c>
      <c r="S43" s="404" t="str">
        <f ca="1">IF(ROUND(S$36-R$36-S$24 + IF(AND(OFFSET(Scenarios!$A$40,0,$C$1)="Yes",S$4&gt;=OFFSET(Scenarios!$A$41,0,$C$1),S$4&lt;=OFFSET(Scenarios!$A$42,0,$C$1)),OFFSET(Scenarios!$A$43,0,$C$1)*(1+OFFSET(Scenarios!$A$44,0,$C$1))^MAX(0,S$4-OFFSET(Scenarios!$A$41,0,$C$1)),0),3)=0,"OK","ERROR")</f>
        <v>OK</v>
      </c>
      <c r="T43" s="404" t="str">
        <f ca="1">IF(ROUND(T$36-S$36-T$24 + IF(AND(OFFSET(Scenarios!$A$40,0,$C$1)="Yes",T$4&gt;=OFFSET(Scenarios!$A$41,0,$C$1),T$4&lt;=OFFSET(Scenarios!$A$42,0,$C$1)),OFFSET(Scenarios!$A$43,0,$C$1)*(1+OFFSET(Scenarios!$A$44,0,$C$1))^MAX(0,T$4-OFFSET(Scenarios!$A$41,0,$C$1)),0),3)=0,"OK","ERROR")</f>
        <v>OK</v>
      </c>
      <c r="U43" s="404" t="str">
        <f ca="1">IF(ROUND(U$36-T$36-U$24 + IF(AND(OFFSET(Scenarios!$A$40,0,$C$1)="Yes",U$4&gt;=OFFSET(Scenarios!$A$41,0,$C$1),U$4&lt;=OFFSET(Scenarios!$A$42,0,$C$1)),OFFSET(Scenarios!$A$43,0,$C$1)*(1+OFFSET(Scenarios!$A$44,0,$C$1))^MAX(0,U$4-OFFSET(Scenarios!$A$41,0,$C$1)),0),3)=0,"OK","ERROR")</f>
        <v>OK</v>
      </c>
      <c r="V43" s="404" t="str">
        <f ca="1">IF(ROUND(V$36-U$36-V$24 + IF(AND(OFFSET(Scenarios!$A$40,0,$C$1)="Yes",V$4&gt;=OFFSET(Scenarios!$A$41,0,$C$1),V$4&lt;=OFFSET(Scenarios!$A$42,0,$C$1)),OFFSET(Scenarios!$A$43,0,$C$1)*(1+OFFSET(Scenarios!$A$44,0,$C$1))^MAX(0,V$4-OFFSET(Scenarios!$A$41,0,$C$1)),0),3)=0,"OK","ERROR")</f>
        <v>OK</v>
      </c>
      <c r="W43" s="404" t="str">
        <f ca="1">IF(ROUND(W$36-V$36-W$24 + IF(AND(OFFSET(Scenarios!$A$40,0,$C$1)="Yes",W$4&gt;=OFFSET(Scenarios!$A$41,0,$C$1),W$4&lt;=OFFSET(Scenarios!$A$42,0,$C$1)),OFFSET(Scenarios!$A$43,0,$C$1)*(1+OFFSET(Scenarios!$A$44,0,$C$1))^MAX(0,W$4-OFFSET(Scenarios!$A$41,0,$C$1)),0),3)=0,"OK","ERROR")</f>
        <v>OK</v>
      </c>
      <c r="X43" s="404" t="str">
        <f ca="1">IF(ROUND(X$36-W$36-X$24 + IF(AND(OFFSET(Scenarios!$A$40,0,$C$1)="Yes",X$4&gt;=OFFSET(Scenarios!$A$41,0,$C$1),X$4&lt;=OFFSET(Scenarios!$A$42,0,$C$1)),OFFSET(Scenarios!$A$43,0,$C$1)*(1+OFFSET(Scenarios!$A$44,0,$C$1))^MAX(0,X$4-OFFSET(Scenarios!$A$41,0,$C$1)),0),3)=0,"OK","ERROR")</f>
        <v>OK</v>
      </c>
    </row>
    <row r="44" spans="1:24" x14ac:dyDescent="0.2">
      <c r="A44" s="225" t="s">
        <v>685</v>
      </c>
      <c r="B44" s="233"/>
      <c r="C44" s="71"/>
      <c r="D44" s="275" t="str">
        <f>IF(ROUND(Data!C$93-D$38,3)=0,"OK","ERROR")</f>
        <v>OK</v>
      </c>
      <c r="E44" s="275" t="str">
        <f>IF(ROUND(Data!D$93-E$38,3)=0,"OK","ERROR")</f>
        <v>OK</v>
      </c>
      <c r="F44" s="275" t="str">
        <f>IF(ROUND(Data!E$93-F$38,3)=0,"OK","ERROR")</f>
        <v>OK</v>
      </c>
      <c r="G44" s="275" t="str">
        <f>IF(ROUND(Data!F$93-G$38,3)=0,"OK","ERROR")</f>
        <v>OK</v>
      </c>
      <c r="H44" s="275" t="str">
        <f>IF(ROUND(Data!G$93-H$38,3)=0,"OK","ERROR")</f>
        <v>OK</v>
      </c>
      <c r="I44" s="275" t="str">
        <f>IF(ROUND(Data!H$93-I$38,3)=0,"OK","ERROR")</f>
        <v>OK</v>
      </c>
      <c r="J44" s="158" t="str">
        <f>IF(ROUND(Data!I$93-J$38 + IF($F$1="Yes",J$327,0) + IF($I$1="Yes",J$314,0) + IF($L$1="Yes",J$344,0),3)=0,"OK","ERROR")</f>
        <v>OK</v>
      </c>
      <c r="K44" s="158" t="str">
        <f>IF(ROUND(Data!J$93-K$38 + IF($F$1="Yes",K$327,0) + IF($I$1="Yes",K$314,0) + IF($L$1="Yes",K$344,0),3)=0,"OK","ERROR")</f>
        <v>OK</v>
      </c>
      <c r="L44" s="158" t="str">
        <f>IF(ROUND(Data!K$93-L$38 + IF($F$1="Yes",L$327,0) + IF($I$1="Yes",L$314,0) + IF($L$1="Yes",L$344,0),3)=0,"OK","ERROR")</f>
        <v>OK</v>
      </c>
      <c r="M44" s="158" t="str">
        <f>IF(ROUND(Data!L$93-M$38 + IF($F$1="Yes",M$327,0) + IF($I$1="Yes",M$314,0) + IF($L$1="Yes",M$344,0),3)=0,"OK","ERROR")</f>
        <v>OK</v>
      </c>
      <c r="N44" s="158" t="str">
        <f>IF(ROUND(Data!M$93-N$38 + IF($F$1="Yes",N$327,0) + IF($I$1="Yes",N$314,0) + IF($L$1="Yes",N$344,0),3)=0,"OK","ERROR")</f>
        <v>OK</v>
      </c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x14ac:dyDescent="0.2">
      <c r="A45" s="22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5.75" x14ac:dyDescent="0.25">
      <c r="A46" s="153" t="s">
        <v>131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">
      <c r="A47" s="108" t="s">
        <v>277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">
      <c r="A48" s="160" t="s">
        <v>185</v>
      </c>
      <c r="B48" s="233"/>
      <c r="C48"/>
      <c r="D48" s="69">
        <f>Data!C$124</f>
        <v>20.98</v>
      </c>
      <c r="E48" s="69">
        <f>Data!D$124</f>
        <v>23.344999999999999</v>
      </c>
      <c r="F48" s="69">
        <f>Data!E$124</f>
        <v>22.587</v>
      </c>
      <c r="G48" s="69">
        <f>Data!F$124</f>
        <v>21.774000000000001</v>
      </c>
      <c r="H48" s="69">
        <f>Data!G$124</f>
        <v>20.856999999999999</v>
      </c>
      <c r="I48" s="69">
        <f>Data!H$124</f>
        <v>21.236999999999998</v>
      </c>
      <c r="J48" s="125">
        <f ca="1">Data!I$124*IF($F$1="Yes",OFFSET('Forecast Adjuster'!$A$58,0,J$278),1) + IF($I$1="Yes",J$280,0)</f>
        <v>22.038</v>
      </c>
      <c r="K48" s="125">
        <f ca="1">Data!J$124*IF($F$1="Yes",OFFSET('Forecast Adjuster'!$A$58,0,K$278),1) + IF($I$1="Yes",K$280,0)</f>
        <v>23.117000000000001</v>
      </c>
      <c r="L48" s="125">
        <f ca="1">Data!K$124*IF($F$1="Yes",OFFSET('Forecast Adjuster'!$A$58,0,L$278),1) + IF($I$1="Yes",L$280,0)</f>
        <v>24.300999999999998</v>
      </c>
      <c r="M48" s="125">
        <f ca="1">Data!L$124*IF($F$1="Yes",OFFSET('Forecast Adjuster'!$A$58,0,M$278),1) + IF($I$1="Yes",M$280,0)</f>
        <v>25.486999999999998</v>
      </c>
      <c r="N48" s="125">
        <f ca="1">Data!M$124*IF($F$1="Yes",OFFSET('Forecast Adjuster'!$A$58,0,N$278),1) + IF($I$1="Yes",N$280,0)</f>
        <v>26.75</v>
      </c>
      <c r="O48" s="73">
        <f ca="1">IF(AND(OFFSET(Scenarios!$A$26,0,$C$1)="YES",OFFSET(Scenarios!$A$28,0,$C$1)&gt;=O$4),N$48*(1+O$245)*(1+OFFSET(Scenarios!$A$27,0,$C$1)*O$236)*(1+OFFSET(Scenarios!$A$27,0,$C$1)*O$248),IF(OFFSET(Scenarios!$A$50,0,$C$1)="Yes",IF(N$48/N$233&lt;OFFSET(Scenarios!$A$57,0,$C$1)-0.00195,MIN(N$48/N$233+OFFSET(Scenarios!$A$56,0,$C$1),OFFSET(Scenarios!$A$57,0,$C$1)-0.00195),MAX(N$48/N$233-OFFSET(Scenarios!$A$56,0,$C$1),OFFSET(Scenarios!$A$57,0,$C$1)-0.00195))*O$233,N$48*(1+O$245)*(1+O$236)*(1+O$248)))</f>
        <v>28.271502399461863</v>
      </c>
      <c r="P48" s="73">
        <f ca="1">IF(AND(OFFSET(Scenarios!$A$26,0,$C$1)="YES",OFFSET(Scenarios!$A$28,0,$C$1)&gt;=P$4),O$48*(1+P$245)*(1+OFFSET(Scenarios!$A$27,0,$C$1)*P$236)*(1+OFFSET(Scenarios!$A$27,0,$C$1)*P$248),IF(OFFSET(Scenarios!$A$50,0,$C$1)="Yes",IF(O$48/O$233&lt;OFFSET(Scenarios!$A$57,0,$C$1)-0.00195,MIN(O$48/O$233+OFFSET(Scenarios!$A$56,0,$C$1),OFFSET(Scenarios!$A$57,0,$C$1)-0.00195),MAX(O$48/O$233-OFFSET(Scenarios!$A$56,0,$C$1),OFFSET(Scenarios!$A$57,0,$C$1)-0.00195))*P$233,O$48*(1+P$245)*(1+P$236)*(1+P$248)))</f>
        <v>29.899471701036852</v>
      </c>
      <c r="Q48" s="73">
        <f ca="1">IF(AND(OFFSET(Scenarios!$A$26,0,$C$1)="YES",OFFSET(Scenarios!$A$28,0,$C$1)&gt;=Q$4),P$48*(1+Q$245)*(1+OFFSET(Scenarios!$A$27,0,$C$1)*Q$236)*(1+OFFSET(Scenarios!$A$27,0,$C$1)*Q$248),IF(OFFSET(Scenarios!$A$50,0,$C$1)="Yes",IF(P$48/P$233&lt;OFFSET(Scenarios!$A$57,0,$C$1)-0.00195,MIN(P$48/P$233+OFFSET(Scenarios!$A$56,0,$C$1),OFFSET(Scenarios!$A$57,0,$C$1)-0.00195),MAX(P$48/P$233-OFFSET(Scenarios!$A$56,0,$C$1),OFFSET(Scenarios!$A$57,0,$C$1)-0.00195))*Q$233,P$48*(1+Q$245)*(1+Q$236)*(1+Q$248)))</f>
        <v>31.675804089070439</v>
      </c>
      <c r="R48" s="73">
        <f ca="1">IF(AND(OFFSET(Scenarios!$A$26,0,$C$1)="YES",OFFSET(Scenarios!$A$28,0,$C$1)&gt;=R$4),Q$48*(1+R$245)*(1+OFFSET(Scenarios!$A$27,0,$C$1)*R$236)*(1+OFFSET(Scenarios!$A$27,0,$C$1)*R$248),IF(OFFSET(Scenarios!$A$50,0,$C$1)="Yes",IF(Q$48/Q$233&lt;OFFSET(Scenarios!$A$57,0,$C$1)-0.00195,MIN(Q$48/Q$233+OFFSET(Scenarios!$A$56,0,$C$1),OFFSET(Scenarios!$A$57,0,$C$1)-0.00195),MAX(Q$48/Q$233-OFFSET(Scenarios!$A$56,0,$C$1),OFFSET(Scenarios!$A$57,0,$C$1)-0.00195))*R$233,Q$48*(1+R$245)*(1+R$236)*(1+R$248)))</f>
        <v>33.541398646688272</v>
      </c>
      <c r="S48" s="73">
        <f ca="1">IF(AND(OFFSET(Scenarios!$A$26,0,$C$1)="YES",OFFSET(Scenarios!$A$28,0,$C$1)&gt;=S$4),R$48*(1+S$245)*(1+OFFSET(Scenarios!$A$27,0,$C$1)*S$236)*(1+OFFSET(Scenarios!$A$27,0,$C$1)*S$248),IF(OFFSET(Scenarios!$A$50,0,$C$1)="Yes",IF(R$48/R$233&lt;OFFSET(Scenarios!$A$57,0,$C$1)-0.00195,MIN(R$48/R$233+OFFSET(Scenarios!$A$56,0,$C$1),OFFSET(Scenarios!$A$57,0,$C$1)-0.00195),MAX(R$48/R$233-OFFSET(Scenarios!$A$56,0,$C$1),OFFSET(Scenarios!$A$57,0,$C$1)-0.00195))*S$233,R$48*(1+S$245)*(1+S$236)*(1+S$248)))</f>
        <v>35.507344342299916</v>
      </c>
      <c r="T48" s="73">
        <f ca="1">IF(AND(OFFSET(Scenarios!$A$26,0,$C$1)="YES",OFFSET(Scenarios!$A$28,0,$C$1)&gt;=T$4),S$48*(1+T$245)*(1+OFFSET(Scenarios!$A$27,0,$C$1)*T$236)*(1+OFFSET(Scenarios!$A$27,0,$C$1)*T$248),IF(OFFSET(Scenarios!$A$50,0,$C$1)="Yes",IF(S$48/S$233&lt;OFFSET(Scenarios!$A$57,0,$C$1)-0.00195,MIN(S$48/S$233+OFFSET(Scenarios!$A$56,0,$C$1),OFFSET(Scenarios!$A$57,0,$C$1)-0.00195),MAX(S$48/S$233-OFFSET(Scenarios!$A$56,0,$C$1),OFFSET(Scenarios!$A$57,0,$C$1)-0.00195))*T$233,S$48*(1+T$245)*(1+T$236)*(1+T$248)))</f>
        <v>37.257148949758161</v>
      </c>
      <c r="U48" s="73">
        <f ca="1">IF(AND(OFFSET(Scenarios!$A$26,0,$C$1)="YES",OFFSET(Scenarios!$A$28,0,$C$1)&gt;=U$4),T$48*(1+U$245)*(1+OFFSET(Scenarios!$A$27,0,$C$1)*U$236)*(1+OFFSET(Scenarios!$A$27,0,$C$1)*U$248),IF(OFFSET(Scenarios!$A$50,0,$C$1)="Yes",IF(T$48/T$233&lt;OFFSET(Scenarios!$A$57,0,$C$1)-0.00195,MIN(T$48/T$233+OFFSET(Scenarios!$A$56,0,$C$1),OFFSET(Scenarios!$A$57,0,$C$1)-0.00195),MAX(T$48/T$233-OFFSET(Scenarios!$A$56,0,$C$1),OFFSET(Scenarios!$A$57,0,$C$1)-0.00195))*U$233,T$48*(1+U$245)*(1+U$236)*(1+U$248)))</f>
        <v>38.933004529740799</v>
      </c>
      <c r="V48" s="73">
        <f ca="1">IF(AND(OFFSET(Scenarios!$A$26,0,$C$1)="YES",OFFSET(Scenarios!$A$28,0,$C$1)&gt;=V$4),U$48*(1+V$245)*(1+OFFSET(Scenarios!$A$27,0,$C$1)*V$236)*(1+OFFSET(Scenarios!$A$27,0,$C$1)*V$248),IF(OFFSET(Scenarios!$A$50,0,$C$1)="Yes",IF(U$48/U$233&lt;OFFSET(Scenarios!$A$57,0,$C$1)-0.00195,MIN(U$48/U$233+OFFSET(Scenarios!$A$56,0,$C$1),OFFSET(Scenarios!$A$57,0,$C$1)-0.00195),MAX(U$48/U$233-OFFSET(Scenarios!$A$56,0,$C$1),OFFSET(Scenarios!$A$57,0,$C$1)-0.00195))*V$233,U$48*(1+V$245)*(1+V$236)*(1+V$248)))</f>
        <v>40.653224523290099</v>
      </c>
      <c r="W48" s="73">
        <f ca="1">IF(AND(OFFSET(Scenarios!$A$26,0,$C$1)="YES",OFFSET(Scenarios!$A$28,0,$C$1)&gt;=W$4),V$48*(1+W$245)*(1+OFFSET(Scenarios!$A$27,0,$C$1)*W$236)*(1+OFFSET(Scenarios!$A$27,0,$C$1)*W$248),IF(OFFSET(Scenarios!$A$50,0,$C$1)="Yes",IF(V$48/V$233&lt;OFFSET(Scenarios!$A$57,0,$C$1)-0.00195,MIN(V$48/V$233+OFFSET(Scenarios!$A$56,0,$C$1),OFFSET(Scenarios!$A$57,0,$C$1)-0.00195),MAX(V$48/V$233-OFFSET(Scenarios!$A$56,0,$C$1),OFFSET(Scenarios!$A$57,0,$C$1)-0.00195))*W$233,V$48*(1+W$245)*(1+W$236)*(1+W$248)))</f>
        <v>42.427074954844436</v>
      </c>
      <c r="X48" s="73">
        <f ca="1">IF(AND(OFFSET(Scenarios!$A$26,0,$C$1)="YES",OFFSET(Scenarios!$A$28,0,$C$1)&gt;=X$4),W$48*(1+X$245)*(1+OFFSET(Scenarios!$A$27,0,$C$1)*X$236)*(1+OFFSET(Scenarios!$A$27,0,$C$1)*X$248),IF(OFFSET(Scenarios!$A$50,0,$C$1)="Yes",IF(W$48/W$233&lt;OFFSET(Scenarios!$A$57,0,$C$1)-0.00195,MIN(W$48/W$233+OFFSET(Scenarios!$A$56,0,$C$1),OFFSET(Scenarios!$A$57,0,$C$1)-0.00195),MAX(W$48/W$233-OFFSET(Scenarios!$A$56,0,$C$1),OFFSET(Scenarios!$A$57,0,$C$1)-0.00195))*X$233,W$48*(1+X$245)*(1+X$236)*(1+X$248)))</f>
        <v>44.250953804589948</v>
      </c>
    </row>
    <row r="49" spans="1:24" x14ac:dyDescent="0.2">
      <c r="A49" s="160" t="s">
        <v>331</v>
      </c>
      <c r="B49" s="233"/>
      <c r="C49" s="69"/>
      <c r="D49" s="69">
        <f>Data!C$128</f>
        <v>9.891</v>
      </c>
      <c r="E49" s="69">
        <f>Data!D$128</f>
        <v>10.122</v>
      </c>
      <c r="F49" s="69">
        <f>Data!E$128</f>
        <v>9.2759999999999998</v>
      </c>
      <c r="G49" s="69">
        <f>Data!F$128</f>
        <v>7.2</v>
      </c>
      <c r="H49" s="69">
        <f>Data!G$128</f>
        <v>6.9569999999999999</v>
      </c>
      <c r="I49" s="69">
        <f>Data!H$128</f>
        <v>8.6120000000000001</v>
      </c>
      <c r="J49" s="125">
        <f ca="1">Data!I$128*IF($F$1="Yes",OFFSET('Forecast Adjuster'!$A$58,0,J$278),1) + IF($I$1="Yes",J$281,0)</f>
        <v>8.6690000000000005</v>
      </c>
      <c r="K49" s="125">
        <f ca="1">Data!J$128*IF($F$1="Yes",OFFSET('Forecast Adjuster'!$A$58,0,K$278),1) + IF($I$1="Yes",K$281,0)</f>
        <v>9.5540000000000003</v>
      </c>
      <c r="L49" s="125">
        <f ca="1">Data!K$128*IF($F$1="Yes",OFFSET('Forecast Adjuster'!$A$58,0,L$278),1) + IF($I$1="Yes",L$281,0)</f>
        <v>10.032999999999999</v>
      </c>
      <c r="M49" s="125">
        <f ca="1">Data!L$128*IF($F$1="Yes",OFFSET('Forecast Adjuster'!$A$58,0,M$278),1) + IF($I$1="Yes",M$281,0)</f>
        <v>10.425000000000001</v>
      </c>
      <c r="N49" s="125">
        <f ca="1">Data!M$128*IF($F$1="Yes",OFFSET('Forecast Adjuster'!$A$58,0,N$278),1) + IF($I$1="Yes",N$281,0)</f>
        <v>10.847</v>
      </c>
      <c r="O49" s="73">
        <f ca="1">IF(OFFSET(Scenarios!$A$51,0,$C$1)="Yes",IF(N$49/N$233&lt;OFFSET(Scenarios!$A$58,0,$C$1)-0.00077,MIN(N$49/N$233+OFFSET(Scenarios!$A$56,0,$C$1),OFFSET(Scenarios!$A$58,0,$C$1)-0.00077),MAX(N$49/N$233-OFFSET(Scenarios!$A$56,0,$C$1),OFFSET(Scenarios!$A$58,0,$C$1)-0.00077))*O$233,N$49*(1+O$234))</f>
        <v>11.703031809313812</v>
      </c>
      <c r="P49" s="73">
        <f ca="1">IF(OFFSET(Scenarios!$A$51,0,$C$1)="Yes",IF(O$49/O$233&lt;OFFSET(Scenarios!$A$58,0,$C$1)-0.00077,MIN(O$49/O$233+OFFSET(Scenarios!$A$56,0,$C$1),OFFSET(Scenarios!$A$58,0,$C$1)-0.00077),MAX(O$49/O$233-OFFSET(Scenarios!$A$56,0,$C$1),OFFSET(Scenarios!$A$58,0,$C$1)-0.00077))*P$233,O$49*(1+P$234))</f>
        <v>12.229582148963411</v>
      </c>
      <c r="Q49" s="73">
        <f ca="1">IF(OFFSET(Scenarios!$A$51,0,$C$1)="Yes",IF(P$49/P$233&lt;OFFSET(Scenarios!$A$58,0,$C$1)-0.00077,MIN(P$49/P$233+OFFSET(Scenarios!$A$56,0,$C$1),OFFSET(Scenarios!$A$58,0,$C$1)-0.00077),MAX(P$49/P$233-OFFSET(Scenarios!$A$56,0,$C$1),OFFSET(Scenarios!$A$58,0,$C$1)-0.00077))*Q$233,P$49*(1+Q$234))</f>
        <v>12.793870467910988</v>
      </c>
      <c r="R49" s="73">
        <f ca="1">IF(OFFSET(Scenarios!$A$51,0,$C$1)="Yes",IF(Q$49/Q$233&lt;OFFSET(Scenarios!$A$58,0,$C$1)-0.00077,MIN(Q$49/Q$233+OFFSET(Scenarios!$A$56,0,$C$1),OFFSET(Scenarios!$A$58,0,$C$1)-0.00077),MAX(Q$49/Q$233-OFFSET(Scenarios!$A$56,0,$C$1),OFFSET(Scenarios!$A$58,0,$C$1)-0.00077))*R$233,Q$49*(1+R$234))</f>
        <v>13.37770169057311</v>
      </c>
      <c r="S49" s="73">
        <f ca="1">IF(OFFSET(Scenarios!$A$51,0,$C$1)="Yes",IF(R$49/R$233&lt;OFFSET(Scenarios!$A$58,0,$C$1)-0.00077,MIN(R$49/R$233+OFFSET(Scenarios!$A$56,0,$C$1),OFFSET(Scenarios!$A$58,0,$C$1)-0.00077),MAX(R$49/R$233-OFFSET(Scenarios!$A$56,0,$C$1),OFFSET(Scenarios!$A$58,0,$C$1)-0.00077))*S$233,R$49*(1+S$234))</f>
        <v>13.992898949796871</v>
      </c>
      <c r="T49" s="73">
        <f ca="1">IF(OFFSET(Scenarios!$A$51,0,$C$1)="Yes",IF(S$49/S$233&lt;OFFSET(Scenarios!$A$58,0,$C$1)-0.00077,MIN(S$49/S$233+OFFSET(Scenarios!$A$56,0,$C$1),OFFSET(Scenarios!$A$58,0,$C$1)-0.00077),MAX(S$49/S$233-OFFSET(Scenarios!$A$56,0,$C$1),OFFSET(Scenarios!$A$58,0,$C$1)-0.00077))*T$233,S$49*(1+T$234))</f>
        <v>14.63540707949155</v>
      </c>
      <c r="U49" s="73">
        <f ca="1">IF(OFFSET(Scenarios!$A$51,0,$C$1)="Yes",IF(T$49/T$233&lt;OFFSET(Scenarios!$A$58,0,$C$1)-0.00077,MIN(T$49/T$233+OFFSET(Scenarios!$A$56,0,$C$1),OFFSET(Scenarios!$A$58,0,$C$1)-0.00077),MAX(T$49/T$233-OFFSET(Scenarios!$A$56,0,$C$1),OFFSET(Scenarios!$A$58,0,$C$1)-0.00077))*U$233,T$49*(1+U$234))</f>
        <v>15.293719089692816</v>
      </c>
      <c r="V49" s="73">
        <f ca="1">IF(OFFSET(Scenarios!$A$51,0,$C$1)="Yes",IF(U$49/U$233&lt;OFFSET(Scenarios!$A$58,0,$C$1)-0.00077,MIN(U$49/U$233+OFFSET(Scenarios!$A$56,0,$C$1),OFFSET(Scenarios!$A$58,0,$C$1)-0.00077),MAX(U$49/U$233-OFFSET(Scenarios!$A$56,0,$C$1),OFFSET(Scenarios!$A$58,0,$C$1)-0.00077))*V$233,U$49*(1+V$234))</f>
        <v>15.969458392928949</v>
      </c>
      <c r="W49" s="73">
        <f ca="1">IF(OFFSET(Scenarios!$A$51,0,$C$1)="Yes",IF(V$49/V$233&lt;OFFSET(Scenarios!$A$58,0,$C$1)-0.00077,MIN(V$49/V$233+OFFSET(Scenarios!$A$56,0,$C$1),OFFSET(Scenarios!$A$58,0,$C$1)-0.00077),MAX(V$49/V$233-OFFSET(Scenarios!$A$56,0,$C$1),OFFSET(Scenarios!$A$58,0,$C$1)-0.00077))*W$233,V$49*(1+W$234))</f>
        <v>16.666264882307356</v>
      </c>
      <c r="X49" s="73">
        <f ca="1">IF(OFFSET(Scenarios!$A$51,0,$C$1)="Yes",IF(W$49/W$233&lt;OFFSET(Scenarios!$A$58,0,$C$1)-0.00077,MIN(W$49/W$233+OFFSET(Scenarios!$A$56,0,$C$1),OFFSET(Scenarios!$A$58,0,$C$1)-0.00077),MAX(W$49/W$233-OFFSET(Scenarios!$A$56,0,$C$1),OFFSET(Scenarios!$A$58,0,$C$1)-0.00077))*X$233,W$49*(1+X$234))</f>
        <v>17.382723607200575</v>
      </c>
    </row>
    <row r="50" spans="1:24" x14ac:dyDescent="0.2">
      <c r="A50" s="160" t="s">
        <v>905</v>
      </c>
      <c r="B50" s="233"/>
      <c r="C50" s="69"/>
      <c r="D50" s="69">
        <f>Data!C$131</f>
        <v>2.3879999999999999</v>
      </c>
      <c r="E50" s="69">
        <f>Data!D$131</f>
        <v>2.4239999999999999</v>
      </c>
      <c r="F50" s="69">
        <f>Data!E$131</f>
        <v>2.3339999999999996</v>
      </c>
      <c r="G50" s="69">
        <f>Data!F$131</f>
        <v>2.508</v>
      </c>
      <c r="H50" s="69">
        <f>Data!G$131</f>
        <v>2.6349999999999998</v>
      </c>
      <c r="I50" s="69">
        <f>Data!H$131</f>
        <v>2.698</v>
      </c>
      <c r="J50" s="125">
        <f ca="1">Data!I$131*IF($F$1="Yes",OFFSET('Forecast Adjuster'!$A$58,0,J$278),1) + IF($I$1="Yes",J$282,0)</f>
        <v>2.8540000000000001</v>
      </c>
      <c r="K50" s="125">
        <f ca="1">Data!J$131*IF($F$1="Yes",OFFSET('Forecast Adjuster'!$A$58,0,K$278),1) + IF($I$1="Yes",K$282,0)</f>
        <v>3.117</v>
      </c>
      <c r="L50" s="125">
        <f ca="1">Data!K$131*IF($F$1="Yes",OFFSET('Forecast Adjuster'!$A$58,0,L$278),1) + IF($I$1="Yes",L$282,0)</f>
        <v>3.3690000000000002</v>
      </c>
      <c r="M50" s="125">
        <f ca="1">Data!L$131*IF($F$1="Yes",OFFSET('Forecast Adjuster'!$A$58,0,M$278),1) + IF($I$1="Yes",M$282,0)</f>
        <v>3.5939999999999999</v>
      </c>
      <c r="N50" s="125">
        <f ca="1">Data!M$131*IF($F$1="Yes",OFFSET('Forecast Adjuster'!$A$58,0,N$278),1) + IF($I$1="Yes",N$282,0)</f>
        <v>3.7069999999999999</v>
      </c>
      <c r="O50" s="73">
        <f ca="1">N$50/SUM(N$50,N$51)*IF(OFFSET(Scenarios!$A$52,0,$C$1)="Yes",IF(SUM(N$50:N$51)/N$233&lt;OFFSET(Scenarios!$A$59,0,$C$1)-0.002285,MIN(SUM(N$50:N$51)/N$233+OFFSET(Scenarios!$A$56,0,$C$1),OFFSET(Scenarios!$A$59,0,$C$1)-0.002285),MAX(SUM(N$50:N$51)/N$233-OFFSET(Scenarios!$A$56,0,$C$1),OFFSET(Scenarios!$A$59,0,$C$1)-0.002285))*O$233,SUM(N$50:N$51)*(1+O$234))</f>
        <v>3.8645015075426077</v>
      </c>
      <c r="P50" s="73">
        <f ca="1">O$50/SUM(O$50,O$51)*IF(OFFSET(Scenarios!$A$52,0,$C$1)="Yes",IF(SUM(O$50:O$51)/O$233&lt;OFFSET(Scenarios!$A$59,0,$C$1)-0.002285,MIN(SUM(O$50:O$51)/O$233+OFFSET(Scenarios!$A$56,0,$C$1),OFFSET(Scenarios!$A$59,0,$C$1)-0.002285),MAX(SUM(O$50:O$51)/O$233-OFFSET(Scenarios!$A$56,0,$C$1),OFFSET(Scenarios!$A$59,0,$C$1)-0.002285))*P$233,SUM(O$50:O$51)*(1+P$234))</f>
        <v>4.0383756466997376</v>
      </c>
      <c r="Q50" s="73">
        <f ca="1">P$50/SUM(P$50,P$51)*IF(OFFSET(Scenarios!$A$52,0,$C$1)="Yes",IF(SUM(P$50:P$51)/P$233&lt;OFFSET(Scenarios!$A$59,0,$C$1)-0.002285,MIN(SUM(P$50:P$51)/P$233+OFFSET(Scenarios!$A$56,0,$C$1),OFFSET(Scenarios!$A$59,0,$C$1)-0.002285),MAX(SUM(P$50:P$51)/P$233-OFFSET(Scenarios!$A$56,0,$C$1),OFFSET(Scenarios!$A$59,0,$C$1)-0.002285))*Q$233,SUM(P$50:P$51)*(1+Q$234))</f>
        <v>4.2247113838653929</v>
      </c>
      <c r="R50" s="73">
        <f ca="1">Q$50/SUM(Q$50,Q$51)*IF(OFFSET(Scenarios!$A$52,0,$C$1)="Yes",IF(SUM(Q$50:Q$51)/Q$233&lt;OFFSET(Scenarios!$A$59,0,$C$1)-0.002285,MIN(SUM(Q$50:Q$51)/Q$233+OFFSET(Scenarios!$A$56,0,$C$1),OFFSET(Scenarios!$A$59,0,$C$1)-0.002285),MAX(SUM(Q$50:Q$51)/Q$233-OFFSET(Scenarios!$A$56,0,$C$1),OFFSET(Scenarios!$A$59,0,$C$1)-0.002285))*R$233,SUM(Q$50:Q$51)*(1+R$234))</f>
        <v>4.4175004556965591</v>
      </c>
      <c r="S50" s="73">
        <f ca="1">R$50/SUM(R$50,R$51)*IF(OFFSET(Scenarios!$A$52,0,$C$1)="Yes",IF(SUM(R$50:R$51)/R$233&lt;OFFSET(Scenarios!$A$59,0,$C$1)-0.002285,MIN(SUM(R$50:R$51)/R$233+OFFSET(Scenarios!$A$56,0,$C$1),OFFSET(Scenarios!$A$59,0,$C$1)-0.002285),MAX(SUM(R$50:R$51)/R$233-OFFSET(Scenarios!$A$56,0,$C$1),OFFSET(Scenarios!$A$59,0,$C$1)-0.002285))*S$233,SUM(R$50:R$51)*(1+S$234))</f>
        <v>4.6206470227095808</v>
      </c>
      <c r="T50" s="73">
        <f ca="1">S$50/SUM(S$50,S$51)*IF(OFFSET(Scenarios!$A$52,0,$C$1)="Yes",IF(SUM(S$50:S$51)/S$233&lt;OFFSET(Scenarios!$A$59,0,$C$1)-0.002285,MIN(SUM(S$50:S$51)/S$233+OFFSET(Scenarios!$A$56,0,$C$1),OFFSET(Scenarios!$A$59,0,$C$1)-0.002285),MAX(SUM(S$50:S$51)/S$233-OFFSET(Scenarios!$A$56,0,$C$1),OFFSET(Scenarios!$A$59,0,$C$1)-0.002285))*T$233,SUM(S$50:S$51)*(1+T$234))</f>
        <v>4.8328120134803836</v>
      </c>
      <c r="U50" s="73">
        <f ca="1">T$50/SUM(T$50,T$51)*IF(OFFSET(Scenarios!$A$52,0,$C$1)="Yes",IF(SUM(T$50:T$51)/T$233&lt;OFFSET(Scenarios!$A$59,0,$C$1)-0.002285,MIN(SUM(T$50:T$51)/T$233+OFFSET(Scenarios!$A$56,0,$C$1),OFFSET(Scenarios!$A$59,0,$C$1)-0.002285),MAX(SUM(T$50:T$51)/T$233-OFFSET(Scenarios!$A$56,0,$C$1),OFFSET(Scenarios!$A$59,0,$C$1)-0.002285))*U$233,SUM(T$50:T$51)*(1+U$234))</f>
        <v>5.050195662205625</v>
      </c>
      <c r="V50" s="73">
        <f ca="1">U$50/SUM(U$50,U$51)*IF(OFFSET(Scenarios!$A$52,0,$C$1)="Yes",IF(SUM(U$50:U$51)/U$233&lt;OFFSET(Scenarios!$A$59,0,$C$1)-0.002285,MIN(SUM(U$50:U$51)/U$233+OFFSET(Scenarios!$A$56,0,$C$1),OFFSET(Scenarios!$A$59,0,$C$1)-0.002285),MAX(SUM(U$50:U$51)/U$233-OFFSET(Scenarios!$A$56,0,$C$1),OFFSET(Scenarios!$A$59,0,$C$1)-0.002285))*V$233,SUM(U$50:U$51)*(1+V$234))</f>
        <v>5.2733340419529613</v>
      </c>
      <c r="W50" s="73">
        <f ca="1">V$50/SUM(V$50,V$51)*IF(OFFSET(Scenarios!$A$52,0,$C$1)="Yes",IF(SUM(V$50:V$51)/V$233&lt;OFFSET(Scenarios!$A$59,0,$C$1)-0.002285,MIN(SUM(V$50:V$51)/V$233+OFFSET(Scenarios!$A$56,0,$C$1),OFFSET(Scenarios!$A$59,0,$C$1)-0.002285),MAX(SUM(V$50:V$51)/V$233-OFFSET(Scenarios!$A$56,0,$C$1),OFFSET(Scenarios!$A$59,0,$C$1)-0.002285))*W$233,SUM(V$50:V$51)*(1+W$234))</f>
        <v>5.5034290953155667</v>
      </c>
      <c r="X50" s="73">
        <f ca="1">W$50/SUM(W$50,W$51)*IF(OFFSET(Scenarios!$A$52,0,$C$1)="Yes",IF(SUM(W$50:W$51)/W$233&lt;OFFSET(Scenarios!$A$59,0,$C$1)-0.002285,MIN(SUM(W$50:W$51)/W$233+OFFSET(Scenarios!$A$56,0,$C$1),OFFSET(Scenarios!$A$59,0,$C$1)-0.002285),MAX(SUM(W$50:W$51)/W$233-OFFSET(Scenarios!$A$56,0,$C$1),OFFSET(Scenarios!$A$59,0,$C$1)-0.002285))*X$233,SUM(W$50:W$51)*(1+X$234))</f>
        <v>5.7400135862026538</v>
      </c>
    </row>
    <row r="51" spans="1:24" x14ac:dyDescent="0.2">
      <c r="A51" s="160" t="s">
        <v>245</v>
      </c>
      <c r="B51" s="233"/>
      <c r="C51" s="69"/>
      <c r="D51" s="176">
        <f>SUM(Data!C$125:C$127,Data!C$129:C$130,Data!C$132)</f>
        <v>19.805</v>
      </c>
      <c r="E51" s="176">
        <f>SUM(Data!D$125:D$127,Data!D$129:D$130,Data!D$132)</f>
        <v>20.481000000000002</v>
      </c>
      <c r="F51" s="176">
        <f>SUM(Data!E$125:E$127,Data!E$129:E$130,Data!E$132)</f>
        <v>19.948</v>
      </c>
      <c r="G51" s="176">
        <f>SUM(Data!F$125:F$127,Data!F$129:F$130,Data!F$132)</f>
        <v>18.864999999999998</v>
      </c>
      <c r="H51" s="176">
        <f>SUM(Data!G$125:G$127,Data!G$129:G$130,Data!G$132)</f>
        <v>20.678999999999998</v>
      </c>
      <c r="I51" s="176">
        <f>SUM(Data!H$125:H$127,Data!H$129:H$130,Data!H$132)</f>
        <v>22.117999999999999</v>
      </c>
      <c r="J51" s="130">
        <f ca="1">SUM(Data!I$125:I$127,Data!I$129:I$130,Data!I$132)*IF($F$1="Yes",OFFSET('Forecast Adjuster'!$A$58,0,J$278),1) + IF($I$1="Yes",J$283,0)</f>
        <v>23.312999999999999</v>
      </c>
      <c r="K51" s="130">
        <f ca="1">SUM(Data!J$125:J$127,Data!J$129:J$130,Data!J$132)*IF($F$1="Yes",OFFSET('Forecast Adjuster'!$A$58,0,K$278),1) + IF($I$1="Yes",K$283,0)</f>
        <v>25.459999999999997</v>
      </c>
      <c r="L51" s="130">
        <f ca="1">SUM(Data!K$125:K$127,Data!K$129:K$130,Data!K$132)*IF($F$1="Yes",OFFSET('Forecast Adjuster'!$A$58,0,L$278),1) + IF($I$1="Yes",L$283,0)</f>
        <v>27.175000000000001</v>
      </c>
      <c r="M51" s="130">
        <f ca="1">SUM(Data!L$125:L$127,Data!L$129:L$130,Data!L$132)*IF($F$1="Yes",OFFSET('Forecast Adjuster'!$A$58,0,M$278),1) + IF($I$1="Yes",M$283,0)</f>
        <v>28.573</v>
      </c>
      <c r="N51" s="130">
        <f ca="1">SUM(Data!M$125:M$127,Data!M$129:M$130,Data!M$132)*IF($F$1="Yes",OFFSET('Forecast Adjuster'!$A$58,0,N$278),1) + IF($I$1="Yes",N$283,0)</f>
        <v>29.717999999999996</v>
      </c>
      <c r="O51" s="81">
        <f ca="1">N$51/SUM(N$50,N$51)*IF(OFFSET(Scenarios!$A$52,0,$C$1)="Yes",IF(SUM(N$50:N$51)/N$233&lt;OFFSET(Scenarios!$A$59,0,$C$1)-0.002285,MIN(SUM(N$50:N$51)/N$233+OFFSET(Scenarios!$A$56,0,$C$1),OFFSET(Scenarios!$A$59,0,$C$1)-0.002285),MAX(SUM(N$50:N$51)/N$233-OFFSET(Scenarios!$A$56,0,$C$1),OFFSET(Scenarios!$A$59,0,$C$1)-0.002285))*O$233,SUM(N$50:N$51)*(1+O$234))</f>
        <v>30.980646291111736</v>
      </c>
      <c r="P51" s="81">
        <f ca="1">O$51/SUM(O$50,O$51)*IF(OFFSET(Scenarios!$A$52,0,$C$1)="Yes",IF(SUM(O$50:O$51)/O$233&lt;OFFSET(Scenarios!$A$59,0,$C$1)-0.002285,MIN(SUM(O$50:O$51)/O$233+OFFSET(Scenarios!$A$56,0,$C$1),OFFSET(Scenarios!$A$59,0,$C$1)-0.002285),MAX(SUM(O$50:O$51)/O$233-OFFSET(Scenarios!$A$56,0,$C$1),OFFSET(Scenarios!$A$59,0,$C$1)-0.002285))*P$233,SUM(O$50:O$51)*(1+P$234))</f>
        <v>32.374547469280493</v>
      </c>
      <c r="Q51" s="81">
        <f ca="1">P$51/SUM(P$50,P$51)*IF(OFFSET(Scenarios!$A$52,0,$C$1)="Yes",IF(SUM(P$50:P$51)/P$233&lt;OFFSET(Scenarios!$A$59,0,$C$1)-0.002285,MIN(SUM(P$50:P$51)/P$233+OFFSET(Scenarios!$A$56,0,$C$1),OFFSET(Scenarios!$A$59,0,$C$1)-0.002285),MAX(SUM(P$50:P$51)/P$233-OFFSET(Scenarios!$A$56,0,$C$1),OFFSET(Scenarios!$A$59,0,$C$1)-0.002285))*Q$233,SUM(P$50:P$51)*(1+Q$234))</f>
        <v>33.868349853172838</v>
      </c>
      <c r="R51" s="81">
        <f ca="1">Q$51/SUM(Q$50,Q$51)*IF(OFFSET(Scenarios!$A$52,0,$C$1)="Yes",IF(SUM(Q$50:Q$51)/Q$233&lt;OFFSET(Scenarios!$A$59,0,$C$1)-0.002285,MIN(SUM(Q$50:Q$51)/Q$233+OFFSET(Scenarios!$A$56,0,$C$1),OFFSET(Scenarios!$A$59,0,$C$1)-0.002285),MAX(SUM(Q$50:Q$51)/Q$233-OFFSET(Scenarios!$A$56,0,$C$1),OFFSET(Scenarios!$A$59,0,$C$1)-0.002285))*R$233,SUM(Q$50:Q$51)*(1+R$234))</f>
        <v>35.413886847151417</v>
      </c>
      <c r="S51" s="81">
        <f ca="1">R$51/SUM(R$50,R$51)*IF(OFFSET(Scenarios!$A$52,0,$C$1)="Yes",IF(SUM(R$50:R$51)/R$233&lt;OFFSET(Scenarios!$A$59,0,$C$1)-0.002285,MIN(SUM(R$50:R$51)/R$233+OFFSET(Scenarios!$A$56,0,$C$1),OFFSET(Scenarios!$A$59,0,$C$1)-0.002285),MAX(SUM(R$50:R$51)/R$233-OFFSET(Scenarios!$A$56,0,$C$1),OFFSET(Scenarios!$A$59,0,$C$1)-0.002285))*S$233,SUM(R$50:R$51)*(1+S$234))</f>
        <v>37.042457032879227</v>
      </c>
      <c r="T51" s="81">
        <f ca="1">S$51/SUM(S$50,S$51)*IF(OFFSET(Scenarios!$A$52,0,$C$1)="Yes",IF(SUM(S$50:S$51)/S$233&lt;OFFSET(Scenarios!$A$59,0,$C$1)-0.002285,MIN(SUM(S$50:S$51)/S$233+OFFSET(Scenarios!$A$56,0,$C$1),OFFSET(Scenarios!$A$59,0,$C$1)-0.002285),MAX(SUM(S$50:S$51)/S$233-OFFSET(Scenarios!$A$56,0,$C$1),OFFSET(Scenarios!$A$59,0,$C$1)-0.002285))*T$233,SUM(S$50:S$51)*(1+T$234))</f>
        <v>38.743325442840572</v>
      </c>
      <c r="U51" s="81">
        <f ca="1">T$51/SUM(T$50,T$51)*IF(OFFSET(Scenarios!$A$52,0,$C$1)="Yes",IF(SUM(T$50:T$51)/T$233&lt;OFFSET(Scenarios!$A$59,0,$C$1)-0.002285,MIN(SUM(T$50:T$51)/T$233+OFFSET(Scenarios!$A$56,0,$C$1),OFFSET(Scenarios!$A$59,0,$C$1)-0.002285),MAX(SUM(T$50:T$51)/T$233-OFFSET(Scenarios!$A$56,0,$C$1),OFFSET(Scenarios!$A$59,0,$C$1)-0.002285))*U$233,SUM(T$50:T$51)*(1+U$234))</f>
        <v>40.486030399090026</v>
      </c>
      <c r="V51" s="81">
        <f ca="1">U$51/SUM(U$50,U$51)*IF(OFFSET(Scenarios!$A$52,0,$C$1)="Yes",IF(SUM(U$50:U$51)/U$233&lt;OFFSET(Scenarios!$A$59,0,$C$1)-0.002285,MIN(SUM(U$50:U$51)/U$233+OFFSET(Scenarios!$A$56,0,$C$1),OFFSET(Scenarios!$A$59,0,$C$1)-0.002285),MAX(SUM(U$50:U$51)/U$233-OFFSET(Scenarios!$A$56,0,$C$1),OFFSET(Scenarios!$A$59,0,$C$1)-0.002285))*V$233,SUM(U$50:U$51)*(1+V$234))</f>
        <v>42.274869452052357</v>
      </c>
      <c r="W51" s="81">
        <f ca="1">V$51/SUM(V$50,V$51)*IF(OFFSET(Scenarios!$A$52,0,$C$1)="Yes",IF(SUM(V$50:V$51)/V$233&lt;OFFSET(Scenarios!$A$59,0,$C$1)-0.002285,MIN(SUM(V$50:V$51)/V$233+OFFSET(Scenarios!$A$56,0,$C$1),OFFSET(Scenarios!$A$59,0,$C$1)-0.002285),MAX(SUM(V$50:V$51)/V$233-OFFSET(Scenarios!$A$56,0,$C$1),OFFSET(Scenarios!$A$59,0,$C$1)-0.002285))*W$233,SUM(V$50:V$51)*(1+W$234))</f>
        <v>44.119478245100616</v>
      </c>
      <c r="X51" s="81">
        <f ca="1">W$51/SUM(W$50,W$51)*IF(OFFSET(Scenarios!$A$52,0,$C$1)="Yes",IF(SUM(W$50:W$51)/W$233&lt;OFFSET(Scenarios!$A$59,0,$C$1)-0.002285,MIN(SUM(W$50:W$51)/W$233+OFFSET(Scenarios!$A$56,0,$C$1),OFFSET(Scenarios!$A$59,0,$C$1)-0.002285),MAX(SUM(W$50:W$51)/W$233-OFFSET(Scenarios!$A$56,0,$C$1),OFFSET(Scenarios!$A$59,0,$C$1)-0.002285))*X$233,SUM(W$50:W$51)*(1+X$234))</f>
        <v>46.016111074931324</v>
      </c>
    </row>
    <row r="52" spans="1:24" x14ac:dyDescent="0.2">
      <c r="A52" s="27" t="s">
        <v>246</v>
      </c>
      <c r="C52" s="69"/>
      <c r="D52" s="71">
        <f t="shared" ref="D52:X52" si="23">SUM(D$48:D$51)</f>
        <v>53.064</v>
      </c>
      <c r="E52" s="71">
        <f t="shared" si="23"/>
        <v>56.372</v>
      </c>
      <c r="F52" s="71">
        <f t="shared" si="23"/>
        <v>54.145000000000003</v>
      </c>
      <c r="G52" s="71">
        <f t="shared" si="23"/>
        <v>50.346999999999994</v>
      </c>
      <c r="H52" s="71">
        <f t="shared" si="23"/>
        <v>51.128</v>
      </c>
      <c r="I52" s="71">
        <f t="shared" si="23"/>
        <v>54.664999999999992</v>
      </c>
      <c r="J52" s="131">
        <f t="shared" ca="1" si="23"/>
        <v>56.873999999999995</v>
      </c>
      <c r="K52" s="131">
        <f t="shared" ca="1" si="23"/>
        <v>61.24799999999999</v>
      </c>
      <c r="L52" s="131">
        <f t="shared" ca="1" si="23"/>
        <v>64.878</v>
      </c>
      <c r="M52" s="131">
        <f t="shared" ca="1" si="23"/>
        <v>68.079000000000008</v>
      </c>
      <c r="N52" s="131">
        <f t="shared" ca="1" si="23"/>
        <v>71.021999999999991</v>
      </c>
      <c r="O52" s="75">
        <f t="shared" ca="1" si="23"/>
        <v>74.819682007430018</v>
      </c>
      <c r="P52" s="75">
        <f t="shared" ca="1" si="23"/>
        <v>78.541976965980496</v>
      </c>
      <c r="Q52" s="75">
        <f t="shared" ca="1" si="23"/>
        <v>82.562735794019659</v>
      </c>
      <c r="R52" s="75">
        <f t="shared" ca="1" si="23"/>
        <v>86.750487640109355</v>
      </c>
      <c r="S52" s="75">
        <f t="shared" ca="1" si="23"/>
        <v>91.163347347685601</v>
      </c>
      <c r="T52" s="75">
        <f t="shared" ca="1" si="23"/>
        <v>95.468693485570668</v>
      </c>
      <c r="U52" s="75">
        <f t="shared" ca="1" si="23"/>
        <v>99.762949680729264</v>
      </c>
      <c r="V52" s="75">
        <f t="shared" ca="1" si="23"/>
        <v>104.17088641022437</v>
      </c>
      <c r="W52" s="75">
        <f t="shared" ca="1" si="23"/>
        <v>108.71624717756796</v>
      </c>
      <c r="X52" s="75">
        <f t="shared" ca="1" si="23"/>
        <v>113.38980207292451</v>
      </c>
    </row>
    <row r="53" spans="1:24" x14ac:dyDescent="0.2">
      <c r="A53" s="161" t="s">
        <v>521</v>
      </c>
      <c r="C53" s="69"/>
      <c r="D53" s="176">
        <f t="shared" ref="D53:N53" si="24">D$54-D$52</f>
        <v>0.4129999999999967</v>
      </c>
      <c r="E53" s="176">
        <f t="shared" si="24"/>
        <v>0.375</v>
      </c>
      <c r="F53" s="176">
        <f t="shared" si="24"/>
        <v>0.53599999999999426</v>
      </c>
      <c r="G53" s="176">
        <f t="shared" si="24"/>
        <v>0.39700000000000557</v>
      </c>
      <c r="H53" s="176">
        <f t="shared" si="24"/>
        <v>0.42900000000000205</v>
      </c>
      <c r="I53" s="176">
        <f t="shared" si="24"/>
        <v>0.41600000000001103</v>
      </c>
      <c r="J53" s="130">
        <f t="shared" ca="1" si="24"/>
        <v>0.50200000000000244</v>
      </c>
      <c r="K53" s="130">
        <f t="shared" ca="1" si="24"/>
        <v>0.60900000000000887</v>
      </c>
      <c r="L53" s="130">
        <f t="shared" ca="1" si="24"/>
        <v>0.76500000000000057</v>
      </c>
      <c r="M53" s="130">
        <f t="shared" ca="1" si="24"/>
        <v>0.83499999999999375</v>
      </c>
      <c r="N53" s="130">
        <f t="shared" ca="1" si="24"/>
        <v>0.882000000000005</v>
      </c>
      <c r="O53" s="81">
        <f t="shared" ref="O53:X53" ca="1" si="25">N$53*(1+O$234)</f>
        <v>0.92136603338566858</v>
      </c>
      <c r="P53" s="81">
        <f t="shared" ca="1" si="25"/>
        <v>0.96282072698350418</v>
      </c>
      <c r="Q53" s="81">
        <f t="shared" ca="1" si="25"/>
        <v>1.0072464876398859</v>
      </c>
      <c r="R53" s="81">
        <f t="shared" ca="1" si="25"/>
        <v>1.0532108382932612</v>
      </c>
      <c r="S53" s="81">
        <f t="shared" ca="1" si="25"/>
        <v>1.1016446003915261</v>
      </c>
      <c r="T53" s="81">
        <f t="shared" ca="1" si="25"/>
        <v>1.152228515441958</v>
      </c>
      <c r="U53" s="81">
        <f t="shared" ca="1" si="25"/>
        <v>1.204056651556787</v>
      </c>
      <c r="V53" s="81">
        <f t="shared" ca="1" si="25"/>
        <v>1.2572568181093529</v>
      </c>
      <c r="W53" s="81">
        <f t="shared" ca="1" si="25"/>
        <v>1.3121155796351511</v>
      </c>
      <c r="X53" s="81">
        <f t="shared" ca="1" si="25"/>
        <v>1.3685215387229548</v>
      </c>
    </row>
    <row r="54" spans="1:24" x14ac:dyDescent="0.2">
      <c r="A54" s="27" t="s">
        <v>336</v>
      </c>
      <c r="B54" s="233"/>
      <c r="C54" s="69"/>
      <c r="D54" s="71">
        <f>Data!C$100</f>
        <v>53.476999999999997</v>
      </c>
      <c r="E54" s="71">
        <f>Data!D$100</f>
        <v>56.747</v>
      </c>
      <c r="F54" s="71">
        <f>Data!E$100</f>
        <v>54.680999999999997</v>
      </c>
      <c r="G54" s="71">
        <f>Data!F$100</f>
        <v>50.744</v>
      </c>
      <c r="H54" s="71">
        <f>Data!G$100</f>
        <v>51.557000000000002</v>
      </c>
      <c r="I54" s="71">
        <f>Data!H$100</f>
        <v>55.081000000000003</v>
      </c>
      <c r="J54" s="131">
        <f ca="1">Data!I$100 + IF($F$1="Yes",SUM(Data!I$124:I$132)*(OFFSET('Forecast Adjuster'!$A$58,0,J$278)-1),0) + IF($I$1="Yes",SUM(J$280:J$283),0)</f>
        <v>57.375999999999998</v>
      </c>
      <c r="K54" s="131">
        <f ca="1">Data!J$100 + IF($F$1="Yes",SUM(Data!J$124:J$132)*(OFFSET('Forecast Adjuster'!$A$58,0,K$278)-1),0) + IF($I$1="Yes",SUM(K$280:K$283),0)</f>
        <v>61.856999999999999</v>
      </c>
      <c r="L54" s="131">
        <f ca="1">Data!K$100 + IF($F$1="Yes",SUM(Data!K$124:K$132)*(OFFSET('Forecast Adjuster'!$A$58,0,L$278)-1),0) + IF($I$1="Yes",SUM(L$280:L$283),0)</f>
        <v>65.643000000000001</v>
      </c>
      <c r="M54" s="131">
        <f ca="1">Data!L$100 + IF($F$1="Yes",SUM(Data!L$124:L$132)*(OFFSET('Forecast Adjuster'!$A$58,0,M$278)-1),0) + IF($I$1="Yes",SUM(M$280:M$283),0)</f>
        <v>68.914000000000001</v>
      </c>
      <c r="N54" s="131">
        <f ca="1">Data!M$100 + IF($F$1="Yes",SUM(Data!M$124:M$132)*(OFFSET('Forecast Adjuster'!$A$58,0,N$278)-1),0) + IF($I$1="Yes",SUM(N$280:N$283),0)</f>
        <v>71.903999999999996</v>
      </c>
      <c r="O54" s="75">
        <f t="shared" ref="O54:X54" ca="1" si="26">SUM(O$52,O$53)</f>
        <v>75.741048040815684</v>
      </c>
      <c r="P54" s="75">
        <f t="shared" ca="1" si="26"/>
        <v>79.504797692964004</v>
      </c>
      <c r="Q54" s="75">
        <f t="shared" ca="1" si="26"/>
        <v>83.569982281659549</v>
      </c>
      <c r="R54" s="75">
        <f t="shared" ca="1" si="26"/>
        <v>87.803698478402623</v>
      </c>
      <c r="S54" s="75">
        <f t="shared" ca="1" si="26"/>
        <v>92.264991948077125</v>
      </c>
      <c r="T54" s="75">
        <f t="shared" ca="1" si="26"/>
        <v>96.62092200101263</v>
      </c>
      <c r="U54" s="75">
        <f t="shared" ca="1" si="26"/>
        <v>100.96700633228605</v>
      </c>
      <c r="V54" s="75">
        <f t="shared" ca="1" si="26"/>
        <v>105.42814322833372</v>
      </c>
      <c r="W54" s="75">
        <f t="shared" ca="1" si="26"/>
        <v>110.02836275720311</v>
      </c>
      <c r="X54" s="75">
        <f t="shared" ca="1" si="26"/>
        <v>114.75832361164747</v>
      </c>
    </row>
    <row r="55" spans="1:24" x14ac:dyDescent="0.2">
      <c r="A55" s="27"/>
      <c r="C55" s="6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">
      <c r="A56" s="108" t="s">
        <v>522</v>
      </c>
      <c r="C56" s="6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">
      <c r="A57" s="160" t="s">
        <v>659</v>
      </c>
      <c r="C57" s="69"/>
      <c r="D57" s="69">
        <f>D$208</f>
        <v>0</v>
      </c>
      <c r="E57" s="69">
        <f t="shared" ref="E57:X57" si="27">E$208</f>
        <v>0</v>
      </c>
      <c r="F57" s="69">
        <f t="shared" si="27"/>
        <v>0</v>
      </c>
      <c r="G57" s="69">
        <f t="shared" si="27"/>
        <v>2.3E-2</v>
      </c>
      <c r="H57" s="69">
        <f t="shared" si="27"/>
        <v>0.32200000000000001</v>
      </c>
      <c r="I57" s="69">
        <f t="shared" si="27"/>
        <v>0.57099999999999995</v>
      </c>
      <c r="J57" s="125">
        <f t="shared" si="27"/>
        <v>0.22</v>
      </c>
      <c r="K57" s="125">
        <f t="shared" si="27"/>
        <v>6.6000000000000003E-2</v>
      </c>
      <c r="L57" s="125">
        <f t="shared" si="27"/>
        <v>6.6000000000000003E-2</v>
      </c>
      <c r="M57" s="125">
        <f t="shared" si="27"/>
        <v>6.6000000000000003E-2</v>
      </c>
      <c r="N57" s="125">
        <f t="shared" si="27"/>
        <v>6.6000000000000003E-2</v>
      </c>
      <c r="O57" s="73">
        <f t="shared" ca="1" si="27"/>
        <v>6.7330025316455697E-2</v>
      </c>
      <c r="P57" s="73">
        <f t="shared" ca="1" si="27"/>
        <v>6.8676625822784818E-2</v>
      </c>
      <c r="Q57" s="73">
        <f t="shared" ca="1" si="27"/>
        <v>7.0050158339240512E-2</v>
      </c>
      <c r="R57" s="73">
        <f t="shared" ca="1" si="27"/>
        <v>7.1451161506025318E-2</v>
      </c>
      <c r="S57" s="73">
        <f t="shared" ca="1" si="27"/>
        <v>7.2880184736145825E-2</v>
      </c>
      <c r="T57" s="73">
        <f t="shared" ca="1" si="27"/>
        <v>7.4337788430868745E-2</v>
      </c>
      <c r="U57" s="73">
        <f t="shared" ca="1" si="27"/>
        <v>7.5824544199486116E-2</v>
      </c>
      <c r="V57" s="73">
        <f t="shared" ca="1" si="27"/>
        <v>7.734103508347584E-2</v>
      </c>
      <c r="W57" s="73">
        <f t="shared" ca="1" si="27"/>
        <v>7.8887855785145358E-2</v>
      </c>
      <c r="X57" s="73">
        <f t="shared" ca="1" si="27"/>
        <v>8.0465612900848263E-2</v>
      </c>
    </row>
    <row r="58" spans="1:24" x14ac:dyDescent="0.2">
      <c r="A58" s="160" t="s">
        <v>660</v>
      </c>
      <c r="B58" s="233"/>
      <c r="C58" s="69"/>
      <c r="D58" s="176">
        <f>SUM(Data!C$101,Data!C$102,Data!C$104)-D$57</f>
        <v>2.1539999999999999</v>
      </c>
      <c r="E58" s="176">
        <f>SUM(Data!D$101,Data!D$102,Data!D$104)-E$57</f>
        <v>2.7280000000000002</v>
      </c>
      <c r="F58" s="176">
        <f>SUM(Data!E$101,Data!E$102,Data!E$104)-F$57</f>
        <v>2.9289999999999998</v>
      </c>
      <c r="G58" s="176">
        <f>SUM(Data!F$101,Data!F$102,Data!F$104)-G$57</f>
        <v>3.3140000000000001</v>
      </c>
      <c r="H58" s="176">
        <f>SUM(Data!G$101,Data!G$102,Data!G$104)-H$57</f>
        <v>3.5019999999999998</v>
      </c>
      <c r="I58" s="176">
        <f>SUM(Data!H$101,Data!H$102,Data!H$104)-I$57</f>
        <v>3.1180000000000003</v>
      </c>
      <c r="J58" s="130">
        <f ca="1">SUM(Data!I$101,Data!I$102,Data!I$104)*IF($F$1="Yes",OFFSET('Forecast Adjuster'!$A$60,0,J$278),1)-J$57</f>
        <v>3.0820000000000003</v>
      </c>
      <c r="K58" s="130">
        <f ca="1">SUM(Data!J$101,Data!J$102,Data!J$104)*IF($F$1="Yes",OFFSET('Forecast Adjuster'!$A$60,0,K$278),1)-K$57</f>
        <v>3.2770000000000001</v>
      </c>
      <c r="L58" s="130">
        <f ca="1">SUM(Data!K$101,Data!K$102,Data!K$104)*IF($F$1="Yes",OFFSET('Forecast Adjuster'!$A$60,0,L$278),1)-L$57</f>
        <v>3.2750000000000004</v>
      </c>
      <c r="M58" s="130">
        <f ca="1">SUM(Data!L$101,Data!L$102,Data!L$104)*IF($F$1="Yes",OFFSET('Forecast Adjuster'!$A$60,0,M$278),1)-M$57</f>
        <v>3.0990000000000002</v>
      </c>
      <c r="N58" s="130">
        <f ca="1">SUM(Data!M$101,Data!M$102,Data!M$104)*IF($F$1="Yes",OFFSET('Forecast Adjuster'!$A$60,0,N$278),1)-N$57</f>
        <v>3.1460000000000004</v>
      </c>
      <c r="O58" s="387">
        <f ca="1">(N$58-0.252)*(1+O$236)</f>
        <v>2.9523195949367085</v>
      </c>
      <c r="P58" s="81">
        <f t="shared" ref="P58:X58" ca="1" si="28">O$58*(1+P$236)</f>
        <v>3.0113659868354428</v>
      </c>
      <c r="Q58" s="81">
        <f t="shared" ca="1" si="28"/>
        <v>3.0715933065721517</v>
      </c>
      <c r="R58" s="81">
        <f t="shared" ca="1" si="28"/>
        <v>3.1330251727035949</v>
      </c>
      <c r="S58" s="81">
        <f t="shared" ca="1" si="28"/>
        <v>3.1956856761576669</v>
      </c>
      <c r="T58" s="81">
        <f t="shared" ca="1" si="28"/>
        <v>3.2595993896808202</v>
      </c>
      <c r="U58" s="81">
        <f t="shared" ca="1" si="28"/>
        <v>3.3247913774744369</v>
      </c>
      <c r="V58" s="81">
        <f t="shared" ca="1" si="28"/>
        <v>3.3912872050239256</v>
      </c>
      <c r="W58" s="81">
        <f t="shared" ca="1" si="28"/>
        <v>3.4591129491244041</v>
      </c>
      <c r="X58" s="81">
        <f t="shared" ca="1" si="28"/>
        <v>3.5282952081068921</v>
      </c>
    </row>
    <row r="59" spans="1:24" x14ac:dyDescent="0.2">
      <c r="A59" s="27" t="s">
        <v>524</v>
      </c>
      <c r="C59" s="69"/>
      <c r="D59" s="71">
        <f>SUM(D$57:D$58)</f>
        <v>2.1539999999999999</v>
      </c>
      <c r="E59" s="71">
        <f t="shared" ref="E59:X59" si="29">SUM(E$57:E$58)</f>
        <v>2.7280000000000002</v>
      </c>
      <c r="F59" s="71">
        <f t="shared" si="29"/>
        <v>2.9289999999999998</v>
      </c>
      <c r="G59" s="71">
        <f t="shared" si="29"/>
        <v>3.3370000000000002</v>
      </c>
      <c r="H59" s="71">
        <f t="shared" si="29"/>
        <v>3.8239999999999998</v>
      </c>
      <c r="I59" s="71">
        <f t="shared" si="29"/>
        <v>3.6890000000000001</v>
      </c>
      <c r="J59" s="131">
        <f t="shared" ca="1" si="29"/>
        <v>3.3020000000000005</v>
      </c>
      <c r="K59" s="131">
        <f t="shared" ca="1" si="29"/>
        <v>3.343</v>
      </c>
      <c r="L59" s="131">
        <f t="shared" ca="1" si="29"/>
        <v>3.3410000000000002</v>
      </c>
      <c r="M59" s="131">
        <f t="shared" ca="1" si="29"/>
        <v>3.165</v>
      </c>
      <c r="N59" s="131">
        <f t="shared" ca="1" si="29"/>
        <v>3.2120000000000002</v>
      </c>
      <c r="O59" s="75">
        <f t="shared" ca="1" si="29"/>
        <v>3.0196496202531642</v>
      </c>
      <c r="P59" s="75">
        <f t="shared" ca="1" si="29"/>
        <v>3.0800426126582274</v>
      </c>
      <c r="Q59" s="75">
        <f t="shared" ca="1" si="29"/>
        <v>3.1416434649113922</v>
      </c>
      <c r="R59" s="75">
        <f t="shared" ca="1" si="29"/>
        <v>3.2044763342096201</v>
      </c>
      <c r="S59" s="75">
        <f t="shared" ca="1" si="29"/>
        <v>3.2685658608938128</v>
      </c>
      <c r="T59" s="75">
        <f t="shared" ca="1" si="29"/>
        <v>3.3339371781116891</v>
      </c>
      <c r="U59" s="75">
        <f t="shared" ca="1" si="29"/>
        <v>3.4006159216739231</v>
      </c>
      <c r="V59" s="75">
        <f t="shared" ca="1" si="29"/>
        <v>3.4686282401074013</v>
      </c>
      <c r="W59" s="75">
        <f t="shared" ca="1" si="29"/>
        <v>3.5380008049095495</v>
      </c>
      <c r="X59" s="75">
        <f t="shared" ca="1" si="29"/>
        <v>3.6087608210077402</v>
      </c>
    </row>
    <row r="60" spans="1:24" x14ac:dyDescent="0.2">
      <c r="A60" s="27" t="s">
        <v>523</v>
      </c>
      <c r="B60" s="233"/>
      <c r="C60" s="69"/>
      <c r="D60" s="71">
        <f>SUM(Data!C$6,Data!C$7,Data!C$9)</f>
        <v>18.529999999999998</v>
      </c>
      <c r="E60" s="71">
        <f>SUM(Data!D$6,Data!D$7,Data!D$9)</f>
        <v>21.893000000000001</v>
      </c>
      <c r="F60" s="71">
        <f>SUM(Data!E$6,Data!E$7,Data!E$9)</f>
        <v>22.364000000000001</v>
      </c>
      <c r="G60" s="71">
        <f>SUM(Data!F$6,Data!F$7,Data!F$9)</f>
        <v>22.062999999999999</v>
      </c>
      <c r="H60" s="71">
        <f>SUM(Data!G$6,Data!G$7,Data!G$9)</f>
        <v>27.864999999999998</v>
      </c>
      <c r="I60" s="71">
        <f>SUM(Data!H$6,Data!H$7,Data!H$9)</f>
        <v>26.055</v>
      </c>
      <c r="J60" s="131">
        <f ca="1">SUM(Data!I$6,Data!I$7,Data!I$9) + IF($F$1="Yes",SUM(Data!I$101,Data!I$102,Data!I$104)*(OFFSET('Forecast Adjuster'!$A$60,0,J$278)-1),0)</f>
        <v>24.521999999999998</v>
      </c>
      <c r="K60" s="131">
        <f ca="1">SUM(Data!J$6,Data!J$7,Data!J$9) + IF($F$1="Yes",SUM(Data!J$101,Data!J$102,Data!J$104)*(OFFSET('Forecast Adjuster'!$A$60,0,K$278)-1),0)</f>
        <v>25.12</v>
      </c>
      <c r="L60" s="131">
        <f ca="1">SUM(Data!K$6,Data!K$7,Data!K$9) + IF($F$1="Yes",SUM(Data!K$101,Data!K$102,Data!K$104)*(OFFSET('Forecast Adjuster'!$A$60,0,L$278)-1),0)</f>
        <v>26.322000000000003</v>
      </c>
      <c r="M60" s="131">
        <f ca="1">SUM(Data!L$6,Data!L$7,Data!L$9) + IF($F$1="Yes",SUM(Data!L$101,Data!L$102,Data!L$104)*(OFFSET('Forecast Adjuster'!$A$60,0,M$278)-1),0)</f>
        <v>26.996999999999996</v>
      </c>
      <c r="N60" s="131">
        <f ca="1">SUM(Data!M$6,Data!M$7,Data!M$9) + IF($F$1="Yes",SUM(Data!M$101,Data!M$102,Data!M$104)*(OFFSET('Forecast Adjuster'!$A$60,0,N$278)-1),0)</f>
        <v>27.856999999999999</v>
      </c>
      <c r="O60" s="75">
        <f t="shared" ref="O60:X60" ca="1" si="30">SUM(O$59,(N$60-N$59)*(1+O$234))</f>
        <v>28.764622287815151</v>
      </c>
      <c r="P60" s="75">
        <f t="shared" ca="1" si="30"/>
        <v>29.983349660853605</v>
      </c>
      <c r="Q60" s="75">
        <f t="shared" ca="1" si="30"/>
        <v>31.28630297498491</v>
      </c>
      <c r="R60" s="75">
        <f t="shared" ca="1" si="30"/>
        <v>32.633479859988839</v>
      </c>
      <c r="S60" s="75">
        <f t="shared" ca="1" si="30"/>
        <v>34.050914133738488</v>
      </c>
      <c r="T60" s="75">
        <f t="shared" ca="1" si="30"/>
        <v>35.529710152110432</v>
      </c>
      <c r="U60" s="75">
        <f t="shared" ca="1" si="30"/>
        <v>37.044579841874423</v>
      </c>
      <c r="V60" s="75">
        <f t="shared" ca="1" si="30"/>
        <v>38.599120623672952</v>
      </c>
      <c r="W60" s="75">
        <f t="shared" ca="1" si="30"/>
        <v>40.201366405939154</v>
      </c>
      <c r="X60" s="75">
        <f t="shared" ca="1" si="30"/>
        <v>41.848231707432937</v>
      </c>
    </row>
    <row r="61" spans="1:24" x14ac:dyDescent="0.2">
      <c r="A61" s="31"/>
      <c r="C61" s="69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2">
      <c r="A62" s="108" t="s">
        <v>525</v>
      </c>
      <c r="C62" s="69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x14ac:dyDescent="0.2">
      <c r="A63" s="31" t="s">
        <v>389</v>
      </c>
      <c r="B63" s="77"/>
      <c r="C63" s="69"/>
      <c r="D63" s="69">
        <f t="shared" ref="D63:X63" si="31">D$162</f>
        <v>0.436</v>
      </c>
      <c r="E63" s="69">
        <f t="shared" si="31"/>
        <v>0.38500000000000001</v>
      </c>
      <c r="F63" s="69">
        <f t="shared" si="31"/>
        <v>0.38300000000000001</v>
      </c>
      <c r="G63" s="69">
        <f t="shared" si="31"/>
        <v>0.433</v>
      </c>
      <c r="H63" s="69">
        <f t="shared" si="31"/>
        <v>0.51800000000000002</v>
      </c>
      <c r="I63" s="69">
        <f t="shared" si="31"/>
        <v>0.53900000000000003</v>
      </c>
      <c r="J63" s="105">
        <f t="shared" si="31"/>
        <v>0.64200000000000002</v>
      </c>
      <c r="K63" s="105">
        <f t="shared" si="31"/>
        <v>0.66500000000000004</v>
      </c>
      <c r="L63" s="105">
        <f t="shared" si="31"/>
        <v>0.69299999999999995</v>
      </c>
      <c r="M63" s="105">
        <f t="shared" si="31"/>
        <v>0.73799999999999999</v>
      </c>
      <c r="N63" s="105">
        <f t="shared" si="31"/>
        <v>0.78600000000000003</v>
      </c>
      <c r="O63" s="73">
        <f t="shared" si="31"/>
        <v>0.78723800850701842</v>
      </c>
      <c r="P63" s="73">
        <f t="shared" si="31"/>
        <v>0.86918722820186856</v>
      </c>
      <c r="Q63" s="73">
        <f t="shared" si="31"/>
        <v>0.98936833548982239</v>
      </c>
      <c r="R63" s="73">
        <f t="shared" si="31"/>
        <v>1.1173121798462347</v>
      </c>
      <c r="S63" s="73">
        <f t="shared" si="31"/>
        <v>1.251666082817567</v>
      </c>
      <c r="T63" s="73">
        <f t="shared" si="31"/>
        <v>1.3924958037944746</v>
      </c>
      <c r="U63" s="73">
        <f t="shared" si="31"/>
        <v>1.5383912915515279</v>
      </c>
      <c r="V63" s="73">
        <f t="shared" si="31"/>
        <v>1.6875963932493525</v>
      </c>
      <c r="W63" s="73">
        <f t="shared" si="31"/>
        <v>1.8391082281230104</v>
      </c>
      <c r="X63" s="73">
        <f t="shared" si="31"/>
        <v>1.9917096961898439</v>
      </c>
    </row>
    <row r="64" spans="1:24" x14ac:dyDescent="0.2">
      <c r="A64" s="31" t="s">
        <v>390</v>
      </c>
      <c r="B64" s="77"/>
      <c r="C64" s="69"/>
      <c r="D64" s="69">
        <f>D$184</f>
        <v>0.36</v>
      </c>
      <c r="E64" s="69">
        <f t="shared" ref="E64:X64" si="32">E$184</f>
        <v>0.40699999999999997</v>
      </c>
      <c r="F64" s="69">
        <f t="shared" si="32"/>
        <v>0.46500000000000002</v>
      </c>
      <c r="G64" s="69">
        <f t="shared" si="32"/>
        <v>0.46300000000000002</v>
      </c>
      <c r="H64" s="69">
        <f t="shared" si="32"/>
        <v>0.48399999999999999</v>
      </c>
      <c r="I64" s="69">
        <f t="shared" si="32"/>
        <v>0.52600000000000002</v>
      </c>
      <c r="J64" s="105">
        <f t="shared" si="32"/>
        <v>0.60299999999999998</v>
      </c>
      <c r="K64" s="105">
        <f t="shared" si="32"/>
        <v>0.63700000000000001</v>
      </c>
      <c r="L64" s="105">
        <f t="shared" si="32"/>
        <v>0.67100000000000004</v>
      </c>
      <c r="M64" s="105">
        <f t="shared" si="32"/>
        <v>0.70599999999999996</v>
      </c>
      <c r="N64" s="105">
        <f t="shared" si="32"/>
        <v>0.74299999999999999</v>
      </c>
      <c r="O64" s="73">
        <f t="shared" si="32"/>
        <v>0.7616332288401253</v>
      </c>
      <c r="P64" s="73">
        <f t="shared" si="32"/>
        <v>0.7802664576802506</v>
      </c>
      <c r="Q64" s="73">
        <f t="shared" si="32"/>
        <v>0.80006426332288394</v>
      </c>
      <c r="R64" s="73">
        <f t="shared" si="32"/>
        <v>0.82102664576802498</v>
      </c>
      <c r="S64" s="73">
        <f t="shared" si="32"/>
        <v>0.84315360501567393</v>
      </c>
      <c r="T64" s="73">
        <f t="shared" si="32"/>
        <v>0.86760971786833851</v>
      </c>
      <c r="U64" s="73">
        <f t="shared" si="32"/>
        <v>0.89323040752351091</v>
      </c>
      <c r="V64" s="73">
        <f t="shared" si="32"/>
        <v>0.92118025078369903</v>
      </c>
      <c r="W64" s="73">
        <f t="shared" si="32"/>
        <v>0.95145924764890288</v>
      </c>
      <c r="X64" s="73">
        <f t="shared" si="32"/>
        <v>0.98406739811912236</v>
      </c>
    </row>
    <row r="65" spans="1:24" x14ac:dyDescent="0.2">
      <c r="A65" s="31" t="s">
        <v>650</v>
      </c>
      <c r="B65" s="77"/>
      <c r="C65" s="69"/>
      <c r="D65" s="176">
        <f t="shared" ref="D65:N65" si="33">D$66-SUM(D$63:D$64)</f>
        <v>1.784</v>
      </c>
      <c r="E65" s="176">
        <f t="shared" si="33"/>
        <v>1.5519999999999998</v>
      </c>
      <c r="F65" s="176">
        <f t="shared" si="33"/>
        <v>1.024</v>
      </c>
      <c r="G65" s="176">
        <f t="shared" si="33"/>
        <v>1.2389999999999999</v>
      </c>
      <c r="H65" s="176">
        <f t="shared" si="33"/>
        <v>1.167</v>
      </c>
      <c r="I65" s="176">
        <f t="shared" si="33"/>
        <v>0.73</v>
      </c>
      <c r="J65" s="130">
        <f t="shared" ca="1" si="33"/>
        <v>1.016</v>
      </c>
      <c r="K65" s="130">
        <f t="shared" ca="1" si="33"/>
        <v>1.2839999999999998</v>
      </c>
      <c r="L65" s="130">
        <f t="shared" ca="1" si="33"/>
        <v>1.4690000000000003</v>
      </c>
      <c r="M65" s="130">
        <f t="shared" ca="1" si="33"/>
        <v>1.444</v>
      </c>
      <c r="N65" s="130">
        <f t="shared" ca="1" si="33"/>
        <v>1.6219999999999999</v>
      </c>
      <c r="O65" s="387">
        <f t="shared" ref="O65:V65" ca="1" si="34">N$65*SUM(O$150,O$151,O$153)/SUM(N$150,N$151,N$153)</f>
        <v>1.654686379746835</v>
      </c>
      <c r="P65" s="387">
        <f t="shared" ca="1" si="34"/>
        <v>1.687780107341772</v>
      </c>
      <c r="Q65" s="387">
        <f t="shared" ca="1" si="34"/>
        <v>1.7215357094886072</v>
      </c>
      <c r="R65" s="387">
        <f t="shared" ca="1" si="34"/>
        <v>1.7559664236783794</v>
      </c>
      <c r="S65" s="387">
        <f t="shared" ca="1" si="34"/>
        <v>1.791085752151947</v>
      </c>
      <c r="T65" s="387">
        <f t="shared" ca="1" si="34"/>
        <v>1.8269074671949861</v>
      </c>
      <c r="U65" s="387">
        <f t="shared" ca="1" si="34"/>
        <v>1.8634456165388857</v>
      </c>
      <c r="V65" s="387">
        <f t="shared" ca="1" si="34"/>
        <v>1.9007145288696639</v>
      </c>
      <c r="W65" s="387">
        <f ca="1">V$65*SUM(W$150,W$151,W$153)/SUM(V$150,V$151,V$153)</f>
        <v>1.9387288194470567</v>
      </c>
      <c r="X65" s="387">
        <f ca="1">W$65*SUM(X$150,X$151,X$153)/SUM(W$150,W$151,W$153)</f>
        <v>1.977503395835998</v>
      </c>
    </row>
    <row r="66" spans="1:24" x14ac:dyDescent="0.2">
      <c r="A66" s="27" t="s">
        <v>393</v>
      </c>
      <c r="B66" s="233"/>
      <c r="C66" s="69"/>
      <c r="D66" s="71">
        <f>Data!C$103</f>
        <v>2.58</v>
      </c>
      <c r="E66" s="71">
        <f>Data!D$103</f>
        <v>2.3439999999999999</v>
      </c>
      <c r="F66" s="71">
        <f>Data!E$103</f>
        <v>1.8720000000000001</v>
      </c>
      <c r="G66" s="71">
        <f>Data!F$103</f>
        <v>2.1349999999999998</v>
      </c>
      <c r="H66" s="71">
        <f>Data!G$103</f>
        <v>2.169</v>
      </c>
      <c r="I66" s="71">
        <f>Data!H$103</f>
        <v>1.7949999999999999</v>
      </c>
      <c r="J66" s="131">
        <f ca="1">Data!I$103*IF($F$1="Yes",OFFSET('Forecast Adjuster'!$A$61,0,J$278),1) + IF($I$1="Yes",J$284,0) + IF($L$1="Yes",J$330,0)</f>
        <v>2.2610000000000001</v>
      </c>
      <c r="K66" s="131">
        <f ca="1">Data!J$103*IF($F$1="Yes",OFFSET('Forecast Adjuster'!$A$61,0,K$278),1) + IF($I$1="Yes",K$284,0) + IF($L$1="Yes",K$330,0)</f>
        <v>2.5859999999999999</v>
      </c>
      <c r="L66" s="131">
        <f ca="1">Data!K$103*IF($F$1="Yes",OFFSET('Forecast Adjuster'!$A$61,0,L$278),1) + IF($I$1="Yes",L$284,0) + IF($L$1="Yes",L$330,0)</f>
        <v>2.8330000000000002</v>
      </c>
      <c r="M66" s="131">
        <f ca="1">Data!L$103*IF($F$1="Yes",OFFSET('Forecast Adjuster'!$A$61,0,M$278),1) + IF($I$1="Yes",M$284,0) + IF($L$1="Yes",M$330,0)</f>
        <v>2.8879999999999999</v>
      </c>
      <c r="N66" s="131">
        <f ca="1">Data!M$103*IF($F$1="Yes",OFFSET('Forecast Adjuster'!$A$61,0,N$278),1) + IF($I$1="Yes",N$284,0) + IF($L$1="Yes",N$330,0)</f>
        <v>3.1509999999999998</v>
      </c>
      <c r="O66" s="75">
        <f t="shared" ref="O66:X66" ca="1" si="35">SUM(O$63:O$65)</f>
        <v>3.2035576170939786</v>
      </c>
      <c r="P66" s="75">
        <f t="shared" ca="1" si="35"/>
        <v>3.3372337932238914</v>
      </c>
      <c r="Q66" s="75">
        <f t="shared" ca="1" si="35"/>
        <v>3.5109683083013135</v>
      </c>
      <c r="R66" s="75">
        <f t="shared" ca="1" si="35"/>
        <v>3.6943052492926389</v>
      </c>
      <c r="S66" s="75">
        <f t="shared" ca="1" si="35"/>
        <v>3.885905439985188</v>
      </c>
      <c r="T66" s="75">
        <f t="shared" ca="1" si="35"/>
        <v>4.0870129888577988</v>
      </c>
      <c r="U66" s="75">
        <f t="shared" ca="1" si="35"/>
        <v>4.2950673156139239</v>
      </c>
      <c r="V66" s="75">
        <f t="shared" ca="1" si="35"/>
        <v>4.509491172902715</v>
      </c>
      <c r="W66" s="75">
        <f t="shared" ca="1" si="35"/>
        <v>4.7292962952189699</v>
      </c>
      <c r="X66" s="75">
        <f t="shared" ca="1" si="35"/>
        <v>4.9532804901449641</v>
      </c>
    </row>
    <row r="67" spans="1:24" x14ac:dyDescent="0.2">
      <c r="A67" s="31" t="s">
        <v>651</v>
      </c>
      <c r="B67" s="233"/>
      <c r="C67" s="69"/>
      <c r="D67" s="176">
        <f>SUM(Data!C$135:C$136)-Data!C$137</f>
        <v>0.41500000000000004</v>
      </c>
      <c r="E67" s="176">
        <f>SUM(Data!D$135:D$136)-Data!D$137</f>
        <v>0.87000000000000011</v>
      </c>
      <c r="F67" s="176">
        <f>SUM(Data!E$135:E$136)-Data!E$137</f>
        <v>1.125</v>
      </c>
      <c r="G67" s="176">
        <f>SUM(Data!F$135:F$136)-Data!F$137</f>
        <v>0.17999999999999972</v>
      </c>
      <c r="H67" s="176">
        <f>SUM(Data!G$135:G$136)-Data!G$137</f>
        <v>0.40100000000000025</v>
      </c>
      <c r="I67" s="176">
        <f>SUM(Data!H$135:H$136)-Data!H$137</f>
        <v>0.96800000000000019</v>
      </c>
      <c r="J67" s="130">
        <f>SUM(Data!I$135:I$136)-Data!I$137 + IF($I$1="Yes",J$285,0)</f>
        <v>0.95000000000000018</v>
      </c>
      <c r="K67" s="130">
        <f>SUM(Data!J$135:J$136)-Data!J$137 + IF($I$1="Yes",K$285,0)</f>
        <v>1.1239999999999999</v>
      </c>
      <c r="L67" s="130">
        <f>SUM(Data!K$135:K$136)-Data!K$137 + IF($I$1="Yes",L$285,0)</f>
        <v>1.4320000000000004</v>
      </c>
      <c r="M67" s="130">
        <f>SUM(Data!L$135:L$136)-Data!L$137 + IF($I$1="Yes",M$285,0)</f>
        <v>1.6019999999999999</v>
      </c>
      <c r="N67" s="130">
        <f>SUM(Data!M$135:M$136)-Data!M$137 + IF($I$1="Yes",N$285,0)</f>
        <v>1.8849999999999998</v>
      </c>
      <c r="O67" s="81">
        <f t="shared" ref="O67:X67" ca="1" si="36">N$67*SUM(O$155,O$156)/SUM(N$155,N$156)</f>
        <v>1.9691326223718537</v>
      </c>
      <c r="P67" s="81">
        <f t="shared" ca="1" si="36"/>
        <v>2.0577291047209689</v>
      </c>
      <c r="Q67" s="81">
        <f t="shared" ca="1" si="36"/>
        <v>2.1526753165546184</v>
      </c>
      <c r="R67" s="81">
        <f t="shared" ca="1" si="36"/>
        <v>2.250909784787738</v>
      </c>
      <c r="S67" s="81">
        <f t="shared" ca="1" si="36"/>
        <v>2.3544218500430993</v>
      </c>
      <c r="T67" s="81">
        <f t="shared" ca="1" si="36"/>
        <v>2.4625291968345544</v>
      </c>
      <c r="U67" s="81">
        <f t="shared" ca="1" si="36"/>
        <v>2.5732956782137517</v>
      </c>
      <c r="V67" s="81">
        <f t="shared" ca="1" si="36"/>
        <v>2.6869944468663438</v>
      </c>
      <c r="W67" s="81">
        <f t="shared" ca="1" si="36"/>
        <v>2.804237945138599</v>
      </c>
      <c r="X67" s="81">
        <f t="shared" ca="1" si="36"/>
        <v>2.9247880957967727</v>
      </c>
    </row>
    <row r="68" spans="1:24" x14ac:dyDescent="0.2">
      <c r="A68" s="27" t="s">
        <v>337</v>
      </c>
      <c r="B68" s="77"/>
      <c r="C68" s="69"/>
      <c r="D68" s="71">
        <f t="shared" ref="D68:X68" si="37">SUM(D$66,D$67)</f>
        <v>2.9950000000000001</v>
      </c>
      <c r="E68" s="71">
        <f t="shared" si="37"/>
        <v>3.214</v>
      </c>
      <c r="F68" s="71">
        <f t="shared" si="37"/>
        <v>2.9969999999999999</v>
      </c>
      <c r="G68" s="71">
        <f t="shared" si="37"/>
        <v>2.3149999999999995</v>
      </c>
      <c r="H68" s="71">
        <f t="shared" si="37"/>
        <v>2.5700000000000003</v>
      </c>
      <c r="I68" s="71">
        <f t="shared" si="37"/>
        <v>2.7629999999999999</v>
      </c>
      <c r="J68" s="131">
        <f t="shared" ca="1" si="37"/>
        <v>3.2110000000000003</v>
      </c>
      <c r="K68" s="131">
        <f t="shared" ca="1" si="37"/>
        <v>3.71</v>
      </c>
      <c r="L68" s="131">
        <f t="shared" ca="1" si="37"/>
        <v>4.2650000000000006</v>
      </c>
      <c r="M68" s="131">
        <f t="shared" ca="1" si="37"/>
        <v>4.49</v>
      </c>
      <c r="N68" s="131">
        <f t="shared" ca="1" si="37"/>
        <v>5.0359999999999996</v>
      </c>
      <c r="O68" s="75">
        <f t="shared" ca="1" si="37"/>
        <v>5.1726902394658323</v>
      </c>
      <c r="P68" s="75">
        <f t="shared" ca="1" si="37"/>
        <v>5.3949628979448603</v>
      </c>
      <c r="Q68" s="75">
        <f t="shared" ca="1" si="37"/>
        <v>5.6636436248559319</v>
      </c>
      <c r="R68" s="75">
        <f t="shared" ca="1" si="37"/>
        <v>5.9452150340803769</v>
      </c>
      <c r="S68" s="75">
        <f t="shared" ca="1" si="37"/>
        <v>6.2403272900282873</v>
      </c>
      <c r="T68" s="75">
        <f t="shared" ca="1" si="37"/>
        <v>6.5495421856923528</v>
      </c>
      <c r="U68" s="75">
        <f t="shared" ca="1" si="37"/>
        <v>6.8683629938276756</v>
      </c>
      <c r="V68" s="75">
        <f t="shared" ca="1" si="37"/>
        <v>7.1964856197690583</v>
      </c>
      <c r="W68" s="75">
        <f t="shared" ca="1" si="37"/>
        <v>7.5335342403575689</v>
      </c>
      <c r="X68" s="75">
        <f t="shared" ca="1" si="37"/>
        <v>7.8780685859417368</v>
      </c>
    </row>
    <row r="69" spans="1:24" x14ac:dyDescent="0.2">
      <c r="A69" s="155" t="s">
        <v>1038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x14ac:dyDescent="0.2">
      <c r="A70" s="108" t="s">
        <v>595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x14ac:dyDescent="0.2">
      <c r="A71" s="31" t="s">
        <v>250</v>
      </c>
      <c r="B71" s="233"/>
      <c r="C71" s="69"/>
      <c r="D71" s="69">
        <f>Data!C$140</f>
        <v>6.81</v>
      </c>
      <c r="E71" s="69">
        <f>Data!D$140</f>
        <v>7.3479999999999999</v>
      </c>
      <c r="F71" s="69">
        <f>Data!E$140</f>
        <v>7.7439999999999998</v>
      </c>
      <c r="G71" s="69">
        <f>Data!F$140</f>
        <v>8.2899999999999991</v>
      </c>
      <c r="H71" s="69">
        <f>Data!G$140</f>
        <v>8.83</v>
      </c>
      <c r="I71" s="69">
        <f>Data!H$140</f>
        <v>9.5839999999999996</v>
      </c>
      <c r="J71" s="125">
        <f ca="1">Data!I$140*IF($F$1="Yes",OFFSET('Forecast Adjuster'!$A$65,0,J$278),1) + IF($I$1="Yes",J$286,0)</f>
        <v>10.228</v>
      </c>
      <c r="K71" s="125">
        <f ca="1">Data!J$140*IF($F$1="Yes",OFFSET('Forecast Adjuster'!$A$65,0,K$278),1) + IF($I$1="Yes",K$286,0)</f>
        <v>10.85</v>
      </c>
      <c r="L71" s="125">
        <f ca="1">Data!K$140*IF($F$1="Yes",OFFSET('Forecast Adjuster'!$A$65,0,L$278),1) + IF($I$1="Yes",L$286,0)</f>
        <v>11.414999999999999</v>
      </c>
      <c r="M71" s="125">
        <f ca="1">Data!L$140*IF($F$1="Yes",OFFSET('Forecast Adjuster'!$A$65,0,M$278),1) + IF($I$1="Yes",M$286,0)</f>
        <v>12.073</v>
      </c>
      <c r="N71" s="125">
        <f ca="1">Data!M$140*IF($F$1="Yes",OFFSET('Forecast Adjuster'!$A$65,0,N$278),1) + IF($I$1="Yes",N$286,0)</f>
        <v>12.686</v>
      </c>
      <c r="O71" s="73">
        <f ca="1">N$71*(1+Popn!O$199)*(3*N$89/M$89+O$89/N$89)/4</f>
        <v>13.388983493270896</v>
      </c>
      <c r="P71" s="73">
        <f ca="1">O$71*(1+Popn!P$199)*(3*O$89/N$89+P$89/O$89)/4</f>
        <v>14.122883713202722</v>
      </c>
      <c r="Q71" s="73">
        <f ca="1">P$71*(1+Popn!Q$199)*(3*P$89/O$89+Q$89/P$89)/4</f>
        <v>14.932410003696919</v>
      </c>
      <c r="R71" s="73">
        <f ca="1">Q$71*(1+Popn!R$199)*(3*Q$89/P$89+R$89/Q$89)/4</f>
        <v>15.925811563567496</v>
      </c>
      <c r="S71" s="73">
        <f ca="1">R$71*(1+Popn!S$199)*(3*R$89/Q$89+S$89/R$89)/4</f>
        <v>16.97993915852814</v>
      </c>
      <c r="T71" s="73">
        <f ca="1">S$71*(1+Popn!T$199)*(3*S$89/R$89+T$89/S$89)/4</f>
        <v>18.102533871034808</v>
      </c>
      <c r="U71" s="73">
        <f ca="1">T$71*(1+Popn!U$199)*(3*T$89/S$89+U$89/T$89)/4</f>
        <v>19.363808932351414</v>
      </c>
      <c r="V71" s="73">
        <f ca="1">U$71*(1+Popn!V$199)*(3*U$89/T$89+V$89/U$89)/4</f>
        <v>20.694888796292297</v>
      </c>
      <c r="W71" s="73">
        <f ca="1">V$71*(1+Popn!W$199)*(3*V$89/U$89+W$89/V$89)/4</f>
        <v>22.133350503618651</v>
      </c>
      <c r="X71" s="73">
        <f ca="1">W$71*(1+Popn!X$199)*(3*W$89/V$89+X$89/W$89)/4</f>
        <v>23.654688760612693</v>
      </c>
    </row>
    <row r="72" spans="1:24" x14ac:dyDescent="0.2">
      <c r="A72" s="31" t="s">
        <v>220</v>
      </c>
      <c r="B72" s="233"/>
      <c r="C72" s="69"/>
      <c r="D72" s="69">
        <f>Data!C$142</f>
        <v>0.61299999999999999</v>
      </c>
      <c r="E72" s="69">
        <f>Data!D$142</f>
        <v>0.45800000000000002</v>
      </c>
      <c r="F72" s="69">
        <f>Data!E$142</f>
        <v>0.58599999999999997</v>
      </c>
      <c r="G72" s="69">
        <f>Data!F$142</f>
        <v>0.93</v>
      </c>
      <c r="H72" s="69">
        <f>Data!G$142</f>
        <v>0.94299999999999995</v>
      </c>
      <c r="I72" s="69">
        <f>Data!H$142</f>
        <v>0.88300000000000001</v>
      </c>
      <c r="J72" s="125">
        <f ca="1">Data!I$142*IF($F$1="Yes",OFFSET('Forecast Adjuster'!$A$60,0,J$278)*OFFSET('Forecast Adjuster'!$A$66,0,J$278),1) + IF($I$1="Yes",J$287,0)</f>
        <v>0.83599999999999997</v>
      </c>
      <c r="K72" s="125">
        <f ca="1">Data!J$142*IF($F$1="Yes",OFFSET('Forecast Adjuster'!$A$60,0,K$278)*OFFSET('Forecast Adjuster'!$A$66,0,K$278),1) + IF($I$1="Yes",K$287,0)</f>
        <v>0.83899999999999997</v>
      </c>
      <c r="L72" s="125">
        <f ca="1">Data!K$142*IF($F$1="Yes",OFFSET('Forecast Adjuster'!$A$60,0,L$278)*OFFSET('Forecast Adjuster'!$A$66,0,L$278),1) + IF($I$1="Yes",L$287,0)</f>
        <v>0.81399999999999995</v>
      </c>
      <c r="M72" s="125">
        <f ca="1">Data!L$142*IF($F$1="Yes",OFFSET('Forecast Adjuster'!$A$60,0,M$278)*OFFSET('Forecast Adjuster'!$A$66,0,M$278),1) + IF($I$1="Yes",M$287,0)</f>
        <v>0.80400000000000005</v>
      </c>
      <c r="N72" s="125">
        <f ca="1">Data!M$142*IF($F$1="Yes",OFFSET('Forecast Adjuster'!$A$60,0,N$278)*OFFSET('Forecast Adjuster'!$A$66,0,N$278),1) + IF($I$1="Yes",N$287,0)</f>
        <v>0.78300000000000003</v>
      </c>
      <c r="O72" s="73">
        <f t="shared" ref="O72:X72" ca="1" si="38">N$72*(1+O$236)*(O$240*O$243)/(N$240*N$243)</f>
        <v>0.79215694685423699</v>
      </c>
      <c r="P72" s="73">
        <f t="shared" ca="1" si="38"/>
        <v>0.80051696952627394</v>
      </c>
      <c r="Q72" s="73">
        <f t="shared" ca="1" si="38"/>
        <v>0.80804894775415104</v>
      </c>
      <c r="R72" s="73">
        <f t="shared" ca="1" si="38"/>
        <v>0.81491064920900358</v>
      </c>
      <c r="S72" s="73">
        <f t="shared" ca="1" si="38"/>
        <v>0.82124695374582002</v>
      </c>
      <c r="T72" s="73">
        <f t="shared" ca="1" si="38"/>
        <v>0.82719527807503601</v>
      </c>
      <c r="U72" s="73">
        <f t="shared" ca="1" si="38"/>
        <v>0.8418291982969146</v>
      </c>
      <c r="V72" s="73">
        <f t="shared" ca="1" si="38"/>
        <v>0.8660341563641637</v>
      </c>
      <c r="W72" s="73">
        <f t="shared" ca="1" si="38"/>
        <v>0.89046544559894192</v>
      </c>
      <c r="X72" s="73">
        <f t="shared" ca="1" si="38"/>
        <v>0.91501997307981009</v>
      </c>
    </row>
    <row r="73" spans="1:24" x14ac:dyDescent="0.2">
      <c r="A73" s="31" t="s">
        <v>910</v>
      </c>
      <c r="B73" s="233"/>
      <c r="C73" s="69"/>
      <c r="D73" s="69">
        <f>Data!C$141</f>
        <v>1.468</v>
      </c>
      <c r="E73" s="69">
        <f>Data!D$141</f>
        <v>1.478</v>
      </c>
      <c r="F73" s="69">
        <f>Data!E$141</f>
        <v>1.53</v>
      </c>
      <c r="G73" s="69">
        <f>Data!F$141</f>
        <v>1.6930000000000001</v>
      </c>
      <c r="H73" s="69">
        <f>Data!G$141</f>
        <v>1.7569999999999999</v>
      </c>
      <c r="I73" s="69">
        <f>Data!H$141</f>
        <v>1.8109999999999999</v>
      </c>
      <c r="J73" s="125">
        <f ca="1">Data!I$141*IF($F$1="Yes",OFFSET('Forecast Adjuster'!$A$60,0,J$278),1) + IF($I$1="Yes",J$288,0)</f>
        <v>1.7509999999999999</v>
      </c>
      <c r="K73" s="125">
        <f ca="1">Data!J$141*IF($F$1="Yes",OFFSET('Forecast Adjuster'!$A$60,0,K$278),1) + IF($I$1="Yes",K$288,0)</f>
        <v>1.762</v>
      </c>
      <c r="L73" s="125">
        <f ca="1">Data!K$141*IF($F$1="Yes",OFFSET('Forecast Adjuster'!$A$60,0,L$278),1) + IF($I$1="Yes",L$288,0)</f>
        <v>1.776</v>
      </c>
      <c r="M73" s="125">
        <f ca="1">Data!L$141*IF($F$1="Yes",OFFSET('Forecast Adjuster'!$A$60,0,M$278),1) + IF($I$1="Yes",M$288,0)</f>
        <v>1.8109999999999999</v>
      </c>
      <c r="N73" s="125">
        <f ca="1">Data!M$141*IF($F$1="Yes",OFFSET('Forecast Adjuster'!$A$60,0,N$278),1) + IF($I$1="Yes",N$288,0)</f>
        <v>1.84</v>
      </c>
      <c r="O73" s="73">
        <f ca="1">N$73*(1+O$236)*(1+SUMPRODUCT(Popn!O$202:O$212,Tracks!$B$86:$B$96)+SUMPRODUCT(Popn!O$213:O$223,Tracks!$C$86:$C$96))</f>
        <v>1.8842596487696504</v>
      </c>
      <c r="P73" s="73">
        <f ca="1">O$73*(1+P$236)*(1+SUMPRODUCT(Popn!P$202:P$212,Tracks!$B$86:$B$96)+SUMPRODUCT(Popn!P$213:P$223,Tracks!$C$86:$C$96))</f>
        <v>1.9276503863767134</v>
      </c>
      <c r="Q73" s="73">
        <f ca="1">P$73*(1+Q$236)*(1+SUMPRODUCT(Popn!Q$202:Q$212,Tracks!$B$86:$B$96)+SUMPRODUCT(Popn!Q$213:Q$223,Tracks!$C$86:$C$96))</f>
        <v>1.9734679749782085</v>
      </c>
      <c r="R73" s="73">
        <f ca="1">Q$73*(1+R$236)*(1+SUMPRODUCT(Popn!R$202:R$212,Tracks!$B$86:$B$96)+SUMPRODUCT(Popn!R$213:R$223,Tracks!$C$86:$C$96))</f>
        <v>2.0187126036351986</v>
      </c>
      <c r="S73" s="73">
        <f ca="1">R$73*(1+S$236)*(1+SUMPRODUCT(Popn!S$202:S$212,Tracks!$B$86:$B$96)+SUMPRODUCT(Popn!S$213:S$223,Tracks!$C$86:$C$96))</f>
        <v>2.0639427298599733</v>
      </c>
      <c r="T73" s="73">
        <f ca="1">S$73*(1+T$236)*(1+SUMPRODUCT(Popn!T$202:T$212,Tracks!$B$86:$B$96)+SUMPRODUCT(Popn!T$213:T$223,Tracks!$C$86:$C$96))</f>
        <v>2.1101683817768522</v>
      </c>
      <c r="U73" s="73">
        <f ca="1">T$73*(1+U$236)*(1+SUMPRODUCT(Popn!U$202:U$212,Tracks!$B$86:$B$96)+SUMPRODUCT(Popn!U$213:U$223,Tracks!$C$86:$C$96))</f>
        <v>2.1592289148461514</v>
      </c>
      <c r="V73" s="73">
        <f ca="1">U$73*(1+V$236)*(1+SUMPRODUCT(Popn!V$202:V$212,Tracks!$B$86:$B$96)+SUMPRODUCT(Popn!V$213:V$223,Tracks!$C$86:$C$96))</f>
        <v>2.2098333877352214</v>
      </c>
      <c r="W73" s="73">
        <f ca="1">V$73*(1+W$236)*(1+SUMPRODUCT(Popn!W$202:W$212,Tracks!$B$86:$B$96)+SUMPRODUCT(Popn!W$213:W$223,Tracks!$C$86:$C$96))</f>
        <v>2.263536610267356</v>
      </c>
      <c r="X73" s="73">
        <f ca="1">W$73*(1+X$236)*(1+SUMPRODUCT(Popn!X$202:X$212,Tracks!$B$86:$B$96)+SUMPRODUCT(Popn!X$213:X$223,Tracks!$C$86:$C$96))</f>
        <v>2.3198477316714006</v>
      </c>
    </row>
    <row r="74" spans="1:24" x14ac:dyDescent="0.2">
      <c r="A74" s="31" t="s">
        <v>532</v>
      </c>
      <c r="B74" s="233"/>
      <c r="C74" s="69"/>
      <c r="D74" s="69">
        <f>Data!C$144</f>
        <v>0.57299999999999995</v>
      </c>
      <c r="E74" s="69">
        <f>Data!D$144</f>
        <v>0.58199999999999996</v>
      </c>
      <c r="F74" s="69">
        <f>Data!E$144</f>
        <v>0.61299999999999999</v>
      </c>
      <c r="G74" s="69">
        <f>Data!F$144</f>
        <v>0.71</v>
      </c>
      <c r="H74" s="69">
        <f>Data!G$144</f>
        <v>0.74299999999999999</v>
      </c>
      <c r="I74" s="69">
        <f>Data!H$144</f>
        <v>0.77500000000000002</v>
      </c>
      <c r="J74" s="125">
        <f ca="1">Data!I$144*IF($F$1="Yes",OFFSET('Forecast Adjuster'!$A$60,0,J$278),1) + IF($I$1="Yes",J$289,0)</f>
        <v>0.78400000000000003</v>
      </c>
      <c r="K74" s="125">
        <f ca="1">Data!J$144*IF($F$1="Yes",OFFSET('Forecast Adjuster'!$A$60,0,K$278),1) + IF($I$1="Yes",K$289,0)</f>
        <v>0.80900000000000005</v>
      </c>
      <c r="L74" s="125">
        <f ca="1">Data!K$144*IF($F$1="Yes",OFFSET('Forecast Adjuster'!$A$60,0,L$278),1) + IF($I$1="Yes",L$289,0)</f>
        <v>0.84499999999999997</v>
      </c>
      <c r="M74" s="125">
        <f ca="1">Data!L$144*IF($F$1="Yes",OFFSET('Forecast Adjuster'!$A$60,0,M$278),1) + IF($I$1="Yes",M$289,0)</f>
        <v>0.86799999999999999</v>
      </c>
      <c r="N74" s="125">
        <f ca="1">Data!M$144*IF($F$1="Yes",OFFSET('Forecast Adjuster'!$A$60,0,N$278),1) + IF($I$1="Yes",N$289,0)</f>
        <v>0.878</v>
      </c>
      <c r="O74" s="73">
        <f ca="1">N$74*(1+O$236)*(1+SUMPRODUCT(Popn!O$202:O$212,Tracks!$F$86:$F$96)+SUMPRODUCT(Popn!O$213:O$223,Tracks!$G$86:$G$96))</f>
        <v>0.90052617697407544</v>
      </c>
      <c r="P74" s="73">
        <f ca="1">O$74*(1+P$236)*(1+SUMPRODUCT(Popn!P$202:P$212,Tracks!$F$86:$F$96)+SUMPRODUCT(Popn!P$213:P$223,Tracks!$G$86:$G$96))</f>
        <v>0.9225881778705487</v>
      </c>
      <c r="Q74" s="73">
        <f ca="1">P$74*(1+Q$236)*(1+SUMPRODUCT(Popn!Q$202:Q$212,Tracks!$F$86:$F$96)+SUMPRODUCT(Popn!Q$213:Q$223,Tracks!$G$86:$G$96))</f>
        <v>0.94429313053908193</v>
      </c>
      <c r="R74" s="73">
        <f ca="1">Q$74*(1+R$236)*(1+SUMPRODUCT(Popn!R$202:R$212,Tracks!$F$86:$F$96)+SUMPRODUCT(Popn!R$213:R$223,Tracks!$G$86:$G$96))</f>
        <v>0.96579468971704419</v>
      </c>
      <c r="S74" s="73">
        <f ca="1">R$74*(1+S$236)*(1+SUMPRODUCT(Popn!S$202:S$212,Tracks!$F$86:$F$96)+SUMPRODUCT(Popn!S$213:S$223,Tracks!$G$86:$G$96))</f>
        <v>0.98773449049757012</v>
      </c>
      <c r="T74" s="73">
        <f ca="1">S$74*(1+T$236)*(1+SUMPRODUCT(Popn!T$202:T$212,Tracks!$F$86:$F$96)+SUMPRODUCT(Popn!T$213:T$223,Tracks!$G$86:$G$96))</f>
        <v>1.0099080197505672</v>
      </c>
      <c r="U74" s="73">
        <f ca="1">T$74*(1+U$236)*(1+SUMPRODUCT(Popn!U$202:U$212,Tracks!$F$86:$F$96)+SUMPRODUCT(Popn!U$213:U$223,Tracks!$G$86:$G$96))</f>
        <v>1.0323380321703943</v>
      </c>
      <c r="V74" s="73">
        <f ca="1">U$74*(1+V$236)*(1+SUMPRODUCT(Popn!V$202:V$212,Tracks!$F$86:$F$96)+SUMPRODUCT(Popn!V$213:V$223,Tracks!$G$86:$G$96))</f>
        <v>1.0556128647719691</v>
      </c>
      <c r="W74" s="73">
        <f ca="1">V$74*(1+W$236)*(1+SUMPRODUCT(Popn!W$202:W$212,Tracks!$F$86:$F$96)+SUMPRODUCT(Popn!W$213:W$223,Tracks!$G$86:$G$96))</f>
        <v>1.0795355563796472</v>
      </c>
      <c r="X74" s="73">
        <f ca="1">W$74*(1+X$236)*(1+SUMPRODUCT(Popn!X$202:X$212,Tracks!$F$86:$F$96)+SUMPRODUCT(Popn!X$213:X$223,Tracks!$G$86:$G$96))</f>
        <v>1.1038430814118929</v>
      </c>
    </row>
    <row r="75" spans="1:24" x14ac:dyDescent="0.2">
      <c r="A75" s="31" t="s">
        <v>911</v>
      </c>
      <c r="B75" s="233"/>
      <c r="C75" s="69"/>
      <c r="D75" s="69">
        <f>Data!C$143</f>
        <v>1.1319999999999999</v>
      </c>
      <c r="E75" s="69">
        <f>Data!D$143</f>
        <v>1.216</v>
      </c>
      <c r="F75" s="69">
        <f>Data!E$143</f>
        <v>1.26</v>
      </c>
      <c r="G75" s="69">
        <f>Data!F$143</f>
        <v>1.3029999999999999</v>
      </c>
      <c r="H75" s="69">
        <f>Data!G$143</f>
        <v>1.306</v>
      </c>
      <c r="I75" s="69">
        <f>Data!H$143</f>
        <v>1.325</v>
      </c>
      <c r="J75" s="125">
        <f ca="1">Data!I$143*IF($F$1="Yes",OFFSET('Forecast Adjuster'!$A$60,0,J$278),1) + IF($I$1="Yes",J$290,0)</f>
        <v>1.323</v>
      </c>
      <c r="K75" s="125">
        <f ca="1">Data!J$143*IF($F$1="Yes",OFFSET('Forecast Adjuster'!$A$60,0,K$278),1) + IF($I$1="Yes",K$290,0)</f>
        <v>1.3049999999999999</v>
      </c>
      <c r="L75" s="125">
        <f ca="1">Data!K$143*IF($F$1="Yes",OFFSET('Forecast Adjuster'!$A$60,0,L$278),1) + IF($I$1="Yes",L$290,0)</f>
        <v>1.2769999999999999</v>
      </c>
      <c r="M75" s="125">
        <f ca="1">Data!L$143*IF($F$1="Yes",OFFSET('Forecast Adjuster'!$A$60,0,M$278),1) + IF($I$1="Yes",M$290,0)</f>
        <v>1.2729999999999999</v>
      </c>
      <c r="N75" s="125">
        <f ca="1">Data!M$143*IF($F$1="Yes",OFFSET('Forecast Adjuster'!$A$60,0,N$278),1) + IF($I$1="Yes",N$290,0)</f>
        <v>1.274</v>
      </c>
      <c r="O75" s="73">
        <f ca="1">N$75*(1+O$236)*(1+SUMPRODUCT(Popn!O$202:O$212,Tracks!$D$86:$D$96)+SUMPRODUCT(Popn!O$213:O$223,Tracks!$E$86:$E$96))</f>
        <v>1.3096685148845615</v>
      </c>
      <c r="P75" s="73">
        <f ca="1">O$75*(1+P$236)*(1+SUMPRODUCT(Popn!P$202:P$212,Tracks!$D$86:$D$96)+SUMPRODUCT(Popn!P$213:P$223,Tracks!$E$86:$E$96))</f>
        <v>1.3448435984563398</v>
      </c>
      <c r="Q75" s="73">
        <f ca="1">P$75*(1+Q$236)*(1+SUMPRODUCT(Popn!Q$202:Q$212,Tracks!$D$86:$D$96)+SUMPRODUCT(Popn!Q$213:Q$223,Tracks!$E$86:$E$96))</f>
        <v>1.3788131320042003</v>
      </c>
      <c r="R75" s="73">
        <f ca="1">Q$75*(1+R$236)*(1+SUMPRODUCT(Popn!R$202:R$212,Tracks!$D$86:$D$96)+SUMPRODUCT(Popn!R$213:R$223,Tracks!$E$86:$E$96))</f>
        <v>1.4127954474151945</v>
      </c>
      <c r="S75" s="73">
        <f ca="1">R$75*(1+S$236)*(1+SUMPRODUCT(Popn!S$202:S$212,Tracks!$D$86:$D$96)+SUMPRODUCT(Popn!S$213:S$223,Tracks!$E$86:$E$96))</f>
        <v>1.4475232155515059</v>
      </c>
      <c r="T75" s="73">
        <f ca="1">S$75*(1+T$236)*(1+SUMPRODUCT(Popn!T$202:T$212,Tracks!$D$86:$D$96)+SUMPRODUCT(Popn!T$213:T$223,Tracks!$E$86:$E$96))</f>
        <v>1.4821378284697058</v>
      </c>
      <c r="U75" s="73">
        <f ca="1">T$75*(1+U$236)*(1+SUMPRODUCT(Popn!U$202:U$212,Tracks!$D$86:$D$96)+SUMPRODUCT(Popn!U$213:U$223,Tracks!$E$86:$E$96))</f>
        <v>1.5154173499042023</v>
      </c>
      <c r="V75" s="73">
        <f ca="1">U$75*(1+V$236)*(1+SUMPRODUCT(Popn!V$202:V$212,Tracks!$D$86:$D$96)+SUMPRODUCT(Popn!V$213:V$223,Tracks!$E$86:$E$96))</f>
        <v>1.549461091019261</v>
      </c>
      <c r="W75" s="73">
        <f ca="1">V$75*(1+W$236)*(1+SUMPRODUCT(Popn!W$202:W$212,Tracks!$D$86:$D$96)+SUMPRODUCT(Popn!W$213:W$223,Tracks!$E$86:$E$96))</f>
        <v>1.583058264925721</v>
      </c>
      <c r="X75" s="73">
        <f ca="1">W$75*(1+X$236)*(1+SUMPRODUCT(Popn!X$202:X$212,Tracks!$D$86:$D$96)+SUMPRODUCT(Popn!X$213:X$223,Tracks!$E$86:$E$96))</f>
        <v>1.6155798282433029</v>
      </c>
    </row>
    <row r="76" spans="1:24" x14ac:dyDescent="0.2">
      <c r="A76" s="31" t="s">
        <v>919</v>
      </c>
      <c r="B76" s="233"/>
      <c r="C76" s="69"/>
      <c r="D76" s="69">
        <f>Data!C$145</f>
        <v>1.6990000000000001</v>
      </c>
      <c r="E76" s="69">
        <f>Data!D$145</f>
        <v>1.897</v>
      </c>
      <c r="F76" s="69">
        <f>Data!E$145</f>
        <v>2.0619999999999998</v>
      </c>
      <c r="G76" s="69">
        <f>Data!F$145</f>
        <v>2.1680000000000001</v>
      </c>
      <c r="H76" s="69">
        <f>Data!G$145</f>
        <v>2.1389999999999998</v>
      </c>
      <c r="I76" s="69">
        <f>Data!H$145</f>
        <v>2.0819999999999999</v>
      </c>
      <c r="J76" s="125">
        <f ca="1">Data!I$145*IF($F$1="Yes",OFFSET('Forecast Adjuster'!$A$60,0,J$278),1) + IF($I$1="Yes",J$291,0)</f>
        <v>2.0619999999999998</v>
      </c>
      <c r="K76" s="125">
        <f ca="1">Data!J$145*IF($F$1="Yes",OFFSET('Forecast Adjuster'!$A$60,0,K$278),1) + IF($I$1="Yes",K$291,0)</f>
        <v>2.0369999999999999</v>
      </c>
      <c r="L76" s="125">
        <f ca="1">Data!K$145*IF($F$1="Yes",OFFSET('Forecast Adjuster'!$A$60,0,L$278),1) + IF($I$1="Yes",L$291,0)</f>
        <v>1.9930000000000001</v>
      </c>
      <c r="M76" s="125">
        <f ca="1">Data!L$145*IF($F$1="Yes",OFFSET('Forecast Adjuster'!$A$60,0,M$278),1) + IF($I$1="Yes",M$291,0)</f>
        <v>1.9610000000000001</v>
      </c>
      <c r="N76" s="125">
        <f ca="1">Data!M$145*IF($F$1="Yes",OFFSET('Forecast Adjuster'!$A$60,0,N$278),1) + IF($I$1="Yes",N$291,0)</f>
        <v>1.976</v>
      </c>
      <c r="O76" s="73">
        <f ca="1">N$76*(1+O$236)*(1+Popn!O$200)</f>
        <v>2.0220593751476179</v>
      </c>
      <c r="P76" s="73">
        <f ca="1">O$76*(1+P$236)*(1+Popn!P$200)</f>
        <v>2.0664168750898697</v>
      </c>
      <c r="Q76" s="73">
        <f ca="1">P$76*(1+Q$236)*(1+Popn!Q$200)</f>
        <v>2.1147728176910774</v>
      </c>
      <c r="R76" s="73">
        <f ca="1">Q$76*(1+R$236)*(1+Popn!R$200)</f>
        <v>2.1691975505725276</v>
      </c>
      <c r="S76" s="73">
        <f ca="1">R$76*(1+S$236)*(1+Popn!S$200)</f>
        <v>2.2248186777410592</v>
      </c>
      <c r="T76" s="73">
        <f ca="1">S$76*(1+T$236)*(1+Popn!T$200)</f>
        <v>2.2789905016140408</v>
      </c>
      <c r="U76" s="73">
        <f ca="1">T$76*(1+U$236)*(1+Popn!U$200)</f>
        <v>2.3356803977013127</v>
      </c>
      <c r="V76" s="73">
        <f ca="1">U$76*(1+V$236)*(1+Popn!V$200)</f>
        <v>2.391153557828209</v>
      </c>
      <c r="W76" s="73">
        <f ca="1">V$76*(1+W$236)*(1+Popn!W$200)</f>
        <v>2.4427254722923233</v>
      </c>
      <c r="X76" s="73">
        <f ca="1">W$76*(1+X$236)*(1+Popn!X$200)</f>
        <v>2.4910488956029333</v>
      </c>
    </row>
    <row r="77" spans="1:24" x14ac:dyDescent="0.2">
      <c r="A77" s="31" t="s">
        <v>918</v>
      </c>
      <c r="B77" s="233"/>
      <c r="C77" s="69"/>
      <c r="D77" s="69">
        <f>Data!C$146</f>
        <v>0.877</v>
      </c>
      <c r="E77" s="69">
        <f>Data!D$146</f>
        <v>0.89100000000000001</v>
      </c>
      <c r="F77" s="69">
        <f>Data!E$146</f>
        <v>0.98899999999999999</v>
      </c>
      <c r="G77" s="69">
        <f>Data!F$146</f>
        <v>1.1539999999999999</v>
      </c>
      <c r="H77" s="69">
        <f>Data!G$146</f>
        <v>1.1970000000000001</v>
      </c>
      <c r="I77" s="69">
        <f>Data!H$146</f>
        <v>1.1950000000000001</v>
      </c>
      <c r="J77" s="125">
        <f>Data!I$146 + IF($I$1="Yes",J$292,0)</f>
        <v>1.1970000000000001</v>
      </c>
      <c r="K77" s="125">
        <f>Data!J$146 + IF($I$1="Yes",K$292,0)</f>
        <v>1.2290000000000001</v>
      </c>
      <c r="L77" s="125">
        <f>Data!K$146 + IF($I$1="Yes",L$292,0)</f>
        <v>1.248</v>
      </c>
      <c r="M77" s="125">
        <f>Data!L$146 + IF($I$1="Yes",M$292,0)</f>
        <v>1.2709999999999999</v>
      </c>
      <c r="N77" s="125">
        <f>Data!M$146 + IF($I$1="Yes",N$292,0)</f>
        <v>1.288</v>
      </c>
      <c r="O77" s="73">
        <f ca="1">N$77*(1+O$236)*(1+Popn!O$201)</f>
        <v>1.3271035560595956</v>
      </c>
      <c r="P77" s="73">
        <f ca="1">O$77*(1+P$236)*(1+Popn!P$201)</f>
        <v>1.3675023263681687</v>
      </c>
      <c r="Q77" s="73">
        <f ca="1">P$77*(1+Q$236)*(1+Popn!Q$201)</f>
        <v>1.4086634823201485</v>
      </c>
      <c r="R77" s="73">
        <f ca="1">Q$77*(1+R$236)*(1+Popn!R$201)</f>
        <v>1.4512270771698517</v>
      </c>
      <c r="S77" s="73">
        <f ca="1">R$77*(1+S$236)*(1+Popn!S$201)</f>
        <v>1.4957310001368995</v>
      </c>
      <c r="T77" s="73">
        <f ca="1">S$77*(1+T$236)*(1+Popn!T$201)</f>
        <v>1.5420533829012237</v>
      </c>
      <c r="U77" s="73">
        <f ca="1">T$77*(1+U$236)*(1+Popn!U$201)</f>
        <v>1.5890190470925296</v>
      </c>
      <c r="V77" s="73">
        <f ca="1">U$77*(1+V$236)*(1+Popn!V$201)</f>
        <v>1.63721412439894</v>
      </c>
      <c r="W77" s="73">
        <f ca="1">V$77*(1+W$236)*(1+Popn!W$201)</f>
        <v>1.6859662584831729</v>
      </c>
      <c r="X77" s="73">
        <f ca="1">W$77*(1+X$236)*(1+Popn!X$201)</f>
        <v>1.7350868219254427</v>
      </c>
    </row>
    <row r="78" spans="1:24" x14ac:dyDescent="0.2">
      <c r="A78" s="31" t="s">
        <v>1011</v>
      </c>
      <c r="B78" s="233"/>
      <c r="C78" s="69"/>
      <c r="D78" s="69">
        <f>Data!C$151</f>
        <v>0.434</v>
      </c>
      <c r="E78" s="69">
        <f>Data!D$151</f>
        <v>0.46500000000000002</v>
      </c>
      <c r="F78" s="69">
        <f>Data!E$151</f>
        <v>0.504</v>
      </c>
      <c r="G78" s="69">
        <f>Data!F$151</f>
        <v>0.52200000000000002</v>
      </c>
      <c r="H78" s="69">
        <f>Data!G$151</f>
        <v>0.55300000000000005</v>
      </c>
      <c r="I78" s="69">
        <f>Data!H$151</f>
        <v>0.57999999999999996</v>
      </c>
      <c r="J78" s="125">
        <f>Data!I$151</f>
        <v>0.61399999999999999</v>
      </c>
      <c r="K78" s="125">
        <f>Data!J$151</f>
        <v>0.66</v>
      </c>
      <c r="L78" s="125">
        <f>Data!K$151</f>
        <v>0.70699999999999996</v>
      </c>
      <c r="M78" s="125">
        <f>Data!L$151</f>
        <v>0.75900000000000001</v>
      </c>
      <c r="N78" s="125">
        <f>Data!M$151</f>
        <v>0.80800000000000005</v>
      </c>
      <c r="O78" s="73">
        <f ca="1">N$78*(1+O$236)*(1+Popn!O$201)</f>
        <v>0.83253080224856624</v>
      </c>
      <c r="P78" s="73">
        <f ca="1">O$78*(1+P$236)*(1+Popn!P$201)</f>
        <v>0.85787413020611836</v>
      </c>
      <c r="Q78" s="73">
        <f ca="1">P$78*(1+Q$236)*(1+Popn!Q$201)</f>
        <v>0.88369572493375781</v>
      </c>
      <c r="R78" s="73">
        <f ca="1">Q$78*(1+R$236)*(1+Popn!R$201)</f>
        <v>0.91039711052270211</v>
      </c>
      <c r="S78" s="73">
        <f ca="1">R$78*(1+S$236)*(1+Popn!S$201)</f>
        <v>0.93831572058277579</v>
      </c>
      <c r="T78" s="73">
        <f ca="1">S$78*(1+T$236)*(1+Popn!T$201)</f>
        <v>0.96737510355915302</v>
      </c>
      <c r="U78" s="73">
        <f ca="1">T$78*(1+U$236)*(1+Popn!U$201)</f>
        <v>0.996838035753699</v>
      </c>
      <c r="V78" s="73">
        <f ca="1">U$78*(1+V$236)*(1+Popn!V$201)</f>
        <v>1.0270722146850495</v>
      </c>
      <c r="W78" s="73">
        <f ca="1">V$78*(1+W$236)*(1+Popn!W$201)</f>
        <v>1.0576558515950343</v>
      </c>
      <c r="X78" s="73">
        <f ca="1">W$78*(1+X$236)*(1+Popn!X$201)</f>
        <v>1.0884706149967067</v>
      </c>
    </row>
    <row r="79" spans="1:24" x14ac:dyDescent="0.2">
      <c r="A79" s="31" t="s">
        <v>1010</v>
      </c>
      <c r="B79" s="233"/>
      <c r="C79" s="69"/>
      <c r="D79" s="69">
        <f>Data!C$147</f>
        <v>0.27</v>
      </c>
      <c r="E79" s="69">
        <f>Data!D$147</f>
        <v>0.27800000000000002</v>
      </c>
      <c r="F79" s="69">
        <f>Data!E$147</f>
        <v>0.39</v>
      </c>
      <c r="G79" s="69">
        <f>Data!F$147</f>
        <v>0.41099999999999998</v>
      </c>
      <c r="H79" s="69">
        <f>Data!G$147</f>
        <v>0.40899999999999997</v>
      </c>
      <c r="I79" s="69">
        <f>Data!H$147</f>
        <v>0.40100000000000002</v>
      </c>
      <c r="J79" s="125">
        <f>Data!I$147 + IF($I$1="Yes",J$293,0)</f>
        <v>0.36299999999999999</v>
      </c>
      <c r="K79" s="125">
        <f>Data!J$147 + IF($I$1="Yes",K$293,0)</f>
        <v>0.35799999999999998</v>
      </c>
      <c r="L79" s="125">
        <f>Data!K$147 + IF($I$1="Yes",L$293,0)</f>
        <v>0.35599999999999998</v>
      </c>
      <c r="M79" s="125">
        <f>Data!L$147 + IF($I$1="Yes",M$293,0)</f>
        <v>0.35799999999999998</v>
      </c>
      <c r="N79" s="125">
        <f>Data!M$147 + IF($I$1="Yes",N$293,0)</f>
        <v>0.35799999999999998</v>
      </c>
      <c r="O79" s="73">
        <f ca="1">N$79*(1+O$236)*(1+Popn!O$201)</f>
        <v>0.36886884555072608</v>
      </c>
      <c r="P79" s="73">
        <f ca="1">O$79*(1+P$236)*(1+Popn!P$201)</f>
        <v>0.38009769630419593</v>
      </c>
      <c r="Q79" s="73">
        <f ca="1">P$79*(1+Q$236)*(1+Popn!Q$201)</f>
        <v>0.39153845238401636</v>
      </c>
      <c r="R79" s="73">
        <f ca="1">Q$79*(1+R$236)*(1+Popn!R$201)</f>
        <v>0.40336901679099907</v>
      </c>
      <c r="S79" s="73">
        <f ca="1">R$79*(1+S$236)*(1+Popn!S$201)</f>
        <v>0.41573889600078417</v>
      </c>
      <c r="T79" s="73">
        <f ca="1">S$79*(1+T$236)*(1+Popn!T$201)</f>
        <v>0.42861421667596117</v>
      </c>
      <c r="U79" s="73">
        <f ca="1">T$79*(1+U$236)*(1+Popn!U$201)</f>
        <v>0.44166833762354468</v>
      </c>
      <c r="V79" s="73">
        <f ca="1">U$79*(1+V$236)*(1+Popn!V$201)</f>
        <v>0.45506417432827678</v>
      </c>
      <c r="W79" s="73">
        <f ca="1">V$79*(1+W$236)*(1+Popn!W$201)</f>
        <v>0.46861484513740359</v>
      </c>
      <c r="X79" s="73">
        <f ca="1">W$79*(1+X$236)*(1+Popn!X$201)</f>
        <v>0.4822679210010159</v>
      </c>
    </row>
    <row r="80" spans="1:24" x14ac:dyDescent="0.2">
      <c r="A80" s="160" t="s">
        <v>248</v>
      </c>
      <c r="B80" s="233"/>
      <c r="C80" s="69"/>
      <c r="D80" s="69">
        <f>Data!C$148-D$78</f>
        <v>1.7579999999999998</v>
      </c>
      <c r="E80" s="69">
        <f>Data!D$148-E$78</f>
        <v>1.9109999999999998</v>
      </c>
      <c r="F80" s="69">
        <f>Data!E$148-F$78</f>
        <v>2.101</v>
      </c>
      <c r="G80" s="69">
        <f>Data!F$148-G$78</f>
        <v>2.0030000000000001</v>
      </c>
      <c r="H80" s="69">
        <f>Data!G$148-H$78</f>
        <v>2.1379999999999999</v>
      </c>
      <c r="I80" s="69">
        <f>Data!H$148-I$78</f>
        <v>1.8759999999999994</v>
      </c>
      <c r="J80" s="125">
        <f ca="1">(Data!I$148-J$78)*IF($F$1="Yes",OFFSET('Forecast Adjuster'!$A$60,0,J$278),1) + IF($I$1="Yes",J$294,0)</f>
        <v>0.82799999999999996</v>
      </c>
      <c r="K80" s="125">
        <f ca="1">(Data!J$148-K$78)*IF($F$1="Yes",OFFSET('Forecast Adjuster'!$A$60,0,K$278),1) + IF($I$1="Yes",K$294,0)</f>
        <v>0.78199999999999992</v>
      </c>
      <c r="L80" s="125">
        <f ca="1">(Data!K$148-L$78)*IF($F$1="Yes",OFFSET('Forecast Adjuster'!$A$60,0,L$278),1) + IF($I$1="Yes",L$294,0)</f>
        <v>0.71699999999999997</v>
      </c>
      <c r="M80" s="125">
        <f ca="1">(Data!L$148-M$78)*IF($F$1="Yes",OFFSET('Forecast Adjuster'!$A$60,0,M$278),1) + IF($I$1="Yes",M$294,0)</f>
        <v>0.67299999999999993</v>
      </c>
      <c r="N80" s="125">
        <f ca="1">(Data!M$148-N$78)*IF($F$1="Yes",OFFSET('Forecast Adjuster'!$A$60,0,N$278),1) + IF($I$1="Yes",N$294,0)</f>
        <v>0.6379999999999999</v>
      </c>
      <c r="O80" s="73">
        <f ca="1">N$80*(1+O$236)*(1+Popn!O$201)</f>
        <v>0.6573696186071597</v>
      </c>
      <c r="P80" s="73">
        <f ca="1">O$80*(1+P$236)*(1+Popn!P$201)</f>
        <v>0.67738081073205858</v>
      </c>
      <c r="Q80" s="73">
        <f ca="1">P$80*(1+Q$236)*(1+Popn!Q$201)</f>
        <v>0.69776964419274412</v>
      </c>
      <c r="R80" s="73">
        <f ca="1">Q$80*(1+R$236)*(1+Popn!R$201)</f>
        <v>0.7188531640018363</v>
      </c>
      <c r="S80" s="73">
        <f ca="1">R$80*(1+S$236)*(1+Popn!S$201)</f>
        <v>0.74089780907402314</v>
      </c>
      <c r="T80" s="73">
        <f ca="1">S$80*(1+T$236)*(1+Popn!T$201)</f>
        <v>0.76384321295883595</v>
      </c>
      <c r="U80" s="73">
        <f ca="1">T$80*(1+U$236)*(1+Popn!U$201)</f>
        <v>0.78710726090452943</v>
      </c>
      <c r="V80" s="73">
        <f ca="1">U$80*(1+V$236)*(1+Popn!V$201)</f>
        <v>0.81098028832804636</v>
      </c>
      <c r="W80" s="73">
        <f ca="1">V$80*(1+W$236)*(1+Popn!W$201)</f>
        <v>0.8351292491554847</v>
      </c>
      <c r="X80" s="73">
        <f ca="1">W$80*(1+X$236)*(1+Popn!X$201)</f>
        <v>0.85946070837611221</v>
      </c>
    </row>
    <row r="81" spans="1:24" x14ac:dyDescent="0.2">
      <c r="A81" s="160" t="s">
        <v>922</v>
      </c>
      <c r="B81" s="36"/>
      <c r="C81" s="69"/>
      <c r="D81" s="176">
        <f>D$82-SUM(D$71:D$80)</f>
        <v>1.1340000000000021</v>
      </c>
      <c r="E81" s="176">
        <f t="shared" ref="E81:N81" si="39">E$82-SUM(E$71:E$80)</f>
        <v>1.352999999999998</v>
      </c>
      <c r="F81" s="176">
        <f t="shared" si="39"/>
        <v>1.6030000000000015</v>
      </c>
      <c r="G81" s="176">
        <f t="shared" si="39"/>
        <v>2.0010000000000012</v>
      </c>
      <c r="H81" s="176">
        <f t="shared" si="39"/>
        <v>1.9899999999999984</v>
      </c>
      <c r="I81" s="176">
        <f t="shared" si="39"/>
        <v>1.5160000000000053</v>
      </c>
      <c r="J81" s="130">
        <f t="shared" ca="1" si="39"/>
        <v>2.8919999999999995</v>
      </c>
      <c r="K81" s="130">
        <f t="shared" ca="1" si="39"/>
        <v>2.9669999999999987</v>
      </c>
      <c r="L81" s="130">
        <f t="shared" ca="1" si="39"/>
        <v>2.9649999999999999</v>
      </c>
      <c r="M81" s="130">
        <f t="shared" ca="1" si="39"/>
        <v>2.8100000000000023</v>
      </c>
      <c r="N81" s="130">
        <f t="shared" ca="1" si="39"/>
        <v>2.8700000000000045</v>
      </c>
      <c r="O81" s="387">
        <f ca="1">N$81 +IF(OFFSET(Scenarios!$A$63,0,$C$1)="Yes",(O$141-N$141)*OFFSET(Scenarios!$A$66,0,$C$1),0) -0.252</f>
        <v>2.6180000000000048</v>
      </c>
      <c r="P81" s="278">
        <f ca="1">O$81 +IF(OFFSET(Scenarios!$A$63,0,$C$1)="Yes",(P$141-O$141)*OFFSET(Scenarios!$A$66,0,$C$1),0)</f>
        <v>2.6180000000000048</v>
      </c>
      <c r="Q81" s="278">
        <f ca="1">P$81 +IF(OFFSET(Scenarios!$A$63,0,$C$1)="Yes",(Q$141-P$141)*OFFSET(Scenarios!$A$66,0,$C$1),0)</f>
        <v>2.6180000000000048</v>
      </c>
      <c r="R81" s="278">
        <f ca="1">Q$81 +IF(OFFSET(Scenarios!$A$63,0,$C$1)="Yes",(R$141-Q$141)*OFFSET(Scenarios!$A$66,0,$C$1),0)</f>
        <v>2.6180000000000048</v>
      </c>
      <c r="S81" s="278">
        <f ca="1">R$81 +IF(OFFSET(Scenarios!$A$63,0,$C$1)="Yes",(S$141-R$141)*OFFSET(Scenarios!$A$66,0,$C$1),0)</f>
        <v>2.6180000000000048</v>
      </c>
      <c r="T81" s="278">
        <f ca="1">S$81 +IF(OFFSET(Scenarios!$A$63,0,$C$1)="Yes",(T$141-S$141)*OFFSET(Scenarios!$A$66,0,$C$1),0)</f>
        <v>2.6180000000000048</v>
      </c>
      <c r="U81" s="278">
        <f ca="1">T$81 +IF(OFFSET(Scenarios!$A$63,0,$C$1)="Yes",(U$141-T$141)*OFFSET(Scenarios!$A$66,0,$C$1),0)</f>
        <v>2.6180000000000048</v>
      </c>
      <c r="V81" s="278">
        <f ca="1">U$81 +IF(OFFSET(Scenarios!$A$63,0,$C$1)="Yes",(V$141-U$141)*OFFSET(Scenarios!$A$66,0,$C$1),0)</f>
        <v>2.6180000000000048</v>
      </c>
      <c r="W81" s="278">
        <f ca="1">V$81 +IF(OFFSET(Scenarios!$A$63,0,$C$1)="Yes",(W$141-V$141)*OFFSET(Scenarios!$A$66,0,$C$1),0)</f>
        <v>2.6180000000000048</v>
      </c>
      <c r="X81" s="278">
        <f ca="1">W$81 +IF(OFFSET(Scenarios!$A$63,0,$C$1)="Yes",(X$141-W$141)*OFFSET(Scenarios!$A$66,0,$C$1),0)</f>
        <v>2.6180000000000048</v>
      </c>
    </row>
    <row r="82" spans="1:24" x14ac:dyDescent="0.2">
      <c r="A82" s="27" t="s">
        <v>410</v>
      </c>
      <c r="B82" s="233"/>
      <c r="C82" s="69"/>
      <c r="D82" s="71">
        <f>Data!C$39</f>
        <v>16.768000000000001</v>
      </c>
      <c r="E82" s="71">
        <f>Data!D$39</f>
        <v>17.876999999999999</v>
      </c>
      <c r="F82" s="71">
        <f>Data!E$39</f>
        <v>19.382000000000001</v>
      </c>
      <c r="G82" s="71">
        <f>Data!F$39</f>
        <v>21.184999999999999</v>
      </c>
      <c r="H82" s="71">
        <f>Data!G$39</f>
        <v>22.004999999999999</v>
      </c>
      <c r="I82" s="71">
        <f>Data!H$39</f>
        <v>22.027999999999999</v>
      </c>
      <c r="J82" s="131">
        <f ca="1">Data!I$39 + IF($F$1="Yes",SUM((Data!I$39-SUM(Data!I$140,Data!I$142))*(OFFSET('Forecast Adjuster'!$A$60,0,J$278)-1),Data!I$140*(OFFSET('Forecast Adjuster'!$A$65,0,J$278)-1),Data!I$142*(OFFSET('Forecast Adjuster'!$A$60,0,J$278)*OFFSET('Forecast Adjuster'!$A$66,0,J$278)-1)),0) + IF(OFFSET(Scenarios!$A$63,0,$C$1)="Yes",OFFSET(Scenarios!$A$66,0,$C$1)*J$141,0) + IF($I$1="Yes",SUM(J$286:J$294),0)</f>
        <v>22.878</v>
      </c>
      <c r="K82" s="131">
        <f ca="1">Data!J$39 + IF($F$1="Yes",SUM((Data!J$39-SUM(Data!J$140,Data!J$142))*(OFFSET('Forecast Adjuster'!$A$60,0,K$278)-1),Data!J$140*(OFFSET('Forecast Adjuster'!$A$65,0,K$278)-1),Data!J$142*(OFFSET('Forecast Adjuster'!$A$60,0,K$278)*OFFSET('Forecast Adjuster'!$A$66,0,K$278)-1)),0) + IF(OFFSET(Scenarios!$A$63,0,$C$1)="Yes",OFFSET(Scenarios!$A$66,0,$C$1)*K$141,0) + IF($I$1="Yes",SUM(K$286:K$294),0)</f>
        <v>23.597999999999999</v>
      </c>
      <c r="L82" s="131">
        <f ca="1">Data!K$39 + IF($F$1="Yes",SUM((Data!K$39-SUM(Data!K$140,Data!K$142))*(OFFSET('Forecast Adjuster'!$A$60,0,L$278)-1),Data!K$140*(OFFSET('Forecast Adjuster'!$A$65,0,L$278)-1),Data!K$142*(OFFSET('Forecast Adjuster'!$A$60,0,L$278)*OFFSET('Forecast Adjuster'!$A$66,0,L$278)-1)),0) + IF(OFFSET(Scenarios!$A$63,0,$C$1)="Yes",OFFSET(Scenarios!$A$66,0,$C$1)*L$141,0) + IF($I$1="Yes",SUM(L$286:L$294),0)</f>
        <v>24.113</v>
      </c>
      <c r="M82" s="131">
        <f ca="1">Data!L$39 + IF($F$1="Yes",SUM((Data!L$39-SUM(Data!L$140,Data!L$142))*(OFFSET('Forecast Adjuster'!$A$60,0,M$278)-1),Data!L$140*(OFFSET('Forecast Adjuster'!$A$65,0,M$278)-1),Data!L$142*(OFFSET('Forecast Adjuster'!$A$60,0,M$278)*OFFSET('Forecast Adjuster'!$A$66,0,M$278)-1)),0) + IF(OFFSET(Scenarios!$A$63,0,$C$1)="Yes",OFFSET(Scenarios!$A$66,0,$C$1)*M$141,0) + IF($I$1="Yes",SUM(M$286:M$294),0)</f>
        <v>24.661000000000001</v>
      </c>
      <c r="N82" s="131">
        <f ca="1">Data!M$39 + IF($F$1="Yes",SUM((Data!M$39-SUM(Data!M$140,Data!M$142))*(OFFSET('Forecast Adjuster'!$A$60,0,N$278)-1),Data!M$140*(OFFSET('Forecast Adjuster'!$A$65,0,N$278)-1),Data!M$142*(OFFSET('Forecast Adjuster'!$A$60,0,N$278)*OFFSET('Forecast Adjuster'!$A$66,0,N$278)-1)),0) + IF(OFFSET(Scenarios!$A$63,0,$C$1)="Yes",OFFSET(Scenarios!$A$66,0,$C$1)*N$141,0) + IF($I$1="Yes",SUM(N$286:N$294),0)</f>
        <v>25.399000000000001</v>
      </c>
      <c r="O82" s="75">
        <f t="shared" ref="O82:X82" ca="1" si="40">SUM(O$71:O$81)</f>
        <v>26.101526978367087</v>
      </c>
      <c r="P82" s="75">
        <f t="shared" ca="1" si="40"/>
        <v>27.085754684133011</v>
      </c>
      <c r="Q82" s="75">
        <f t="shared" ca="1" si="40"/>
        <v>28.15147331049431</v>
      </c>
      <c r="R82" s="75">
        <f t="shared" ca="1" si="40"/>
        <v>29.409068872601857</v>
      </c>
      <c r="S82" s="75">
        <f t="shared" ca="1" si="40"/>
        <v>30.733888651718559</v>
      </c>
      <c r="T82" s="75">
        <f t="shared" ca="1" si="40"/>
        <v>32.130819796816183</v>
      </c>
      <c r="U82" s="75">
        <f t="shared" ca="1" si="40"/>
        <v>33.680935506644694</v>
      </c>
      <c r="V82" s="75">
        <f t="shared" ca="1" si="40"/>
        <v>35.315314655751436</v>
      </c>
      <c r="W82" s="75">
        <f t="shared" ca="1" si="40"/>
        <v>37.058038057453736</v>
      </c>
      <c r="X82" s="75">
        <f t="shared" ca="1" si="40"/>
        <v>38.883314336921316</v>
      </c>
    </row>
    <row r="83" spans="1:24" x14ac:dyDescent="0.2">
      <c r="A83" s="160" t="s">
        <v>596</v>
      </c>
      <c r="B83" s="99"/>
      <c r="C83" s="69"/>
      <c r="D83" s="69">
        <f t="shared" ref="D83:N83" si="41">D$84-D$82</f>
        <v>3.0609999999999999</v>
      </c>
      <c r="E83" s="69">
        <f t="shared" si="41"/>
        <v>3.6320000000000014</v>
      </c>
      <c r="F83" s="69">
        <f t="shared" si="41"/>
        <v>3.8909999999999982</v>
      </c>
      <c r="G83" s="69">
        <f t="shared" si="41"/>
        <v>3.0210000000000008</v>
      </c>
      <c r="H83" s="69">
        <f t="shared" si="41"/>
        <v>3.3190000000000026</v>
      </c>
      <c r="I83" s="69">
        <f t="shared" si="41"/>
        <v>3.429000000000002</v>
      </c>
      <c r="J83" s="105">
        <f t="shared" ca="1" si="41"/>
        <v>3.8109999999999999</v>
      </c>
      <c r="K83" s="105">
        <f t="shared" ca="1" si="41"/>
        <v>3.9280000000000008</v>
      </c>
      <c r="L83" s="105">
        <f t="shared" ca="1" si="41"/>
        <v>4.0150000000000006</v>
      </c>
      <c r="M83" s="105">
        <f t="shared" ca="1" si="41"/>
        <v>4.1969999999999992</v>
      </c>
      <c r="N83" s="105">
        <f t="shared" ca="1" si="41"/>
        <v>4.3879999999999981</v>
      </c>
      <c r="O83" s="73">
        <f t="shared" ref="O83:X83" ca="1" si="42">N$83*(1+O$236)*(1+O$248)*(O$91/N$91)</f>
        <v>4.5714565182168201</v>
      </c>
      <c r="P83" s="73">
        <f t="shared" ca="1" si="42"/>
        <v>4.7668941988045459</v>
      </c>
      <c r="Q83" s="73">
        <f t="shared" ca="1" si="42"/>
        <v>4.979737433168653</v>
      </c>
      <c r="R83" s="73">
        <f t="shared" ca="1" si="42"/>
        <v>5.2011412016265695</v>
      </c>
      <c r="S83" s="73">
        <f t="shared" ca="1" si="42"/>
        <v>5.4303805051159584</v>
      </c>
      <c r="T83" s="73">
        <f t="shared" ca="1" si="42"/>
        <v>5.6689872550126594</v>
      </c>
      <c r="U83" s="73">
        <f t="shared" ca="1" si="42"/>
        <v>5.913665911263311</v>
      </c>
      <c r="V83" s="73">
        <f t="shared" ca="1" si="42"/>
        <v>6.1663602639264079</v>
      </c>
      <c r="W83" s="73">
        <f t="shared" ca="1" si="42"/>
        <v>6.4261238728654773</v>
      </c>
      <c r="X83" s="73">
        <f t="shared" ca="1" si="42"/>
        <v>6.6946343404579833</v>
      </c>
    </row>
    <row r="84" spans="1:24" x14ac:dyDescent="0.2">
      <c r="A84" s="27" t="s">
        <v>391</v>
      </c>
      <c r="B84" s="233"/>
      <c r="C84" s="69"/>
      <c r="D84" s="71">
        <f>Data!C$20</f>
        <v>19.829000000000001</v>
      </c>
      <c r="E84" s="71">
        <f>Data!D$20</f>
        <v>21.509</v>
      </c>
      <c r="F84" s="71">
        <f>Data!E$20</f>
        <v>23.273</v>
      </c>
      <c r="G84" s="71">
        <f>Data!F$20</f>
        <v>24.206</v>
      </c>
      <c r="H84" s="71">
        <f>Data!G$20</f>
        <v>25.324000000000002</v>
      </c>
      <c r="I84" s="71">
        <f>Data!H$20</f>
        <v>25.457000000000001</v>
      </c>
      <c r="J84" s="131">
        <f ca="1">Data!I$20 + IF($F$1="Yes",SUM((Data!I$39-SUM(Data!I$140,Data!I$142))*(OFFSET('Forecast Adjuster'!$A$60,0,J$278)-1),Data!I$140*(OFFSET('Forecast Adjuster'!$A$65,0,J$278)-1),Data!I$142*(OFFSET('Forecast Adjuster'!$A$60,0,J$278)*OFFSET('Forecast Adjuster'!$A$66,0,J$278)-1)),0) + IF(OFFSET(Scenarios!$A$63,0,$C$1)="Yes",OFFSET(Scenarios!$A$66,0,$C$1)*J$141,0) + IF($I$1="Yes",SUM(J$286:J$294),0)</f>
        <v>26.689</v>
      </c>
      <c r="K84" s="131">
        <f ca="1">Data!J$20 + IF($F$1="Yes",SUM((Data!J$39-SUM(Data!J$140,Data!J$142))*(OFFSET('Forecast Adjuster'!$A$60,0,K$278)-1),Data!J$140*(OFFSET('Forecast Adjuster'!$A$65,0,K$278)-1),Data!J$142*(OFFSET('Forecast Adjuster'!$A$60,0,K$278)*OFFSET('Forecast Adjuster'!$A$66,0,K$278)-1)),0) + IF(OFFSET(Scenarios!$A$63,0,$C$1)="Yes",OFFSET(Scenarios!$A$66,0,$C$1)*K$141,0) + IF($I$1="Yes",SUM(K$286:K$294),0)</f>
        <v>27.526</v>
      </c>
      <c r="L84" s="131">
        <f ca="1">Data!K$20 + IF($F$1="Yes",SUM((Data!K$39-SUM(Data!K$140,Data!K$142))*(OFFSET('Forecast Adjuster'!$A$60,0,L$278)-1),Data!K$140*(OFFSET('Forecast Adjuster'!$A$65,0,L$278)-1),Data!K$142*(OFFSET('Forecast Adjuster'!$A$60,0,L$278)*OFFSET('Forecast Adjuster'!$A$66,0,L$278)-1)),0) + IF(OFFSET(Scenarios!$A$63,0,$C$1)="Yes",OFFSET(Scenarios!$A$66,0,$C$1)*L$141,0) + IF($I$1="Yes",SUM(L$286:L$294),0)</f>
        <v>28.128</v>
      </c>
      <c r="M84" s="131">
        <f ca="1">Data!L$20 + IF($F$1="Yes",SUM((Data!L$39-SUM(Data!L$140,Data!L$142))*(OFFSET('Forecast Adjuster'!$A$60,0,M$278)-1),Data!L$140*(OFFSET('Forecast Adjuster'!$A$65,0,M$278)-1),Data!L$142*(OFFSET('Forecast Adjuster'!$A$60,0,M$278)*OFFSET('Forecast Adjuster'!$A$66,0,M$278)-1)),0) + IF(OFFSET(Scenarios!$A$63,0,$C$1)="Yes",OFFSET(Scenarios!$A$66,0,$C$1)*M$141,0) + IF($I$1="Yes",SUM(M$286:M$294),0)</f>
        <v>28.858000000000001</v>
      </c>
      <c r="N84" s="131">
        <f ca="1">Data!M$20 + IF($F$1="Yes",SUM((Data!M$39-SUM(Data!M$140,Data!M$142))*(OFFSET('Forecast Adjuster'!$A$60,0,N$278)-1),Data!M$140*(OFFSET('Forecast Adjuster'!$A$65,0,N$278)-1),Data!M$142*(OFFSET('Forecast Adjuster'!$A$60,0,N$278)*OFFSET('Forecast Adjuster'!$A$66,0,N$278)-1)),0) + IF(OFFSET(Scenarios!$A$63,0,$C$1)="Yes",OFFSET(Scenarios!$A$66,0,$C$1)*N$141,0) + IF($I$1="Yes",SUM(N$286:N$294),0)</f>
        <v>29.786999999999999</v>
      </c>
      <c r="O84" s="75">
        <f t="shared" ref="O84:X84" ca="1" si="43">SUM(O$82,O$83)</f>
        <v>30.672983496583907</v>
      </c>
      <c r="P84" s="75">
        <f t="shared" ca="1" si="43"/>
        <v>31.852648882937558</v>
      </c>
      <c r="Q84" s="75">
        <f t="shared" ca="1" si="43"/>
        <v>33.131210743662962</v>
      </c>
      <c r="R84" s="75">
        <f t="shared" ca="1" si="43"/>
        <v>34.610210074228426</v>
      </c>
      <c r="S84" s="75">
        <f t="shared" ca="1" si="43"/>
        <v>36.164269156834514</v>
      </c>
      <c r="T84" s="75">
        <f t="shared" ca="1" si="43"/>
        <v>37.799807051828843</v>
      </c>
      <c r="U84" s="75">
        <f t="shared" ca="1" si="43"/>
        <v>39.594601417908002</v>
      </c>
      <c r="V84" s="75">
        <f t="shared" ca="1" si="43"/>
        <v>41.481674919677843</v>
      </c>
      <c r="W84" s="75">
        <f t="shared" ca="1" si="43"/>
        <v>43.48416193031921</v>
      </c>
      <c r="X84" s="75">
        <f t="shared" ca="1" si="43"/>
        <v>45.577948677379297</v>
      </c>
    </row>
    <row r="85" spans="1:24" x14ac:dyDescent="0.2">
      <c r="A85" s="108" t="s">
        <v>599</v>
      </c>
      <c r="C85" s="69"/>
      <c r="D85" s="69"/>
      <c r="E85" s="69"/>
      <c r="F85" s="73"/>
      <c r="G85" s="73"/>
      <c r="H85" s="73"/>
      <c r="I85" s="73"/>
      <c r="J85" s="73"/>
    </row>
    <row r="86" spans="1:24" x14ac:dyDescent="0.2">
      <c r="A86" s="225" t="s">
        <v>700</v>
      </c>
      <c r="B86" s="233"/>
      <c r="C86" s="69"/>
      <c r="D86" s="178">
        <f>Data!C$235</f>
        <v>832.3</v>
      </c>
      <c r="E86" s="178">
        <f>Data!D$235</f>
        <v>861.27</v>
      </c>
      <c r="F86" s="178">
        <f>Data!E$235</f>
        <v>905.51</v>
      </c>
      <c r="G86" s="178">
        <f>Data!F$235</f>
        <v>934.78</v>
      </c>
      <c r="H86" s="178">
        <f>Data!G$235</f>
        <v>967.96</v>
      </c>
      <c r="I86" s="178">
        <f>Data!H$235</f>
        <v>994.19</v>
      </c>
      <c r="J86" s="294">
        <f ca="1">IF(OR($F$1="Yes",$O$1="Yes"),OFFSET('Forecast Adjuster'!$A$48,0,J$278),Data!I$235)</f>
        <v>1023.11</v>
      </c>
      <c r="K86" s="294">
        <f ca="1">IF(OR($F$1="Yes",$O$1="Yes"),OFFSET('Forecast Adjuster'!$A$48,0,K$278),Data!J$235)</f>
        <v>1043.29</v>
      </c>
      <c r="L86" s="294">
        <f ca="1">IF(OR($F$1="Yes",$O$1="Yes"),OFFSET('Forecast Adjuster'!$A$48,0,L$278),Data!K$235)</f>
        <v>1068.18</v>
      </c>
      <c r="M86" s="294">
        <f ca="1">IF(OR($F$1="Yes",$O$1="Yes"),OFFSET('Forecast Adjuster'!$A$48,0,M$278),Data!L$235)</f>
        <v>1094.45</v>
      </c>
      <c r="N86" s="294">
        <f ca="1">IF(OR($F$1="Yes",$O$1="Yes"),OFFSET('Forecast Adjuster'!$A$48,0,N$278),Data!M$235)</f>
        <v>1122.47</v>
      </c>
      <c r="O86" s="173">
        <f t="shared" ref="O86:X86" ca="1" si="44">N$86*(1+O$248)*(1+O$236)</f>
        <v>1158.8918033180853</v>
      </c>
      <c r="P86" s="173">
        <f t="shared" ca="1" si="44"/>
        <v>1197.612907073529</v>
      </c>
      <c r="Q86" s="173">
        <f t="shared" ca="1" si="44"/>
        <v>1239.8886426932243</v>
      </c>
      <c r="R86" s="173">
        <f t="shared" ca="1" si="44"/>
        <v>1283.6567117802952</v>
      </c>
      <c r="S86" s="173">
        <f t="shared" ca="1" si="44"/>
        <v>1328.9697937061394</v>
      </c>
      <c r="T86" s="173">
        <f t="shared" ca="1" si="44"/>
        <v>1375.882427423966</v>
      </c>
      <c r="U86" s="173">
        <f t="shared" ca="1" si="44"/>
        <v>1424.451077112032</v>
      </c>
      <c r="V86" s="173">
        <f t="shared" ca="1" si="44"/>
        <v>1474.7342001340867</v>
      </c>
      <c r="W86" s="173">
        <f t="shared" ca="1" si="44"/>
        <v>1526.7923173988197</v>
      </c>
      <c r="X86" s="173">
        <f t="shared" ca="1" si="44"/>
        <v>1580.6880862029977</v>
      </c>
    </row>
    <row r="87" spans="1:24" x14ac:dyDescent="0.2">
      <c r="A87" s="225" t="s">
        <v>702</v>
      </c>
      <c r="B87" s="233"/>
      <c r="C87" s="69"/>
      <c r="D87" s="178">
        <f>Data!C$221</f>
        <v>645.82000000000005</v>
      </c>
      <c r="E87" s="178">
        <f>Data!D$221</f>
        <v>664.02</v>
      </c>
      <c r="F87" s="178">
        <f>Data!E$221</f>
        <v>723.19</v>
      </c>
      <c r="G87" s="178">
        <f>Data!F$221</f>
        <v>741.53</v>
      </c>
      <c r="H87" s="178">
        <f>Data!G$221</f>
        <v>792.36</v>
      </c>
      <c r="I87" s="178">
        <f>Data!H$221</f>
        <v>813.32</v>
      </c>
      <c r="J87" s="294">
        <f ca="1">IF(OR($F$1="Yes",$O$1="Yes"),OFFSET('Forecast Adjuster'!$A$52,0,J$278),Data!I$221)</f>
        <v>833.05</v>
      </c>
      <c r="K87" s="294">
        <f ca="1">IF(OR($F$1="Yes",$O$1="Yes"),OFFSET('Forecast Adjuster'!$A$52,0,K$278),Data!J$221)</f>
        <v>846.89</v>
      </c>
      <c r="L87" s="294">
        <f ca="1">IF(OR($F$1="Yes",$O$1="Yes"),OFFSET('Forecast Adjuster'!$A$52,0,L$278),Data!K$221)</f>
        <v>863.85</v>
      </c>
      <c r="M87" s="294">
        <f ca="1">IF(OR($F$1="Yes",$O$1="Yes"),OFFSET('Forecast Adjuster'!$A$52,0,M$278),Data!L$221)</f>
        <v>881.88</v>
      </c>
      <c r="N87" s="294">
        <f ca="1">IF(OR($F$1="Yes",$O$1="Yes"),OFFSET('Forecast Adjuster'!$A$52,0,N$278),Data!M$221)</f>
        <v>901.03</v>
      </c>
      <c r="O87" s="173">
        <f ca="1">IF(AND(OFFSET(Scenarios!$A$26,0,$C$1)="YES",OFFSET(Scenarios!$A$28,0,$C$1)&gt;=O$4),(52*O$86-IF(52*O$86&gt;OFFSET(Scenarios!$A$80,0,$C$1),(52*O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O$86&gt;OFFSET(Scenarios!$A$79,0,$C$1),(52*O$86-OFFSET(Scenarios!$A$79,0,$C$1))*OFFSET(Scenarios!$A$83,0,$C$1)+(OFFSET(Scenarios!$A$79,0,$C$1)-OFFSET(Scenarios!$A$78,0,$C$1))*OFFSET(Scenarios!$A$82,0,$C$1)+OFFSET(Scenarios!$A$78,0,$C$1)*OFFSET(Scenarios!$A$81,0,$C$1),IF(52*O$86&gt;OFFSET(Scenarios!$A$78,0,$C$1),(52*O$86-OFFSET(Scenarios!$A$78,0,$C$1))*OFFSET(Scenarios!$A$82,0,$C$1)+OFFSET(Scenarios!$A$78,0,$C$1)*OFFSET(Scenarios!$A$81,0,$C$1),52*O$86*OFFSET(Scenarios!$A$81,0,$C$1))))-52*O$86*OFFSET(Scenarios!$A$85,0,$C$1))/52,N$87*O$86/N$86)</f>
        <v>925.75387089702133</v>
      </c>
      <c r="P87" s="173">
        <f ca="1">IF(AND(OFFSET(Scenarios!$A$26,0,$C$1)="YES",OFFSET(Scenarios!$A$28,0,$C$1)&gt;=P$4),(52*P$86-IF(52*P$86&gt;OFFSET(Scenarios!$A$80,0,$C$1),(52*P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P$86&gt;OFFSET(Scenarios!$A$79,0,$C$1),(52*P$86-OFFSET(Scenarios!$A$79,0,$C$1))*OFFSET(Scenarios!$A$83,0,$C$1)+(OFFSET(Scenarios!$A$79,0,$C$1)-OFFSET(Scenarios!$A$78,0,$C$1))*OFFSET(Scenarios!$A$82,0,$C$1)+OFFSET(Scenarios!$A$78,0,$C$1)*OFFSET(Scenarios!$A$81,0,$C$1),IF(52*P$86&gt;OFFSET(Scenarios!$A$78,0,$C$1),(52*P$86-OFFSET(Scenarios!$A$78,0,$C$1))*OFFSET(Scenarios!$A$82,0,$C$1)+OFFSET(Scenarios!$A$78,0,$C$1)*OFFSET(Scenarios!$A$81,0,$C$1),52*P$86*OFFSET(Scenarios!$A$81,0,$C$1))))-52*P$86*OFFSET(Scenarios!$A$85,0,$C$1))/52,O$87*P$86/O$86)</f>
        <v>952.20038476198954</v>
      </c>
      <c r="Q87" s="173">
        <f ca="1">IF(AND(OFFSET(Scenarios!$A$26,0,$C$1)="YES",OFFSET(Scenarios!$A$28,0,$C$1)&gt;=Q$4),(52*Q$86-IF(52*Q$86&gt;OFFSET(Scenarios!$A$80,0,$C$1),(52*Q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Q$86&gt;OFFSET(Scenarios!$A$79,0,$C$1),(52*Q$86-OFFSET(Scenarios!$A$79,0,$C$1))*OFFSET(Scenarios!$A$83,0,$C$1)+(OFFSET(Scenarios!$A$79,0,$C$1)-OFFSET(Scenarios!$A$78,0,$C$1))*OFFSET(Scenarios!$A$82,0,$C$1)+OFFSET(Scenarios!$A$78,0,$C$1)*OFFSET(Scenarios!$A$81,0,$C$1),IF(52*Q$86&gt;OFFSET(Scenarios!$A$78,0,$C$1),(52*Q$86-OFFSET(Scenarios!$A$78,0,$C$1))*OFFSET(Scenarios!$A$82,0,$C$1)+OFFSET(Scenarios!$A$78,0,$C$1)*OFFSET(Scenarios!$A$81,0,$C$1),52*Q$86*OFFSET(Scenarios!$A$81,0,$C$1))))-52*Q$86*OFFSET(Scenarios!$A$85,0,$C$1))/52,P$87*Q$86/P$86)</f>
        <v>981.07471219024126</v>
      </c>
      <c r="R87" s="173">
        <f ca="1">IF(AND(OFFSET(Scenarios!$A$26,0,$C$1)="YES",OFFSET(Scenarios!$A$28,0,$C$1)&gt;=R$4),(52*R$86-IF(52*R$86&gt;OFFSET(Scenarios!$A$80,0,$C$1),(52*R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R$86&gt;OFFSET(Scenarios!$A$79,0,$C$1),(52*R$86-OFFSET(Scenarios!$A$79,0,$C$1))*OFFSET(Scenarios!$A$83,0,$C$1)+(OFFSET(Scenarios!$A$79,0,$C$1)-OFFSET(Scenarios!$A$78,0,$C$1))*OFFSET(Scenarios!$A$82,0,$C$1)+OFFSET(Scenarios!$A$78,0,$C$1)*OFFSET(Scenarios!$A$81,0,$C$1),IF(52*R$86&gt;OFFSET(Scenarios!$A$78,0,$C$1),(52*R$86-OFFSET(Scenarios!$A$78,0,$C$1))*OFFSET(Scenarios!$A$82,0,$C$1)+OFFSET(Scenarios!$A$78,0,$C$1)*OFFSET(Scenarios!$A$81,0,$C$1),52*R$86*OFFSET(Scenarios!$A$81,0,$C$1))))-52*R$86*OFFSET(Scenarios!$A$85,0,$C$1))/52,Q$87*R$86/Q$86)</f>
        <v>1010.9683033767108</v>
      </c>
      <c r="S87" s="173">
        <f ca="1">IF(AND(OFFSET(Scenarios!$A$26,0,$C$1)="YES",OFFSET(Scenarios!$A$28,0,$C$1)&gt;=S$4),(52*S$86-IF(52*S$86&gt;OFFSET(Scenarios!$A$80,0,$C$1),(52*S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S$86&gt;OFFSET(Scenarios!$A$79,0,$C$1),(52*S$86-OFFSET(Scenarios!$A$79,0,$C$1))*OFFSET(Scenarios!$A$83,0,$C$1)+(OFFSET(Scenarios!$A$79,0,$C$1)-OFFSET(Scenarios!$A$78,0,$C$1))*OFFSET(Scenarios!$A$82,0,$C$1)+OFFSET(Scenarios!$A$78,0,$C$1)*OFFSET(Scenarios!$A$81,0,$C$1),IF(52*S$86&gt;OFFSET(Scenarios!$A$78,0,$C$1),(52*S$86-OFFSET(Scenarios!$A$78,0,$C$1))*OFFSET(Scenarios!$A$82,0,$C$1)+OFFSET(Scenarios!$A$78,0,$C$1)*OFFSET(Scenarios!$A$81,0,$C$1),52*S$86*OFFSET(Scenarios!$A$81,0,$C$1))))-52*S$86*OFFSET(Scenarios!$A$85,0,$C$1))/52,R$87*S$86/R$86)</f>
        <v>1041.9171383320624</v>
      </c>
      <c r="T87" s="173">
        <f ca="1">IF(AND(OFFSET(Scenarios!$A$26,0,$C$1)="YES",OFFSET(Scenarios!$A$28,0,$C$1)&gt;=T$4),(52*T$86-IF(52*T$86&gt;OFFSET(Scenarios!$A$80,0,$C$1),(52*T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T$86&gt;OFFSET(Scenarios!$A$79,0,$C$1),(52*T$86-OFFSET(Scenarios!$A$79,0,$C$1))*OFFSET(Scenarios!$A$83,0,$C$1)+(OFFSET(Scenarios!$A$79,0,$C$1)-OFFSET(Scenarios!$A$78,0,$C$1))*OFFSET(Scenarios!$A$82,0,$C$1)+OFFSET(Scenarios!$A$78,0,$C$1)*OFFSET(Scenarios!$A$81,0,$C$1),IF(52*T$86&gt;OFFSET(Scenarios!$A$78,0,$C$1),(52*T$86-OFFSET(Scenarios!$A$78,0,$C$1))*OFFSET(Scenarios!$A$82,0,$C$1)+OFFSET(Scenarios!$A$78,0,$C$1)*OFFSET(Scenarios!$A$81,0,$C$1),52*T$86*OFFSET(Scenarios!$A$81,0,$C$1))))-52*T$86*OFFSET(Scenarios!$A$85,0,$C$1))/52,S$87*T$86/S$86)</f>
        <v>1078.696813315184</v>
      </c>
      <c r="U87" s="173">
        <f ca="1">IF(AND(OFFSET(Scenarios!$A$26,0,$C$1)="YES",OFFSET(Scenarios!$A$28,0,$C$1)&gt;=U$4),(52*U$86-IF(52*U$86&gt;OFFSET(Scenarios!$A$80,0,$C$1),(52*U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U$86&gt;OFFSET(Scenarios!$A$79,0,$C$1),(52*U$86-OFFSET(Scenarios!$A$79,0,$C$1))*OFFSET(Scenarios!$A$83,0,$C$1)+(OFFSET(Scenarios!$A$79,0,$C$1)-OFFSET(Scenarios!$A$78,0,$C$1))*OFFSET(Scenarios!$A$82,0,$C$1)+OFFSET(Scenarios!$A$78,0,$C$1)*OFFSET(Scenarios!$A$81,0,$C$1),IF(52*U$86&gt;OFFSET(Scenarios!$A$78,0,$C$1),(52*U$86-OFFSET(Scenarios!$A$78,0,$C$1))*OFFSET(Scenarios!$A$82,0,$C$1)+OFFSET(Scenarios!$A$78,0,$C$1)*OFFSET(Scenarios!$A$81,0,$C$1),52*U$86*OFFSET(Scenarios!$A$81,0,$C$1))))-52*U$86*OFFSET(Scenarios!$A$85,0,$C$1))/52,T$87*U$86/T$86)</f>
        <v>1116.7748108252101</v>
      </c>
      <c r="V87" s="173">
        <f ca="1">IF(AND(OFFSET(Scenarios!$A$26,0,$C$1)="YES",OFFSET(Scenarios!$A$28,0,$C$1)&gt;=V$4),(52*V$86-IF(52*V$86&gt;OFFSET(Scenarios!$A$80,0,$C$1),(52*V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V$86&gt;OFFSET(Scenarios!$A$79,0,$C$1),(52*V$86-OFFSET(Scenarios!$A$79,0,$C$1))*OFFSET(Scenarios!$A$83,0,$C$1)+(OFFSET(Scenarios!$A$79,0,$C$1)-OFFSET(Scenarios!$A$78,0,$C$1))*OFFSET(Scenarios!$A$82,0,$C$1)+OFFSET(Scenarios!$A$78,0,$C$1)*OFFSET(Scenarios!$A$81,0,$C$1),IF(52*V$86&gt;OFFSET(Scenarios!$A$78,0,$C$1),(52*V$86-OFFSET(Scenarios!$A$78,0,$C$1))*OFFSET(Scenarios!$A$82,0,$C$1)+OFFSET(Scenarios!$A$78,0,$C$1)*OFFSET(Scenarios!$A$81,0,$C$1),52*V$86*OFFSET(Scenarios!$A$81,0,$C$1))))-52*V$86*OFFSET(Scenarios!$A$85,0,$C$1))/52,U$87*V$86/U$86)</f>
        <v>1156.19696164734</v>
      </c>
      <c r="W87" s="173">
        <f ca="1">IF(AND(OFFSET(Scenarios!$A$26,0,$C$1)="YES",OFFSET(Scenarios!$A$28,0,$C$1)&gt;=W$4),(52*W$86-IF(52*W$86&gt;OFFSET(Scenarios!$A$80,0,$C$1),(52*W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W$86&gt;OFFSET(Scenarios!$A$79,0,$C$1),(52*W$86-OFFSET(Scenarios!$A$79,0,$C$1))*OFFSET(Scenarios!$A$83,0,$C$1)+(OFFSET(Scenarios!$A$79,0,$C$1)-OFFSET(Scenarios!$A$78,0,$C$1))*OFFSET(Scenarios!$A$82,0,$C$1)+OFFSET(Scenarios!$A$78,0,$C$1)*OFFSET(Scenarios!$A$81,0,$C$1),IF(52*W$86&gt;OFFSET(Scenarios!$A$78,0,$C$1),(52*W$86-OFFSET(Scenarios!$A$78,0,$C$1))*OFFSET(Scenarios!$A$82,0,$C$1)+OFFSET(Scenarios!$A$78,0,$C$1)*OFFSET(Scenarios!$A$81,0,$C$1),52*W$86*OFFSET(Scenarios!$A$81,0,$C$1))))-52*W$86*OFFSET(Scenarios!$A$85,0,$C$1))/52,V$87*W$86/V$86)</f>
        <v>1197.0107143934908</v>
      </c>
      <c r="X87" s="173">
        <f ca="1">IF(AND(OFFSET(Scenarios!$A$26,0,$C$1)="YES",OFFSET(Scenarios!$A$28,0,$C$1)&gt;=X$4),(52*X$86-IF(52*X$86&gt;OFFSET(Scenarios!$A$80,0,$C$1),(52*X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X$86&gt;OFFSET(Scenarios!$A$79,0,$C$1),(52*X$86-OFFSET(Scenarios!$A$79,0,$C$1))*OFFSET(Scenarios!$A$83,0,$C$1)+(OFFSET(Scenarios!$A$79,0,$C$1)-OFFSET(Scenarios!$A$78,0,$C$1))*OFFSET(Scenarios!$A$82,0,$C$1)+OFFSET(Scenarios!$A$78,0,$C$1)*OFFSET(Scenarios!$A$81,0,$C$1),IF(52*X$86&gt;OFFSET(Scenarios!$A$78,0,$C$1),(52*X$86-OFFSET(Scenarios!$A$78,0,$C$1))*OFFSET(Scenarios!$A$82,0,$C$1)+OFFSET(Scenarios!$A$78,0,$C$1)*OFFSET(Scenarios!$A$81,0,$C$1),52*X$86*OFFSET(Scenarios!$A$81,0,$C$1))))-52*X$86*OFFSET(Scenarios!$A$85,0,$C$1))/52,W$87*X$86/W$86)</f>
        <v>1239.2651926115807</v>
      </c>
    </row>
    <row r="88" spans="1:24" x14ac:dyDescent="0.2">
      <c r="A88" s="225" t="s">
        <v>703</v>
      </c>
      <c r="B88" s="233"/>
      <c r="C88" s="69"/>
      <c r="D88" s="178">
        <f>Data!C$222</f>
        <v>213.12</v>
      </c>
      <c r="E88" s="178">
        <f>Data!D$222</f>
        <v>219.9</v>
      </c>
      <c r="F88" s="178">
        <f>Data!E$222</f>
        <v>239.19</v>
      </c>
      <c r="G88" s="178">
        <f>Data!F$222</f>
        <v>244.71</v>
      </c>
      <c r="H88" s="178">
        <f>Data!G$222</f>
        <v>261.48</v>
      </c>
      <c r="I88" s="178">
        <f>Data!H$222</f>
        <v>268.39999999999998</v>
      </c>
      <c r="J88" s="294">
        <f ca="1">IF(OR($F$1="Yes",$O$1="Yes"),OFFSET('Forecast Adjuster'!$A$53,0,J$278),Data!I$222)</f>
        <v>274.91000000000003</v>
      </c>
      <c r="K88" s="294">
        <f ca="1">IF(OR($F$1="Yes",$O$1="Yes"),OFFSET('Forecast Adjuster'!$A$53,0,K$278),Data!J$222)</f>
        <v>279.47000000000003</v>
      </c>
      <c r="L88" s="294">
        <f ca="1">IF(OR($F$1="Yes",$O$1="Yes"),OFFSET('Forecast Adjuster'!$A$53,0,L$278),Data!K$222)</f>
        <v>285.33999999999997</v>
      </c>
      <c r="M88" s="294">
        <f ca="1">IF(OR($F$1="Yes",$O$1="Yes"),OFFSET('Forecast Adjuster'!$A$53,0,M$278),Data!L$222)</f>
        <v>291.02</v>
      </c>
      <c r="N88" s="294">
        <f ca="1">IF(OR($F$1="Yes",$O$1="Yes"),OFFSET('Forecast Adjuster'!$A$53,0,N$278),Data!M$222)</f>
        <v>297.33999999999997</v>
      </c>
      <c r="O88" s="173">
        <f ca="1">IF(OFFSET(Scenarios!$A$47,0,$C$1)="Yes", IF(2*N$88*(1+O$236)/O$87 &gt; OFFSET(Scenarios!$A$48,0,$C$1), N$88*(1+O$236), O$87*OFFSET(Scenarios!$A$48,0,$C$1)/2), N$88*(1+O$236))</f>
        <v>303.33196556962019</v>
      </c>
      <c r="P88" s="173">
        <f ca="1">IF(OFFSET(Scenarios!$A$47,0,$C$1)="Yes", IF(2*O$88*(1+P$236)/P$87 &gt; OFFSET(Scenarios!$A$48,0,$C$1), O$88*(1+P$236), P$87*OFFSET(Scenarios!$A$48,0,$C$1)/2), O$88*(1+P$236))</f>
        <v>309.46512504764661</v>
      </c>
      <c r="Q88" s="173">
        <f ca="1">IF(OFFSET(Scenarios!$A$47,0,$C$1)="Yes", IF(2*P$88*(1+Q$236)/Q$87 &gt; OFFSET(Scenarios!$A$48,0,$C$1), P$88*(1+Q$236), Q$87*OFFSET(Scenarios!$A$48,0,$C$1)/2), P$88*(1+Q$236))</f>
        <v>318.84928146182841</v>
      </c>
      <c r="R88" s="173">
        <f ca="1">IF(OFFSET(Scenarios!$A$47,0,$C$1)="Yes", IF(2*Q$88*(1+R$236)/R$87 &gt; OFFSET(Scenarios!$A$48,0,$C$1), Q$88*(1+R$236), R$87*OFFSET(Scenarios!$A$48,0,$C$1)/2), Q$88*(1+R$236))</f>
        <v>328.564698597431</v>
      </c>
      <c r="S88" s="173">
        <f ca="1">IF(OFFSET(Scenarios!$A$47,0,$C$1)="Yes", IF(2*R$88*(1+S$236)/S$87 &gt; OFFSET(Scenarios!$A$48,0,$C$1), R$88*(1+S$236), S$87*OFFSET(Scenarios!$A$48,0,$C$1)/2), R$88*(1+S$236))</f>
        <v>338.62306995792034</v>
      </c>
      <c r="T88" s="173">
        <f ca="1">IF(OFFSET(Scenarios!$A$47,0,$C$1)="Yes", IF(2*S$88*(1+T$236)/T$87 &gt; OFFSET(Scenarios!$A$48,0,$C$1), S$88*(1+T$236), T$87*OFFSET(Scenarios!$A$48,0,$C$1)/2), S$88*(1+T$236))</f>
        <v>350.57646432743485</v>
      </c>
      <c r="U88" s="173">
        <f ca="1">IF(OFFSET(Scenarios!$A$47,0,$C$1)="Yes", IF(2*T$88*(1+U$236)/U$87 &gt; OFFSET(Scenarios!$A$48,0,$C$1), T$88*(1+U$236), U$87*OFFSET(Scenarios!$A$48,0,$C$1)/2), T$88*(1+U$236))</f>
        <v>362.95181351819332</v>
      </c>
      <c r="V88" s="173">
        <f ca="1">IF(OFFSET(Scenarios!$A$47,0,$C$1)="Yes", IF(2*U$88*(1+V$236)/V$87 &gt; OFFSET(Scenarios!$A$48,0,$C$1), U$88*(1+V$236), V$87*OFFSET(Scenarios!$A$48,0,$C$1)/2), U$88*(1+V$236))</f>
        <v>375.76401253538552</v>
      </c>
      <c r="W88" s="173">
        <f ca="1">IF(OFFSET(Scenarios!$A$47,0,$C$1)="Yes", IF(2*V$88*(1+W$236)/W$87 &gt; OFFSET(Scenarios!$A$48,0,$C$1), V$88*(1+W$236), W$87*OFFSET(Scenarios!$A$48,0,$C$1)/2), V$88*(1+W$236))</f>
        <v>389.02848217788454</v>
      </c>
      <c r="X88" s="173">
        <f ca="1">IF(OFFSET(Scenarios!$A$47,0,$C$1)="Yes", IF(2*W$88*(1+X$236)/X$87 &gt; OFFSET(Scenarios!$A$48,0,$C$1), W$88*(1+X$236), X$87*OFFSET(Scenarios!$A$48,0,$C$1)/2), W$88*(1+X$236))</f>
        <v>402.76118759876374</v>
      </c>
    </row>
    <row r="89" spans="1:24" x14ac:dyDescent="0.2">
      <c r="A89" s="225" t="s">
        <v>896</v>
      </c>
      <c r="B89" s="233"/>
      <c r="C89" s="69"/>
      <c r="D89" s="178">
        <f>Data!C$223</f>
        <v>255.7</v>
      </c>
      <c r="E89" s="178">
        <f>Data!D$223</f>
        <v>264.37</v>
      </c>
      <c r="F89" s="178">
        <f>Data!E$223</f>
        <v>273.63</v>
      </c>
      <c r="G89" s="178">
        <f>Data!F$223</f>
        <v>280.62</v>
      </c>
      <c r="H89" s="178">
        <f>Data!G$223</f>
        <v>294.08</v>
      </c>
      <c r="I89" s="178">
        <f>Data!H$223</f>
        <v>302.39999999999998</v>
      </c>
      <c r="J89" s="294">
        <f ca="1">IF(OR($F$1="Yes",$O$1="Yes"),OFFSET('Forecast Adjuster'!$A$54,0,J$278),Data!I$223)</f>
        <v>310.31</v>
      </c>
      <c r="K89" s="294">
        <f ca="1">IF(OR($F$1="Yes",$O$1="Yes"),OFFSET('Forecast Adjuster'!$A$54,0,K$278),Data!J$223)</f>
        <v>315.74</v>
      </c>
      <c r="L89" s="294">
        <f ca="1">IF(OR($F$1="Yes",$O$1="Yes"),OFFSET('Forecast Adjuster'!$A$54,0,L$278),Data!K$223)</f>
        <v>323.01</v>
      </c>
      <c r="M89" s="294">
        <f ca="1">IF(OR($F$1="Yes",$O$1="Yes"),OFFSET('Forecast Adjuster'!$A$54,0,M$278),Data!L$223)</f>
        <v>329.74</v>
      </c>
      <c r="N89" s="294">
        <f ca="1">IF(OR($F$1="Yes",$O$1="Yes"),OFFSET('Forecast Adjuster'!$A$54,0,N$278),Data!M$223)</f>
        <v>337.46</v>
      </c>
      <c r="O89" s="358">
        <f ca="1">IF(AND(OFFSET(Scenarios!$A$26,0,$C$1)="Yes",O$4&lt;=OFFSET(Scenarios!$A$28,0,$C$1)),IF(52*O$88&gt;(OFFSET(Scenarios!$A$80,0,$C$1)*(1-OFFSET(Scenarios!$A$83,0,$C$1))+OFFSET(Scenarios!$A$79,0,$C$1)*(OFFSET(Scenarios!$A$83,0,$C$1)-OFFSET(Scenarios!$A$82,0,$C$1))+OFFSET(Scenarios!$A$78,0,$C$1)*(OFFSET(Scenarios!$A$82,0,$C$1)-OFFSET(Scenarios!$A$81,0,$C$1))),(52*O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O$88&gt;(OFFSET(Scenarios!$A$79,0,$C$1)*(1-OFFSET(Scenarios!$A$82,0,$C$1))+OFFSET(Scenarios!$A$78,0,$C$1)*(OFFSET(Scenarios!$A$82,0,$C$1)-OFFSET(Scenarios!$A$81,0,$C$1))),(52*O$88-OFFSET(Scenarios!$A$79,0,$C$1)*OFFSET(Scenarios!$A$83,0,$C$1)+OFFSET(Scenarios!$A$79,0,$C$1)*OFFSET(Scenarios!$A$82,0,$C$1)-OFFSET(Scenarios!$A$78,0,$C$1)*(OFFSET(Scenarios!$A$82,0,$C$1)-OFFSET(Scenarios!$A$81,0,$C$1)))/(1-OFFSET(Scenarios!$A$83,0,$C$1)),IF(52*O$88&gt;(OFFSET(Scenarios!$A$78,0,$C$1)*(1-OFFSET(Scenarios!$A$81,0,$C$1))),(52*O$88-OFFSET(Scenarios!$A$78,0,$C$1)*OFFSET(Scenarios!$A$82,0,$C$1)+OFFSET(Scenarios!$A$78,0,$C$1)*OFFSET(Scenarios!$A$81,0,$C$1))/(1-OFFSET(Scenarios!$A$82,0,$C$1)),IF(52*O$88&gt;0,52*O$88/(1-OFFSET(Scenarios!$A$81,0,$C$1)),0))))/52,N$89*O$88/N$88)</f>
        <v>344.83128693753497</v>
      </c>
      <c r="P89" s="358">
        <f ca="1">IF(AND(OFFSET(Scenarios!$A$26,0,$C$1)="Yes",P$4&lt;=OFFSET(Scenarios!$A$28,0,$C$1)),IF(52*P$88&gt;(OFFSET(Scenarios!$A$80,0,$C$1)*(1-OFFSET(Scenarios!$A$83,0,$C$1))+OFFSET(Scenarios!$A$79,0,$C$1)*(OFFSET(Scenarios!$A$83,0,$C$1)-OFFSET(Scenarios!$A$82,0,$C$1))+OFFSET(Scenarios!$A$78,0,$C$1)*(OFFSET(Scenarios!$A$82,0,$C$1)-OFFSET(Scenarios!$A$81,0,$C$1))),(52*P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P$88&gt;(OFFSET(Scenarios!$A$79,0,$C$1)*(1-OFFSET(Scenarios!$A$82,0,$C$1))+OFFSET(Scenarios!$A$78,0,$C$1)*(OFFSET(Scenarios!$A$82,0,$C$1)-OFFSET(Scenarios!$A$81,0,$C$1))),(52*P$88-OFFSET(Scenarios!$A$79,0,$C$1)*OFFSET(Scenarios!$A$83,0,$C$1)+OFFSET(Scenarios!$A$79,0,$C$1)*OFFSET(Scenarios!$A$82,0,$C$1)-OFFSET(Scenarios!$A$78,0,$C$1)*(OFFSET(Scenarios!$A$82,0,$C$1)-OFFSET(Scenarios!$A$81,0,$C$1)))/(1-OFFSET(Scenarios!$A$83,0,$C$1)),IF(52*P$88&gt;(OFFSET(Scenarios!$A$78,0,$C$1)*(1-OFFSET(Scenarios!$A$81,0,$C$1))),(52*P$88-OFFSET(Scenarios!$A$78,0,$C$1)*OFFSET(Scenarios!$A$82,0,$C$1)+OFFSET(Scenarios!$A$78,0,$C$1)*OFFSET(Scenarios!$A$81,0,$C$1))/(1-OFFSET(Scenarios!$A$82,0,$C$1)),IF(52*P$88&gt;0,52*P$88/(1-OFFSET(Scenarios!$A$81,0,$C$1)),0))))/52,O$89*P$88/O$88)</f>
        <v>352.26541963817306</v>
      </c>
      <c r="Q89" s="358">
        <f ca="1">IF(AND(OFFSET(Scenarios!$A$26,0,$C$1)="Yes",Q$4&lt;=OFFSET(Scenarios!$A$28,0,$C$1)),IF(52*Q$88&gt;(OFFSET(Scenarios!$A$80,0,$C$1)*(1-OFFSET(Scenarios!$A$83,0,$C$1))+OFFSET(Scenarios!$A$79,0,$C$1)*(OFFSET(Scenarios!$A$83,0,$C$1)-OFFSET(Scenarios!$A$82,0,$C$1))+OFFSET(Scenarios!$A$78,0,$C$1)*(OFFSET(Scenarios!$A$82,0,$C$1)-OFFSET(Scenarios!$A$81,0,$C$1))),(52*Q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Q$88&gt;(OFFSET(Scenarios!$A$79,0,$C$1)*(1-OFFSET(Scenarios!$A$82,0,$C$1))+OFFSET(Scenarios!$A$78,0,$C$1)*(OFFSET(Scenarios!$A$82,0,$C$1)-OFFSET(Scenarios!$A$81,0,$C$1))),(52*Q$88-OFFSET(Scenarios!$A$79,0,$C$1)*OFFSET(Scenarios!$A$83,0,$C$1)+OFFSET(Scenarios!$A$79,0,$C$1)*OFFSET(Scenarios!$A$82,0,$C$1)-OFFSET(Scenarios!$A$78,0,$C$1)*(OFFSET(Scenarios!$A$82,0,$C$1)-OFFSET(Scenarios!$A$81,0,$C$1)))/(1-OFFSET(Scenarios!$A$83,0,$C$1)),IF(52*Q$88&gt;(OFFSET(Scenarios!$A$78,0,$C$1)*(1-OFFSET(Scenarios!$A$81,0,$C$1))),(52*Q$88-OFFSET(Scenarios!$A$78,0,$C$1)*OFFSET(Scenarios!$A$82,0,$C$1)+OFFSET(Scenarios!$A$78,0,$C$1)*OFFSET(Scenarios!$A$81,0,$C$1))/(1-OFFSET(Scenarios!$A$82,0,$C$1)),IF(52*Q$88&gt;0,52*Q$88/(1-OFFSET(Scenarios!$A$81,0,$C$1)),0))))/52,P$89*Q$88/P$88)</f>
        <v>363.64015468566618</v>
      </c>
      <c r="R89" s="358">
        <f ca="1">IF(AND(OFFSET(Scenarios!$A$26,0,$C$1)="Yes",R$4&lt;=OFFSET(Scenarios!$A$28,0,$C$1)),IF(52*R$88&gt;(OFFSET(Scenarios!$A$80,0,$C$1)*(1-OFFSET(Scenarios!$A$83,0,$C$1))+OFFSET(Scenarios!$A$79,0,$C$1)*(OFFSET(Scenarios!$A$83,0,$C$1)-OFFSET(Scenarios!$A$82,0,$C$1))+OFFSET(Scenarios!$A$78,0,$C$1)*(OFFSET(Scenarios!$A$82,0,$C$1)-OFFSET(Scenarios!$A$81,0,$C$1))),(52*R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R$88&gt;(OFFSET(Scenarios!$A$79,0,$C$1)*(1-OFFSET(Scenarios!$A$82,0,$C$1))+OFFSET(Scenarios!$A$78,0,$C$1)*(OFFSET(Scenarios!$A$82,0,$C$1)-OFFSET(Scenarios!$A$81,0,$C$1))),(52*R$88-OFFSET(Scenarios!$A$79,0,$C$1)*OFFSET(Scenarios!$A$83,0,$C$1)+OFFSET(Scenarios!$A$79,0,$C$1)*OFFSET(Scenarios!$A$82,0,$C$1)-OFFSET(Scenarios!$A$78,0,$C$1)*(OFFSET(Scenarios!$A$82,0,$C$1)-OFFSET(Scenarios!$A$81,0,$C$1)))/(1-OFFSET(Scenarios!$A$83,0,$C$1)),IF(52*R$88&gt;(OFFSET(Scenarios!$A$78,0,$C$1)*(1-OFFSET(Scenarios!$A$81,0,$C$1))),(52*R$88-OFFSET(Scenarios!$A$78,0,$C$1)*OFFSET(Scenarios!$A$82,0,$C$1)+OFFSET(Scenarios!$A$78,0,$C$1)*OFFSET(Scenarios!$A$81,0,$C$1))/(1-OFFSET(Scenarios!$A$82,0,$C$1)),IF(52*R$88&gt;0,52*R$88/(1-OFFSET(Scenarios!$A$81,0,$C$1)),0))))/52,Q$89*R$88/Q$88)</f>
        <v>375.41641788033598</v>
      </c>
      <c r="S89" s="358">
        <f ca="1">IF(AND(OFFSET(Scenarios!$A$26,0,$C$1)="Yes",S$4&lt;=OFFSET(Scenarios!$A$28,0,$C$1)),IF(52*S$88&gt;(OFFSET(Scenarios!$A$80,0,$C$1)*(1-OFFSET(Scenarios!$A$83,0,$C$1))+OFFSET(Scenarios!$A$79,0,$C$1)*(OFFSET(Scenarios!$A$83,0,$C$1)-OFFSET(Scenarios!$A$82,0,$C$1))+OFFSET(Scenarios!$A$78,0,$C$1)*(OFFSET(Scenarios!$A$82,0,$C$1)-OFFSET(Scenarios!$A$81,0,$C$1))),(52*S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S$88&gt;(OFFSET(Scenarios!$A$79,0,$C$1)*(1-OFFSET(Scenarios!$A$82,0,$C$1))+OFFSET(Scenarios!$A$78,0,$C$1)*(OFFSET(Scenarios!$A$82,0,$C$1)-OFFSET(Scenarios!$A$81,0,$C$1))),(52*S$88-OFFSET(Scenarios!$A$79,0,$C$1)*OFFSET(Scenarios!$A$83,0,$C$1)+OFFSET(Scenarios!$A$79,0,$C$1)*OFFSET(Scenarios!$A$82,0,$C$1)-OFFSET(Scenarios!$A$78,0,$C$1)*(OFFSET(Scenarios!$A$82,0,$C$1)-OFFSET(Scenarios!$A$81,0,$C$1)))/(1-OFFSET(Scenarios!$A$83,0,$C$1)),IF(52*S$88&gt;(OFFSET(Scenarios!$A$78,0,$C$1)*(1-OFFSET(Scenarios!$A$81,0,$C$1))),(52*S$88-OFFSET(Scenarios!$A$78,0,$C$1)*OFFSET(Scenarios!$A$82,0,$C$1)+OFFSET(Scenarios!$A$78,0,$C$1)*OFFSET(Scenarios!$A$81,0,$C$1))/(1-OFFSET(Scenarios!$A$82,0,$C$1)),IF(52*S$88&gt;0,52*S$88/(1-OFFSET(Scenarios!$A$81,0,$C$1)),0))))/52,R$89*S$88/R$88)</f>
        <v>387.60838316577758</v>
      </c>
      <c r="T89" s="358">
        <f ca="1">IF(AND(OFFSET(Scenarios!$A$26,0,$C$1)="Yes",T$4&lt;=OFFSET(Scenarios!$A$28,0,$C$1)),IF(52*T$88&gt;(OFFSET(Scenarios!$A$80,0,$C$1)*(1-OFFSET(Scenarios!$A$83,0,$C$1))+OFFSET(Scenarios!$A$79,0,$C$1)*(OFFSET(Scenarios!$A$83,0,$C$1)-OFFSET(Scenarios!$A$82,0,$C$1))+OFFSET(Scenarios!$A$78,0,$C$1)*(OFFSET(Scenarios!$A$82,0,$C$1)-OFFSET(Scenarios!$A$81,0,$C$1))),(52*T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T$88&gt;(OFFSET(Scenarios!$A$79,0,$C$1)*(1-OFFSET(Scenarios!$A$82,0,$C$1))+OFFSET(Scenarios!$A$78,0,$C$1)*(OFFSET(Scenarios!$A$82,0,$C$1)-OFFSET(Scenarios!$A$81,0,$C$1))),(52*T$88-OFFSET(Scenarios!$A$79,0,$C$1)*OFFSET(Scenarios!$A$83,0,$C$1)+OFFSET(Scenarios!$A$79,0,$C$1)*OFFSET(Scenarios!$A$82,0,$C$1)-OFFSET(Scenarios!$A$78,0,$C$1)*(OFFSET(Scenarios!$A$82,0,$C$1)-OFFSET(Scenarios!$A$81,0,$C$1)))/(1-OFFSET(Scenarios!$A$83,0,$C$1)),IF(52*T$88&gt;(OFFSET(Scenarios!$A$78,0,$C$1)*(1-OFFSET(Scenarios!$A$81,0,$C$1))),(52*T$88-OFFSET(Scenarios!$A$78,0,$C$1)*OFFSET(Scenarios!$A$82,0,$C$1)+OFFSET(Scenarios!$A$78,0,$C$1)*OFFSET(Scenarios!$A$81,0,$C$1))/(1-OFFSET(Scenarios!$A$82,0,$C$1)),IF(52*T$88&gt;0,52*T$88/(1-OFFSET(Scenarios!$A$81,0,$C$1)),0))))/52,S$89*T$88/S$88)</f>
        <v>401.29095909152949</v>
      </c>
      <c r="U89" s="358">
        <f ca="1">IF(AND(OFFSET(Scenarios!$A$26,0,$C$1)="Yes",U$4&lt;=OFFSET(Scenarios!$A$28,0,$C$1)),IF(52*U$88&gt;(OFFSET(Scenarios!$A$80,0,$C$1)*(1-OFFSET(Scenarios!$A$83,0,$C$1))+OFFSET(Scenarios!$A$79,0,$C$1)*(OFFSET(Scenarios!$A$83,0,$C$1)-OFFSET(Scenarios!$A$82,0,$C$1))+OFFSET(Scenarios!$A$78,0,$C$1)*(OFFSET(Scenarios!$A$82,0,$C$1)-OFFSET(Scenarios!$A$81,0,$C$1))),(52*U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U$88&gt;(OFFSET(Scenarios!$A$79,0,$C$1)*(1-OFFSET(Scenarios!$A$82,0,$C$1))+OFFSET(Scenarios!$A$78,0,$C$1)*(OFFSET(Scenarios!$A$82,0,$C$1)-OFFSET(Scenarios!$A$81,0,$C$1))),(52*U$88-OFFSET(Scenarios!$A$79,0,$C$1)*OFFSET(Scenarios!$A$83,0,$C$1)+OFFSET(Scenarios!$A$79,0,$C$1)*OFFSET(Scenarios!$A$82,0,$C$1)-OFFSET(Scenarios!$A$78,0,$C$1)*(OFFSET(Scenarios!$A$82,0,$C$1)-OFFSET(Scenarios!$A$81,0,$C$1)))/(1-OFFSET(Scenarios!$A$83,0,$C$1)),IF(52*U$88&gt;(OFFSET(Scenarios!$A$78,0,$C$1)*(1-OFFSET(Scenarios!$A$81,0,$C$1))),(52*U$88-OFFSET(Scenarios!$A$78,0,$C$1)*OFFSET(Scenarios!$A$82,0,$C$1)+OFFSET(Scenarios!$A$78,0,$C$1)*OFFSET(Scenarios!$A$81,0,$C$1))/(1-OFFSET(Scenarios!$A$82,0,$C$1)),IF(52*U$88&gt;0,52*U$88/(1-OFFSET(Scenarios!$A$81,0,$C$1)),0))))/52,T$89*U$88/T$88)</f>
        <v>415.45652994746052</v>
      </c>
      <c r="V89" s="358">
        <f ca="1">IF(AND(OFFSET(Scenarios!$A$26,0,$C$1)="Yes",V$4&lt;=OFFSET(Scenarios!$A$28,0,$C$1)),IF(52*V$88&gt;(OFFSET(Scenarios!$A$80,0,$C$1)*(1-OFFSET(Scenarios!$A$83,0,$C$1))+OFFSET(Scenarios!$A$79,0,$C$1)*(OFFSET(Scenarios!$A$83,0,$C$1)-OFFSET(Scenarios!$A$82,0,$C$1))+OFFSET(Scenarios!$A$78,0,$C$1)*(OFFSET(Scenarios!$A$82,0,$C$1)-OFFSET(Scenarios!$A$81,0,$C$1))),(52*V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V$88&gt;(OFFSET(Scenarios!$A$79,0,$C$1)*(1-OFFSET(Scenarios!$A$82,0,$C$1))+OFFSET(Scenarios!$A$78,0,$C$1)*(OFFSET(Scenarios!$A$82,0,$C$1)-OFFSET(Scenarios!$A$81,0,$C$1))),(52*V$88-OFFSET(Scenarios!$A$79,0,$C$1)*OFFSET(Scenarios!$A$83,0,$C$1)+OFFSET(Scenarios!$A$79,0,$C$1)*OFFSET(Scenarios!$A$82,0,$C$1)-OFFSET(Scenarios!$A$78,0,$C$1)*(OFFSET(Scenarios!$A$82,0,$C$1)-OFFSET(Scenarios!$A$81,0,$C$1)))/(1-OFFSET(Scenarios!$A$83,0,$C$1)),IF(52*V$88&gt;(OFFSET(Scenarios!$A$78,0,$C$1)*(1-OFFSET(Scenarios!$A$81,0,$C$1))),(52*V$88-OFFSET(Scenarios!$A$78,0,$C$1)*OFFSET(Scenarios!$A$82,0,$C$1)+OFFSET(Scenarios!$A$78,0,$C$1)*OFFSET(Scenarios!$A$81,0,$C$1))/(1-OFFSET(Scenarios!$A$82,0,$C$1)),IF(52*V$88&gt;0,52*V$88/(1-OFFSET(Scenarios!$A$81,0,$C$1)),0))))/52,U$89*V$88/U$88)</f>
        <v>430.12214545460586</v>
      </c>
      <c r="W89" s="358">
        <f ca="1">IF(AND(OFFSET(Scenarios!$A$26,0,$C$1)="Yes",W$4&lt;=OFFSET(Scenarios!$A$28,0,$C$1)),IF(52*W$88&gt;(OFFSET(Scenarios!$A$80,0,$C$1)*(1-OFFSET(Scenarios!$A$83,0,$C$1))+OFFSET(Scenarios!$A$79,0,$C$1)*(OFFSET(Scenarios!$A$83,0,$C$1)-OFFSET(Scenarios!$A$82,0,$C$1))+OFFSET(Scenarios!$A$78,0,$C$1)*(OFFSET(Scenarios!$A$82,0,$C$1)-OFFSET(Scenarios!$A$81,0,$C$1))),(52*W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W$88&gt;(OFFSET(Scenarios!$A$79,0,$C$1)*(1-OFFSET(Scenarios!$A$82,0,$C$1))+OFFSET(Scenarios!$A$78,0,$C$1)*(OFFSET(Scenarios!$A$82,0,$C$1)-OFFSET(Scenarios!$A$81,0,$C$1))),(52*W$88-OFFSET(Scenarios!$A$79,0,$C$1)*OFFSET(Scenarios!$A$83,0,$C$1)+OFFSET(Scenarios!$A$79,0,$C$1)*OFFSET(Scenarios!$A$82,0,$C$1)-OFFSET(Scenarios!$A$78,0,$C$1)*(OFFSET(Scenarios!$A$82,0,$C$1)-OFFSET(Scenarios!$A$81,0,$C$1)))/(1-OFFSET(Scenarios!$A$83,0,$C$1)),IF(52*W$88&gt;(OFFSET(Scenarios!$A$78,0,$C$1)*(1-OFFSET(Scenarios!$A$81,0,$C$1))),(52*W$88-OFFSET(Scenarios!$A$78,0,$C$1)*OFFSET(Scenarios!$A$82,0,$C$1)+OFFSET(Scenarios!$A$78,0,$C$1)*OFFSET(Scenarios!$A$81,0,$C$1))/(1-OFFSET(Scenarios!$A$82,0,$C$1)),IF(52*W$88&gt;0,52*W$88/(1-OFFSET(Scenarios!$A$81,0,$C$1)),0))))/52,V$89*W$88/V$88)</f>
        <v>445.30545718915334</v>
      </c>
      <c r="X89" s="358">
        <f ca="1">IF(AND(OFFSET(Scenarios!$A$26,0,$C$1)="Yes",X$4&lt;=OFFSET(Scenarios!$A$28,0,$C$1)),IF(52*X$88&gt;(OFFSET(Scenarios!$A$80,0,$C$1)*(1-OFFSET(Scenarios!$A$83,0,$C$1))+OFFSET(Scenarios!$A$79,0,$C$1)*(OFFSET(Scenarios!$A$83,0,$C$1)-OFFSET(Scenarios!$A$82,0,$C$1))+OFFSET(Scenarios!$A$78,0,$C$1)*(OFFSET(Scenarios!$A$82,0,$C$1)-OFFSET(Scenarios!$A$81,0,$C$1))),(52*X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X$88&gt;(OFFSET(Scenarios!$A$79,0,$C$1)*(1-OFFSET(Scenarios!$A$82,0,$C$1))+OFFSET(Scenarios!$A$78,0,$C$1)*(OFFSET(Scenarios!$A$82,0,$C$1)-OFFSET(Scenarios!$A$81,0,$C$1))),(52*X$88-OFFSET(Scenarios!$A$79,0,$C$1)*OFFSET(Scenarios!$A$83,0,$C$1)+OFFSET(Scenarios!$A$79,0,$C$1)*OFFSET(Scenarios!$A$82,0,$C$1)-OFFSET(Scenarios!$A$78,0,$C$1)*(OFFSET(Scenarios!$A$82,0,$C$1)-OFFSET(Scenarios!$A$81,0,$C$1)))/(1-OFFSET(Scenarios!$A$83,0,$C$1)),IF(52*X$88&gt;(OFFSET(Scenarios!$A$78,0,$C$1)*(1-OFFSET(Scenarios!$A$81,0,$C$1))),(52*X$88-OFFSET(Scenarios!$A$78,0,$C$1)*OFFSET(Scenarios!$A$82,0,$C$1)+OFFSET(Scenarios!$A$78,0,$C$1)*OFFSET(Scenarios!$A$81,0,$C$1))/(1-OFFSET(Scenarios!$A$82,0,$C$1)),IF(52*X$88&gt;0,52*X$88/(1-OFFSET(Scenarios!$A$81,0,$C$1)),0))))/52,W$89*X$88/W$88)</f>
        <v>461.02473982793032</v>
      </c>
    </row>
    <row r="90" spans="1:24" x14ac:dyDescent="0.2">
      <c r="A90" s="225" t="s">
        <v>888</v>
      </c>
      <c r="B90" s="233"/>
      <c r="C90" s="69"/>
      <c r="D90" s="69">
        <f>Data!C$224</f>
        <v>5.5419999999999998</v>
      </c>
      <c r="E90" s="69">
        <f>Data!D$224</f>
        <v>5.9660000000000002</v>
      </c>
      <c r="F90" s="69">
        <f>Data!E$224</f>
        <v>6.4550000000000001</v>
      </c>
      <c r="G90" s="69">
        <f>Data!F$224</f>
        <v>6.9630000000000001</v>
      </c>
      <c r="H90" s="69">
        <f>Data!G$224</f>
        <v>7.5609999999999999</v>
      </c>
      <c r="I90" s="69">
        <f>Data!H$224</f>
        <v>8.2379999999999995</v>
      </c>
      <c r="J90" s="125">
        <f ca="1">Data!I$224 + IF($I$1="Yes",OFFSET('Forecast Adjuster'!$A$14,0,J$278)/1000,0)</f>
        <v>8.7669999999999995</v>
      </c>
      <c r="K90" s="125">
        <f ca="1">Data!J$224 + IF($I$1="Yes",OFFSET('Forecast Adjuster'!$A$14,0,K$278)/1000,0)</f>
        <v>9.2710000000000008</v>
      </c>
      <c r="L90" s="125">
        <f ca="1">Data!K$224 + IF($I$1="Yes",OFFSET('Forecast Adjuster'!$A$14,0,L$278)/1000,0)</f>
        <v>9.734</v>
      </c>
      <c r="M90" s="125">
        <f ca="1">Data!L$224 + IF($I$1="Yes",OFFSET('Forecast Adjuster'!$A$14,0,M$278)/1000,0)</f>
        <v>10.279</v>
      </c>
      <c r="N90" s="125">
        <f ca="1">Data!M$224 + IF($I$1="Yes",OFFSET('Forecast Adjuster'!$A$14,0,N$278)/1000,0)</f>
        <v>10.789</v>
      </c>
      <c r="O90" s="73">
        <f ca="1">N$90*(1+Popn!O$199)*(3*N$88/M$88+O$88/N$88)/4</f>
        <v>11.368000563463861</v>
      </c>
      <c r="P90" s="73">
        <f ca="1">O$90*(1+Popn!P$199)*(3*O$88/N$88+P$88/O$88)/4</f>
        <v>11.972304878972773</v>
      </c>
      <c r="Q90" s="73">
        <f ca="1">P$90*(1+Popn!Q$199)*(3*P$88/O$88+Q$88/P$88)/4</f>
        <v>12.640068082070743</v>
      </c>
      <c r="R90" s="73">
        <f ca="1">Q$90*(1+Popn!R$199)*(3*Q$88/P$88+R$88/Q$88)/4</f>
        <v>13.455459046715648</v>
      </c>
      <c r="S90" s="73">
        <f ca="1">R$90*(1+Popn!S$199)*(3*R$88/Q$88+S$88/R$88)/4</f>
        <v>14.319654330504111</v>
      </c>
      <c r="T90" s="73">
        <f ca="1">S$90*(1+Popn!T$199)*(3*S$88/R$88+T$88/S$88)/4</f>
        <v>15.245726170505197</v>
      </c>
      <c r="U90" s="73">
        <f ca="1">T$90*(1+Popn!U$199)*(3*T$88/S$88+U$88/T$88)/4</f>
        <v>16.307956151540495</v>
      </c>
      <c r="V90" s="73">
        <f ca="1">U$90*(1+Popn!V$199)*(3*U$88/T$88+V$88/U$88)/4</f>
        <v>17.428974858716426</v>
      </c>
      <c r="W90" s="73">
        <f ca="1">V$90*(1+Popn!W$199)*(3*V$88/U$88+W$88/V$88)/4</f>
        <v>18.64042920278176</v>
      </c>
      <c r="X90" s="73">
        <f ca="1">W$90*(1+Popn!X$199)*(3*W$88/V$88+X$88/W$88)/4</f>
        <v>19.921681133814275</v>
      </c>
    </row>
    <row r="91" spans="1:24" x14ac:dyDescent="0.2">
      <c r="A91" s="108" t="s">
        <v>643</v>
      </c>
      <c r="B91" s="36"/>
      <c r="C91" s="69"/>
      <c r="D91" s="69">
        <f>SUM(SUM(Popn!D$7:D$11)*Tracks!$C$33,SUM(Popn!D$101:D$105)*Tracks!$B$33,SUM(Popn!D$12:D$16)*Tracks!$C$34,SUM(Popn!D$106:D$110)*Tracks!$B$34,SUM(Popn!D$17:D$21)*Tracks!$C$35,SUM(Popn!D$111:D$115)*Tracks!$B$35,SUM(Popn!D$22:D$26)*Tracks!$C$36,SUM(Popn!D$116:D$120)*Tracks!$B$36,SUM(Popn!D$27:D$36)*Tracks!$C$37,SUM(Popn!D$121:D$130)*Tracks!$B$37,SUM(Popn!D$37:D$46)*Tracks!$C$38,SUM(Popn!D$131:D$140)*Tracks!$B$38,SUM(Popn!D$47:D$56)*Tracks!$C$39,SUM(Popn!D$141:D$150)*Tracks!$B$39,SUM(Popn!D$57:D$66)*Tracks!$C$40,SUM(Popn!D$151:D$160)*Tracks!$B$40,SUM(Popn!D$67:D$71)*Tracks!$C$41,SUM(Popn!D$161:D$165)*Tracks!$B$41,SUM(Popn!D$72:D$97)*Tracks!$C$42,SUM(Popn!D$166:D$191)*Tracks!$B$42)/1000000000</f>
        <v>4.6001840191481467</v>
      </c>
      <c r="E91" s="69">
        <f>SUM(SUM(Popn!E$7:E$11)*Tracks!$C$33,SUM(Popn!E$101:E$105)*Tracks!$B$33,SUM(Popn!E$12:E$16)*Tracks!$C$34,SUM(Popn!E$106:E$110)*Tracks!$B$34,SUM(Popn!E$17:E$21)*Tracks!$C$35,SUM(Popn!E$111:E$115)*Tracks!$B$35,SUM(Popn!E$22:E$26)*Tracks!$C$36,SUM(Popn!E$116:E$120)*Tracks!$B$36,SUM(Popn!E$27:E$36)*Tracks!$C$37,SUM(Popn!E$121:E$130)*Tracks!$B$37,SUM(Popn!E$37:E$46)*Tracks!$C$38,SUM(Popn!E$131:E$140)*Tracks!$B$38,SUM(Popn!E$47:E$56)*Tracks!$C$39,SUM(Popn!E$141:E$150)*Tracks!$B$39,SUM(Popn!E$57:E$66)*Tracks!$C$40,SUM(Popn!E$151:E$160)*Tracks!$B$40,SUM(Popn!E$67:E$71)*Tracks!$C$41,SUM(Popn!E$161:E$165)*Tracks!$B$41,SUM(Popn!E$72:E$97)*Tracks!$C$42,SUM(Popn!E$166:E$191)*Tracks!$B$42)/1000000000</f>
        <v>4.6561307828092415</v>
      </c>
      <c r="F91" s="69">
        <f>SUM(SUM(Popn!F$7:F$11)*Tracks!$C$33,SUM(Popn!F$101:F$105)*Tracks!$B$33,SUM(Popn!F$12:F$16)*Tracks!$C$34,SUM(Popn!F$106:F$110)*Tracks!$B$34,SUM(Popn!F$17:F$21)*Tracks!$C$35,SUM(Popn!F$111:F$115)*Tracks!$B$35,SUM(Popn!F$22:F$26)*Tracks!$C$36,SUM(Popn!F$116:F$120)*Tracks!$B$36,SUM(Popn!F$27:F$36)*Tracks!$C$37,SUM(Popn!F$121:F$130)*Tracks!$B$37,SUM(Popn!F$37:F$46)*Tracks!$C$38,SUM(Popn!F$131:F$140)*Tracks!$B$38,SUM(Popn!F$47:F$56)*Tracks!$C$39,SUM(Popn!F$141:F$150)*Tracks!$B$39,SUM(Popn!F$57:F$66)*Tracks!$C$40,SUM(Popn!F$151:F$160)*Tracks!$B$40,SUM(Popn!F$67:F$71)*Tracks!$C$41,SUM(Popn!F$161:F$165)*Tracks!$B$41,SUM(Popn!F$72:F$97)*Tracks!$C$42,SUM(Popn!F$166:F$191)*Tracks!$B$42)/1000000000</f>
        <v>4.716476260389455</v>
      </c>
      <c r="G91" s="69">
        <f>SUM(SUM(Popn!G$7:G$11)*Tracks!$C$33,SUM(Popn!G$101:G$105)*Tracks!$B$33,SUM(Popn!G$12:G$16)*Tracks!$C$34,SUM(Popn!G$106:G$110)*Tracks!$B$34,SUM(Popn!G$17:G$21)*Tracks!$C$35,SUM(Popn!G$111:G$115)*Tracks!$B$35,SUM(Popn!G$22:G$26)*Tracks!$C$36,SUM(Popn!G$116:G$120)*Tracks!$B$36,SUM(Popn!G$27:G$36)*Tracks!$C$37,SUM(Popn!G$121:G$130)*Tracks!$B$37,SUM(Popn!G$37:G$46)*Tracks!$C$38,SUM(Popn!G$131:G$140)*Tracks!$B$38,SUM(Popn!G$47:G$56)*Tracks!$C$39,SUM(Popn!G$141:G$150)*Tracks!$B$39,SUM(Popn!G$57:G$66)*Tracks!$C$40,SUM(Popn!G$151:G$160)*Tracks!$B$40,SUM(Popn!G$67:G$71)*Tracks!$C$41,SUM(Popn!G$161:G$165)*Tracks!$B$41,SUM(Popn!G$72:G$97)*Tracks!$C$42,SUM(Popn!G$166:G$191)*Tracks!$B$42)/1000000000</f>
        <v>4.7802665899396262</v>
      </c>
      <c r="H91" s="69">
        <f>SUM(SUM(Popn!H$7:H$11)*Tracks!$C$33,SUM(Popn!H$101:H$105)*Tracks!$B$33,SUM(Popn!H$12:H$16)*Tracks!$C$34,SUM(Popn!H$106:H$110)*Tracks!$B$34,SUM(Popn!H$17:H$21)*Tracks!$C$35,SUM(Popn!H$111:H$115)*Tracks!$B$35,SUM(Popn!H$22:H$26)*Tracks!$C$36,SUM(Popn!H$116:H$120)*Tracks!$B$36,SUM(Popn!H$27:H$36)*Tracks!$C$37,SUM(Popn!H$121:H$130)*Tracks!$B$37,SUM(Popn!H$37:H$46)*Tracks!$C$38,SUM(Popn!H$131:H$140)*Tracks!$B$38,SUM(Popn!H$47:H$56)*Tracks!$C$39,SUM(Popn!H$141:H$150)*Tracks!$B$39,SUM(Popn!H$57:H$66)*Tracks!$C$40,SUM(Popn!H$151:H$160)*Tracks!$B$40,SUM(Popn!H$67:H$71)*Tracks!$C$41,SUM(Popn!H$161:H$165)*Tracks!$B$41,SUM(Popn!H$72:H$97)*Tracks!$C$42,SUM(Popn!H$166:H$191)*Tracks!$B$42)/1000000000</f>
        <v>4.8310496030539509</v>
      </c>
      <c r="I91" s="69">
        <f>SUM(SUM(Popn!I$7:I$11)*Tracks!$C$33,SUM(Popn!I$101:I$105)*Tracks!$B$33,SUM(Popn!I$12:I$16)*Tracks!$C$34,SUM(Popn!I$106:I$110)*Tracks!$B$34,SUM(Popn!I$17:I$21)*Tracks!$C$35,SUM(Popn!I$111:I$115)*Tracks!$B$35,SUM(Popn!I$22:I$26)*Tracks!$C$36,SUM(Popn!I$116:I$120)*Tracks!$B$36,SUM(Popn!I$27:I$36)*Tracks!$C$37,SUM(Popn!I$121:I$130)*Tracks!$B$37,SUM(Popn!I$37:I$46)*Tracks!$C$38,SUM(Popn!I$131:I$140)*Tracks!$B$38,SUM(Popn!I$47:I$56)*Tracks!$C$39,SUM(Popn!I$141:I$150)*Tracks!$B$39,SUM(Popn!I$57:I$66)*Tracks!$C$40,SUM(Popn!I$151:I$160)*Tracks!$B$40,SUM(Popn!I$67:I$71)*Tracks!$C$41,SUM(Popn!I$161:I$165)*Tracks!$B$41,SUM(Popn!I$72:I$97)*Tracks!$C$42,SUM(Popn!I$166:I$191)*Tracks!$B$42)/1000000000</f>
        <v>4.8668446504595648</v>
      </c>
      <c r="J91" s="105">
        <f>SUM(SUM(Popn!J$7:J$11)*Tracks!$C$33,SUM(Popn!J$101:J$105)*Tracks!$B$33,SUM(Popn!J$12:J$16)*Tracks!$C$34,SUM(Popn!J$106:J$110)*Tracks!$B$34,SUM(Popn!J$17:J$21)*Tracks!$C$35,SUM(Popn!J$111:J$115)*Tracks!$B$35,SUM(Popn!J$22:J$26)*Tracks!$C$36,SUM(Popn!J$116:J$120)*Tracks!$B$36,SUM(Popn!J$27:J$36)*Tracks!$C$37,SUM(Popn!J$121:J$130)*Tracks!$B$37,SUM(Popn!J$37:J$46)*Tracks!$C$38,SUM(Popn!J$131:J$140)*Tracks!$B$38,SUM(Popn!J$47:J$56)*Tracks!$C$39,SUM(Popn!J$141:J$150)*Tracks!$B$39,SUM(Popn!J$57:J$66)*Tracks!$C$40,SUM(Popn!J$151:J$160)*Tracks!$B$40,SUM(Popn!J$67:J$71)*Tracks!$C$41,SUM(Popn!J$161:J$165)*Tracks!$B$41,SUM(Popn!J$72:J$97)*Tracks!$C$42,SUM(Popn!J$166:J$191)*Tracks!$B$42)/1000000000</f>
        <v>4.9054691232775296</v>
      </c>
      <c r="K91" s="105">
        <f>SUM(SUM(Popn!K$7:K$11)*Tracks!$C$33,SUM(Popn!K$101:K$105)*Tracks!$B$33,SUM(Popn!K$12:K$16)*Tracks!$C$34,SUM(Popn!K$106:K$110)*Tracks!$B$34,SUM(Popn!K$17:K$21)*Tracks!$C$35,SUM(Popn!K$111:K$115)*Tracks!$B$35,SUM(Popn!K$22:K$26)*Tracks!$C$36,SUM(Popn!K$116:K$120)*Tracks!$B$36,SUM(Popn!K$27:K$36)*Tracks!$C$37,SUM(Popn!K$121:K$130)*Tracks!$B$37,SUM(Popn!K$37:K$46)*Tracks!$C$38,SUM(Popn!K$131:K$140)*Tracks!$B$38,SUM(Popn!K$47:K$56)*Tracks!$C$39,SUM(Popn!K$141:K$150)*Tracks!$B$39,SUM(Popn!K$57:K$66)*Tracks!$C$40,SUM(Popn!K$151:K$160)*Tracks!$B$40,SUM(Popn!K$67:K$71)*Tracks!$C$41,SUM(Popn!K$161:K$165)*Tracks!$B$41,SUM(Popn!K$72:K$97)*Tracks!$C$42,SUM(Popn!K$166:K$191)*Tracks!$B$42)/1000000000</f>
        <v>4.9498798818934802</v>
      </c>
      <c r="L91" s="105">
        <f>SUM(SUM(Popn!L$7:L$11)*Tracks!$C$33,SUM(Popn!L$101:L$105)*Tracks!$B$33,SUM(Popn!L$12:L$16)*Tracks!$C$34,SUM(Popn!L$106:L$110)*Tracks!$B$34,SUM(Popn!L$17:L$21)*Tracks!$C$35,SUM(Popn!L$111:L$115)*Tracks!$B$35,SUM(Popn!L$22:L$26)*Tracks!$C$36,SUM(Popn!L$116:L$120)*Tracks!$B$36,SUM(Popn!L$27:L$36)*Tracks!$C$37,SUM(Popn!L$121:L$130)*Tracks!$B$37,SUM(Popn!L$37:L$46)*Tracks!$C$38,SUM(Popn!L$131:L$140)*Tracks!$B$38,SUM(Popn!L$47:L$56)*Tracks!$C$39,SUM(Popn!L$141:L$150)*Tracks!$B$39,SUM(Popn!L$57:L$66)*Tracks!$C$40,SUM(Popn!L$151:L$160)*Tracks!$B$40,SUM(Popn!L$67:L$71)*Tracks!$C$41,SUM(Popn!L$161:L$165)*Tracks!$B$41,SUM(Popn!L$72:L$97)*Tracks!$C$42,SUM(Popn!L$166:L$191)*Tracks!$B$42)/1000000000</f>
        <v>4.9978320781983365</v>
      </c>
      <c r="M91" s="105">
        <f>SUM(SUM(Popn!M$7:M$11)*Tracks!$C$33,SUM(Popn!M$101:M$105)*Tracks!$B$33,SUM(Popn!M$12:M$16)*Tracks!$C$34,SUM(Popn!M$106:M$110)*Tracks!$B$34,SUM(Popn!M$17:M$21)*Tracks!$C$35,SUM(Popn!M$111:M$115)*Tracks!$B$35,SUM(Popn!M$22:M$26)*Tracks!$C$36,SUM(Popn!M$116:M$120)*Tracks!$B$36,SUM(Popn!M$27:M$36)*Tracks!$C$37,SUM(Popn!M$121:M$130)*Tracks!$B$37,SUM(Popn!M$37:M$46)*Tracks!$C$38,SUM(Popn!M$131:M$140)*Tracks!$B$38,SUM(Popn!M$47:M$56)*Tracks!$C$39,SUM(Popn!M$141:M$150)*Tracks!$B$39,SUM(Popn!M$57:M$66)*Tracks!$C$40,SUM(Popn!M$151:M$160)*Tracks!$B$40,SUM(Popn!M$67:M$71)*Tracks!$C$41,SUM(Popn!M$161:M$165)*Tracks!$B$41,SUM(Popn!M$72:M$97)*Tracks!$C$42,SUM(Popn!M$166:M$191)*Tracks!$B$42)/1000000000</f>
        <v>5.0451737995606978</v>
      </c>
      <c r="N91" s="105">
        <f>SUM(SUM(Popn!N$7:N$11)*Tracks!$C$33,SUM(Popn!N$101:N$105)*Tracks!$B$33,SUM(Popn!N$12:N$16)*Tracks!$C$34,SUM(Popn!N$106:N$110)*Tracks!$B$34,SUM(Popn!N$17:N$21)*Tracks!$C$35,SUM(Popn!N$111:N$115)*Tracks!$B$35,SUM(Popn!N$22:N$26)*Tracks!$C$36,SUM(Popn!N$116:N$120)*Tracks!$B$36,SUM(Popn!N$27:N$36)*Tracks!$C$37,SUM(Popn!N$121:N$130)*Tracks!$B$37,SUM(Popn!N$37:N$46)*Tracks!$C$38,SUM(Popn!N$131:N$140)*Tracks!$B$38,SUM(Popn!N$47:N$56)*Tracks!$C$39,SUM(Popn!N$141:N$150)*Tracks!$B$39,SUM(Popn!N$57:N$66)*Tracks!$C$40,SUM(Popn!N$151:N$160)*Tracks!$B$40,SUM(Popn!N$67:N$71)*Tracks!$C$41,SUM(Popn!N$161:N$165)*Tracks!$B$41,SUM(Popn!N$72:N$97)*Tracks!$C$42,SUM(Popn!N$166:N$191)*Tracks!$B$42)/1000000000</f>
        <v>5.0907578039356975</v>
      </c>
      <c r="O91" s="73">
        <f>SUM(SUM(Popn!O$7:O$11)*Tracks!$C$33,SUM(Popn!O$101:O$105)*Tracks!$B$33,SUM(Popn!O$12:O$16)*Tracks!$C$34,SUM(Popn!O$106:O$110)*Tracks!$B$34,SUM(Popn!O$17:O$21)*Tracks!$C$35,SUM(Popn!O$111:O$115)*Tracks!$B$35,SUM(Popn!O$22:O$26)*Tracks!$C$36,SUM(Popn!O$116:O$120)*Tracks!$B$36,SUM(Popn!O$27:O$36)*Tracks!$C$37,SUM(Popn!O$121:O$130)*Tracks!$B$37,SUM(Popn!O$37:O$46)*Tracks!$C$38,SUM(Popn!O$131:O$140)*Tracks!$B$38,SUM(Popn!O$47:O$56)*Tracks!$C$39,SUM(Popn!O$141:O$150)*Tracks!$B$39,SUM(Popn!O$57:O$66)*Tracks!$C$40,SUM(Popn!O$151:O$160)*Tracks!$B$40,SUM(Popn!O$67:O$71)*Tracks!$C$41,SUM(Popn!O$161:O$165)*Tracks!$B$41,SUM(Popn!O$72:O$97)*Tracks!$C$42,SUM(Popn!O$166:O$191)*Tracks!$B$42)/1000000000</f>
        <v>5.1369136030481961</v>
      </c>
      <c r="P91" s="73">
        <f>SUM(SUM(Popn!P$7:P$11)*Tracks!$C$33,SUM(Popn!P$101:P$105)*Tracks!$B$33,SUM(Popn!P$12:P$16)*Tracks!$C$34,SUM(Popn!P$106:P$110)*Tracks!$B$34,SUM(Popn!P$17:P$21)*Tracks!$C$35,SUM(Popn!P$111:P$115)*Tracks!$B$35,SUM(Popn!P$22:P$26)*Tracks!$C$36,SUM(Popn!P$116:P$120)*Tracks!$B$36,SUM(Popn!P$27:P$36)*Tracks!$C$37,SUM(Popn!P$121:P$130)*Tracks!$B$37,SUM(Popn!P$37:P$46)*Tracks!$C$38,SUM(Popn!P$131:P$140)*Tracks!$B$38,SUM(Popn!P$47:P$56)*Tracks!$C$39,SUM(Popn!P$141:P$150)*Tracks!$B$39,SUM(Popn!P$57:P$66)*Tracks!$C$40,SUM(Popn!P$151:P$160)*Tracks!$B$40,SUM(Popn!P$67:P$71)*Tracks!$C$41,SUM(Popn!P$161:P$165)*Tracks!$B$41,SUM(Popn!P$72:P$97)*Tracks!$C$42,SUM(Popn!P$166:P$191)*Tracks!$B$42)/1000000000</f>
        <v>5.1833388910048335</v>
      </c>
      <c r="Q91" s="73">
        <f>SUM(SUM(Popn!Q$7:Q$11)*Tracks!$C$33,SUM(Popn!Q$101:Q$105)*Tracks!$B$33,SUM(Popn!Q$12:Q$16)*Tracks!$C$34,SUM(Popn!Q$106:Q$110)*Tracks!$B$34,SUM(Popn!Q$17:Q$21)*Tracks!$C$35,SUM(Popn!Q$111:Q$115)*Tracks!$B$35,SUM(Popn!Q$22:Q$26)*Tracks!$C$36,SUM(Popn!Q$116:Q$120)*Tracks!$B$36,SUM(Popn!Q$27:Q$36)*Tracks!$C$37,SUM(Popn!Q$121:Q$130)*Tracks!$B$37,SUM(Popn!Q$37:Q$46)*Tracks!$C$38,SUM(Popn!Q$131:Q$140)*Tracks!$B$38,SUM(Popn!Q$47:Q$56)*Tracks!$C$39,SUM(Popn!Q$141:Q$150)*Tracks!$B$39,SUM(Popn!Q$57:Q$66)*Tracks!$C$40,SUM(Popn!Q$151:Q$160)*Tracks!$B$40,SUM(Popn!Q$67:Q$71)*Tracks!$C$41,SUM(Popn!Q$161:Q$165)*Tracks!$B$41,SUM(Popn!Q$72:Q$97)*Tracks!$C$42,SUM(Popn!Q$166:Q$191)*Tracks!$B$42)/1000000000</f>
        <v>5.2301521335989749</v>
      </c>
      <c r="R91" s="73">
        <f>SUM(SUM(Popn!R$7:R$11)*Tracks!$C$33,SUM(Popn!R$101:R$105)*Tracks!$B$33,SUM(Popn!R$12:R$16)*Tracks!$C$34,SUM(Popn!R$106:R$110)*Tracks!$B$34,SUM(Popn!R$17:R$21)*Tracks!$C$35,SUM(Popn!R$111:R$115)*Tracks!$B$35,SUM(Popn!R$22:R$26)*Tracks!$C$36,SUM(Popn!R$116:R$120)*Tracks!$B$36,SUM(Popn!R$27:R$36)*Tracks!$C$37,SUM(Popn!R$121:R$130)*Tracks!$B$37,SUM(Popn!R$37:R$46)*Tracks!$C$38,SUM(Popn!R$131:R$140)*Tracks!$B$38,SUM(Popn!R$47:R$56)*Tracks!$C$39,SUM(Popn!R$141:R$150)*Tracks!$B$39,SUM(Popn!R$57:R$66)*Tracks!$C$40,SUM(Popn!R$151:R$160)*Tracks!$B$40,SUM(Popn!R$67:R$71)*Tracks!$C$41,SUM(Popn!R$161:R$165)*Tracks!$B$41,SUM(Popn!R$72:R$97)*Tracks!$C$42,SUM(Popn!R$166:R$191)*Tracks!$B$42)/1000000000</f>
        <v>5.27643153972571</v>
      </c>
      <c r="S91" s="73">
        <f>SUM(SUM(Popn!S$7:S$11)*Tracks!$C$33,SUM(Popn!S$101:S$105)*Tracks!$B$33,SUM(Popn!S$12:S$16)*Tracks!$C$34,SUM(Popn!S$106:S$110)*Tracks!$B$34,SUM(Popn!S$17:S$21)*Tracks!$C$35,SUM(Popn!S$111:S$115)*Tracks!$B$35,SUM(Popn!S$22:S$26)*Tracks!$C$36,SUM(Popn!S$116:S$120)*Tracks!$B$36,SUM(Popn!S$27:S$36)*Tracks!$C$37,SUM(Popn!S$121:S$130)*Tracks!$B$37,SUM(Popn!S$37:S$46)*Tracks!$C$38,SUM(Popn!S$131:S$140)*Tracks!$B$38,SUM(Popn!S$47:S$56)*Tracks!$C$39,SUM(Popn!S$141:S$150)*Tracks!$B$39,SUM(Popn!S$57:S$66)*Tracks!$C$40,SUM(Popn!S$151:S$160)*Tracks!$B$40,SUM(Popn!S$67:S$71)*Tracks!$C$41,SUM(Popn!S$161:S$165)*Tracks!$B$41,SUM(Popn!S$72:S$97)*Tracks!$C$42,SUM(Popn!S$166:S$191)*Tracks!$B$42)/1000000000</f>
        <v>5.3211525649221132</v>
      </c>
      <c r="T91" s="73">
        <f>SUM(SUM(Popn!T$7:T$11)*Tracks!$C$33,SUM(Popn!T$101:T$105)*Tracks!$B$33,SUM(Popn!T$12:T$16)*Tracks!$C$34,SUM(Popn!T$106:T$110)*Tracks!$B$34,SUM(Popn!T$17:T$21)*Tracks!$C$35,SUM(Popn!T$111:T$115)*Tracks!$B$35,SUM(Popn!T$22:T$26)*Tracks!$C$36,SUM(Popn!T$116:T$120)*Tracks!$B$36,SUM(Popn!T$27:T$36)*Tracks!$C$37,SUM(Popn!T$121:T$130)*Tracks!$B$37,SUM(Popn!T$37:T$46)*Tracks!$C$38,SUM(Popn!T$131:T$140)*Tracks!$B$38,SUM(Popn!T$47:T$56)*Tracks!$C$39,SUM(Popn!T$141:T$150)*Tracks!$B$39,SUM(Popn!T$57:T$66)*Tracks!$C$40,SUM(Popn!T$151:T$160)*Tracks!$B$40,SUM(Popn!T$67:T$71)*Tracks!$C$41,SUM(Popn!T$161:T$165)*Tracks!$B$41,SUM(Popn!T$72:T$97)*Tracks!$C$42,SUM(Popn!T$166:T$191)*Tracks!$B$42)/1000000000</f>
        <v>5.3655558031420405</v>
      </c>
      <c r="U91" s="73">
        <f>SUM(SUM(Popn!U$7:U$11)*Tracks!$C$33,SUM(Popn!U$101:U$105)*Tracks!$B$33,SUM(Popn!U$12:U$16)*Tracks!$C$34,SUM(Popn!U$106:U$110)*Tracks!$B$34,SUM(Popn!U$17:U$21)*Tracks!$C$35,SUM(Popn!U$111:U$115)*Tracks!$B$35,SUM(Popn!U$22:U$26)*Tracks!$C$36,SUM(Popn!U$116:U$120)*Tracks!$B$36,SUM(Popn!U$27:U$36)*Tracks!$C$37,SUM(Popn!U$121:U$130)*Tracks!$B$37,SUM(Popn!U$37:U$46)*Tracks!$C$38,SUM(Popn!U$131:U$140)*Tracks!$B$38,SUM(Popn!U$47:U$56)*Tracks!$C$39,SUM(Popn!U$141:U$150)*Tracks!$B$39,SUM(Popn!U$57:U$66)*Tracks!$C$40,SUM(Popn!U$151:U$160)*Tracks!$B$40,SUM(Popn!U$67:U$71)*Tracks!$C$41,SUM(Popn!U$161:U$165)*Tracks!$B$41,SUM(Popn!U$72:U$97)*Tracks!$C$42,SUM(Popn!U$166:U$191)*Tracks!$B$42)/1000000000</f>
        <v>5.4062958383110615</v>
      </c>
      <c r="V91" s="73">
        <f>SUM(SUM(Popn!V$7:V$11)*Tracks!$C$33,SUM(Popn!V$101:V$105)*Tracks!$B$33,SUM(Popn!V$12:V$16)*Tracks!$C$34,SUM(Popn!V$106:V$110)*Tracks!$B$34,SUM(Popn!V$17:V$21)*Tracks!$C$35,SUM(Popn!V$111:V$115)*Tracks!$B$35,SUM(Popn!V$22:V$26)*Tracks!$C$36,SUM(Popn!V$116:V$120)*Tracks!$B$36,SUM(Popn!V$27:V$36)*Tracks!$C$37,SUM(Popn!V$121:V$130)*Tracks!$B$37,SUM(Popn!V$37:V$46)*Tracks!$C$38,SUM(Popn!V$131:V$140)*Tracks!$B$38,SUM(Popn!V$47:V$56)*Tracks!$C$39,SUM(Popn!V$141:V$150)*Tracks!$B$39,SUM(Popn!V$57:V$66)*Tracks!$C$40,SUM(Popn!V$151:V$160)*Tracks!$B$40,SUM(Popn!V$67:V$71)*Tracks!$C$41,SUM(Popn!V$161:V$165)*Tracks!$B$41,SUM(Popn!V$72:V$97)*Tracks!$C$42,SUM(Popn!V$166:V$191)*Tracks!$B$42)/1000000000</f>
        <v>5.4450980153963835</v>
      </c>
      <c r="W91" s="73">
        <f>SUM(SUM(Popn!W$7:W$11)*Tracks!$C$33,SUM(Popn!W$101:W$105)*Tracks!$B$33,SUM(Popn!W$12:W$16)*Tracks!$C$34,SUM(Popn!W$106:W$110)*Tracks!$B$34,SUM(Popn!W$17:W$21)*Tracks!$C$35,SUM(Popn!W$111:W$115)*Tracks!$B$35,SUM(Popn!W$22:W$26)*Tracks!$C$36,SUM(Popn!W$116:W$120)*Tracks!$B$36,SUM(Popn!W$27:W$36)*Tracks!$C$37,SUM(Popn!W$121:W$130)*Tracks!$B$37,SUM(Popn!W$37:W$46)*Tracks!$C$38,SUM(Popn!W$131:W$140)*Tracks!$B$38,SUM(Popn!W$47:W$56)*Tracks!$C$39,SUM(Popn!W$141:W$150)*Tracks!$B$39,SUM(Popn!W$57:W$66)*Tracks!$C$40,SUM(Popn!W$151:W$160)*Tracks!$B$40,SUM(Popn!W$67:W$71)*Tracks!$C$41,SUM(Popn!W$161:W$165)*Tracks!$B$41,SUM(Popn!W$72:W$97)*Tracks!$C$42,SUM(Popn!W$166:W$191)*Tracks!$B$42)/1000000000</f>
        <v>5.4809985389859168</v>
      </c>
      <c r="X91" s="73">
        <f>SUM(SUM(Popn!X$7:X$11)*Tracks!$C$33,SUM(Popn!X$101:X$105)*Tracks!$B$33,SUM(Popn!X$12:X$16)*Tracks!$C$34,SUM(Popn!X$106:X$110)*Tracks!$B$34,SUM(Popn!X$17:X$21)*Tracks!$C$35,SUM(Popn!X$111:X$115)*Tracks!$B$35,SUM(Popn!X$22:X$26)*Tracks!$C$36,SUM(Popn!X$116:X$120)*Tracks!$B$36,SUM(Popn!X$27:X$36)*Tracks!$C$37,SUM(Popn!X$121:X$130)*Tracks!$B$37,SUM(Popn!X$37:X$46)*Tracks!$C$38,SUM(Popn!X$131:X$140)*Tracks!$B$38,SUM(Popn!X$47:X$56)*Tracks!$C$39,SUM(Popn!X$141:X$150)*Tracks!$B$39,SUM(Popn!X$57:X$66)*Tracks!$C$40,SUM(Popn!X$151:X$160)*Tracks!$B$40,SUM(Popn!X$67:X$71)*Tracks!$C$41,SUM(Popn!X$161:X$165)*Tracks!$B$41,SUM(Popn!X$72:X$97)*Tracks!$C$42,SUM(Popn!X$166:X$191)*Tracks!$B$42)/1000000000</f>
        <v>5.5153266659892219</v>
      </c>
    </row>
    <row r="92" spans="1:24" x14ac:dyDescent="0.2">
      <c r="A92" s="108"/>
      <c r="B92" s="36"/>
      <c r="C92" s="69"/>
      <c r="D92" s="69"/>
      <c r="E92" s="69"/>
      <c r="F92" s="69"/>
      <c r="G92" s="69"/>
      <c r="H92" s="69"/>
      <c r="I92" s="105"/>
      <c r="J92" s="105"/>
      <c r="K92" s="105"/>
      <c r="L92" s="105"/>
      <c r="M92" s="105"/>
    </row>
    <row r="93" spans="1:24" x14ac:dyDescent="0.2">
      <c r="A93" s="108" t="s">
        <v>926</v>
      </c>
      <c r="B93" s="36"/>
      <c r="C93" s="69"/>
      <c r="D93" s="69"/>
      <c r="E93" s="69"/>
      <c r="F93" s="69"/>
      <c r="G93" s="69"/>
      <c r="H93" s="69"/>
      <c r="I93" s="105"/>
      <c r="J93" s="105"/>
      <c r="K93" s="105"/>
      <c r="L93" s="105"/>
      <c r="M93" s="105"/>
    </row>
    <row r="94" spans="1:24" x14ac:dyDescent="0.2">
      <c r="A94" s="27" t="s">
        <v>927</v>
      </c>
      <c r="B94" s="233"/>
      <c r="C94" s="69"/>
      <c r="D94" s="71">
        <f>Data!C$40</f>
        <v>0.64500000000000002</v>
      </c>
      <c r="E94" s="71">
        <f>Data!D$40</f>
        <v>0.69</v>
      </c>
      <c r="F94" s="71">
        <f>Data!E$40</f>
        <v>0.65500000000000003</v>
      </c>
      <c r="G94" s="71">
        <f>Data!F$40</f>
        <v>0.32800000000000001</v>
      </c>
      <c r="H94" s="71">
        <f>Data!G$40</f>
        <v>0.30499999999999999</v>
      </c>
      <c r="I94" s="71">
        <f>Data!H$40</f>
        <v>0.192</v>
      </c>
      <c r="J94" s="131">
        <f>Data!I$40</f>
        <v>0.27800000000000002</v>
      </c>
      <c r="K94" s="131">
        <f>Data!J$40</f>
        <v>0.25800000000000001</v>
      </c>
      <c r="L94" s="131">
        <f>Data!K$40</f>
        <v>0.28000000000000003</v>
      </c>
      <c r="M94" s="131">
        <f>Data!L$40</f>
        <v>0.315</v>
      </c>
      <c r="N94" s="131">
        <f>Data!M$40</f>
        <v>0.34899999999999998</v>
      </c>
      <c r="O94" s="75">
        <f>N$94*Tracks!S$12/Tracks!R$12</f>
        <v>0.36109006928406467</v>
      </c>
      <c r="P94" s="75">
        <f>O$94*Tracks!T$12/Tracks!S$12</f>
        <v>0.36270207852193997</v>
      </c>
      <c r="Q94" s="75">
        <f>P$94*Tracks!U$12/Tracks!T$12</f>
        <v>0.35464203233256353</v>
      </c>
      <c r="R94" s="75">
        <f>Q$94*Tracks!V$12/Tracks!U$12</f>
        <v>0.34496997690531178</v>
      </c>
      <c r="S94" s="75">
        <f>R$94*Tracks!W$12/Tracks!V$12</f>
        <v>0.33287990762124708</v>
      </c>
      <c r="T94" s="75">
        <f>S$94*Tracks!X$12/Tracks!W$12</f>
        <v>0.32723787528868364</v>
      </c>
      <c r="U94" s="75">
        <f>T$94*Tracks!Y$12/Tracks!X$12</f>
        <v>0.32965588914549654</v>
      </c>
      <c r="V94" s="75">
        <f>U$94*Tracks!Z$12/Tracks!Y$12</f>
        <v>0.33126789838337184</v>
      </c>
      <c r="W94" s="75">
        <f>V$94*Tracks!AA$12/Tracks!Z$12</f>
        <v>0.33287990762124714</v>
      </c>
      <c r="X94" s="75">
        <f>W$94*Tracks!AB$12/Tracks!AA$12</f>
        <v>0.33368591224018479</v>
      </c>
    </row>
    <row r="95" spans="1:24" x14ac:dyDescent="0.2">
      <c r="A95" s="27" t="s">
        <v>928</v>
      </c>
      <c r="B95" s="233"/>
      <c r="C95" s="69"/>
      <c r="D95" s="71">
        <f>Data!C$21</f>
        <v>0.64500000000000002</v>
      </c>
      <c r="E95" s="71">
        <f>Data!D$21</f>
        <v>0.69</v>
      </c>
      <c r="F95" s="71">
        <f>Data!E$21</f>
        <v>0.65500000000000003</v>
      </c>
      <c r="G95" s="71">
        <f>Data!F$21</f>
        <v>0.33300000000000002</v>
      </c>
      <c r="H95" s="71">
        <f>Data!G$21</f>
        <v>0.311</v>
      </c>
      <c r="I95" s="71">
        <f>Data!H$21</f>
        <v>0.19700000000000001</v>
      </c>
      <c r="J95" s="131">
        <f>Data!I$21</f>
        <v>0.28699999999999998</v>
      </c>
      <c r="K95" s="131">
        <f>Data!J$21</f>
        <v>0.26700000000000002</v>
      </c>
      <c r="L95" s="131">
        <f>Data!K$21</f>
        <v>0.29799999999999999</v>
      </c>
      <c r="M95" s="131">
        <f>Data!L$21</f>
        <v>0.33300000000000002</v>
      </c>
      <c r="N95" s="131">
        <f>Data!M$21</f>
        <v>0.36699999999999999</v>
      </c>
      <c r="O95" s="75">
        <f t="shared" ref="O95:X95" si="45">N$95*O$94/N$94</f>
        <v>0.37971362586605084</v>
      </c>
      <c r="P95" s="75">
        <f t="shared" si="45"/>
        <v>0.38140877598152434</v>
      </c>
      <c r="Q95" s="75">
        <f t="shared" si="45"/>
        <v>0.37293302540415713</v>
      </c>
      <c r="R95" s="75">
        <f t="shared" si="45"/>
        <v>0.36276212471131647</v>
      </c>
      <c r="S95" s="75">
        <f t="shared" si="45"/>
        <v>0.35004849884526562</v>
      </c>
      <c r="T95" s="75">
        <f t="shared" si="45"/>
        <v>0.34411547344110865</v>
      </c>
      <c r="U95" s="75">
        <f t="shared" si="45"/>
        <v>0.34665819861431879</v>
      </c>
      <c r="V95" s="75">
        <f t="shared" si="45"/>
        <v>0.34835334872979223</v>
      </c>
      <c r="W95" s="75">
        <f t="shared" si="45"/>
        <v>0.35004849884526573</v>
      </c>
      <c r="X95" s="75">
        <f t="shared" si="45"/>
        <v>0.35089607390300248</v>
      </c>
    </row>
    <row r="96" spans="1:24" x14ac:dyDescent="0.2">
      <c r="A96" s="28"/>
      <c r="B96" s="40"/>
      <c r="C96" s="69"/>
      <c r="D96" s="73"/>
      <c r="E96" s="73"/>
      <c r="F96" s="73"/>
      <c r="G96" s="73"/>
      <c r="H96" s="73"/>
      <c r="I96" s="73"/>
      <c r="J96" s="73"/>
    </row>
    <row r="97" spans="1:24" x14ac:dyDescent="0.2">
      <c r="A97" s="108" t="s">
        <v>929</v>
      </c>
      <c r="B97" s="77"/>
      <c r="C97" s="69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x14ac:dyDescent="0.2">
      <c r="A98" s="27" t="s">
        <v>140</v>
      </c>
      <c r="B98" s="233"/>
      <c r="C98" s="69"/>
      <c r="D98" s="71">
        <f>Data!C$41</f>
        <v>10.355</v>
      </c>
      <c r="E98" s="71">
        <f>Data!D$41</f>
        <v>11.297000000000001</v>
      </c>
      <c r="F98" s="71">
        <f>Data!E$41</f>
        <v>12.368</v>
      </c>
      <c r="G98" s="71">
        <f>Data!F$41</f>
        <v>13.128</v>
      </c>
      <c r="H98" s="71">
        <f>Data!G$41</f>
        <v>13.753</v>
      </c>
      <c r="I98" s="71">
        <f>Data!H$41</f>
        <v>14.16</v>
      </c>
      <c r="J98" s="131">
        <f ca="1">Data!I$41*IF($F$1="Yes",OFFSET('Forecast Adjuster'!$A$60,0,J$278)*OFFSET('Forecast Adjuster'!$A$63,0,J$278),1) + IF(OFFSET(Scenarios!$A$63,0,$C$1)="Yes",OFFSET(Scenarios!$A$64,0,$C$1)*J$141,0) + IF($I$1="Yes",J$295,0)</f>
        <v>14.741</v>
      </c>
      <c r="K98" s="131">
        <f ca="1">Data!J$41*IF($F$1="Yes",OFFSET('Forecast Adjuster'!$A$60,0,K$278)*OFFSET('Forecast Adjuster'!$A$63,0,K$278),1) + IF(OFFSET(Scenarios!$A$63,0,$C$1)="Yes",OFFSET(Scenarios!$A$64,0,$C$1)*K$141,0) + IF($I$1="Yes",K$295,0)</f>
        <v>14.629</v>
      </c>
      <c r="L98" s="131">
        <f ca="1">Data!K$41*IF($F$1="Yes",OFFSET('Forecast Adjuster'!$A$60,0,L$278)*OFFSET('Forecast Adjuster'!$A$63,0,L$278),1) + IF(OFFSET(Scenarios!$A$63,0,$C$1)="Yes",OFFSET(Scenarios!$A$64,0,$C$1)*L$141,0) + IF($I$1="Yes",L$295,0)</f>
        <v>14.596</v>
      </c>
      <c r="M98" s="131">
        <f ca="1">Data!L$41*IF($F$1="Yes",OFFSET('Forecast Adjuster'!$A$60,0,M$278)*OFFSET('Forecast Adjuster'!$A$63,0,M$278),1) + IF(OFFSET(Scenarios!$A$63,0,$C$1)="Yes",OFFSET(Scenarios!$A$64,0,$C$1)*M$141,0) + IF($I$1="Yes",M$295,0)</f>
        <v>14.573</v>
      </c>
      <c r="N98" s="131">
        <f ca="1">Data!M$41*IF($F$1="Yes",OFFSET('Forecast Adjuster'!$A$60,0,N$278)*OFFSET('Forecast Adjuster'!$A$63,0,N$278),1) + IF(OFFSET(Scenarios!$A$63,0,$C$1)="Yes",OFFSET(Scenarios!$A$64,0,$C$1)*N$141,0) + IF($I$1="Yes",N$295,0)</f>
        <v>14.542</v>
      </c>
      <c r="O98" s="75">
        <f ca="1">N$98 +IF(OFFSET(Scenarios!$A$63,0,$C$1)="Yes",(O$141-N$141)*OFFSET(Scenarios!$A$64,0,$C$1),0)</f>
        <v>14.542</v>
      </c>
      <c r="P98" s="75">
        <f ca="1">O$98 +IF(OFFSET(Scenarios!$A$63,0,$C$1)="Yes",(P$141-O$141)*OFFSET(Scenarios!$A$64,0,$C$1),0)</f>
        <v>14.542</v>
      </c>
      <c r="Q98" s="75">
        <f ca="1">P$98 +IF(OFFSET(Scenarios!$A$63,0,$C$1)="Yes",(Q$141-P$141)*OFFSET(Scenarios!$A$64,0,$C$1),0)</f>
        <v>14.542</v>
      </c>
      <c r="R98" s="75">
        <f ca="1">Q$98 +IF(OFFSET(Scenarios!$A$63,0,$C$1)="Yes",(R$141-Q$141)*OFFSET(Scenarios!$A$64,0,$C$1),0)</f>
        <v>14.542</v>
      </c>
      <c r="S98" s="75">
        <f ca="1">R$98 +IF(OFFSET(Scenarios!$A$63,0,$C$1)="Yes",(S$141-R$141)*OFFSET(Scenarios!$A$64,0,$C$1),0)</f>
        <v>14.542</v>
      </c>
      <c r="T98" s="75">
        <f ca="1">S$98 +IF(OFFSET(Scenarios!$A$63,0,$C$1)="Yes",(T$141-S$141)*OFFSET(Scenarios!$A$64,0,$C$1),0)</f>
        <v>14.542</v>
      </c>
      <c r="U98" s="75">
        <f ca="1">T$98 +IF(OFFSET(Scenarios!$A$63,0,$C$1)="Yes",(U$141-T$141)*OFFSET(Scenarios!$A$64,0,$C$1),0)</f>
        <v>14.542</v>
      </c>
      <c r="V98" s="75">
        <f ca="1">U$98 +IF(OFFSET(Scenarios!$A$63,0,$C$1)="Yes",(V$141-U$141)*OFFSET(Scenarios!$A$64,0,$C$1),0)</f>
        <v>14.542</v>
      </c>
      <c r="W98" s="75">
        <f ca="1">V$98 +IF(OFFSET(Scenarios!$A$63,0,$C$1)="Yes",(W$141-V$141)*OFFSET(Scenarios!$A$64,0,$C$1),0)</f>
        <v>14.542</v>
      </c>
      <c r="X98" s="75">
        <f ca="1">W$98 +IF(OFFSET(Scenarios!$A$63,0,$C$1)="Yes",(X$141-W$141)*OFFSET(Scenarios!$A$64,0,$C$1),0)</f>
        <v>14.542</v>
      </c>
    </row>
    <row r="99" spans="1:24" x14ac:dyDescent="0.2">
      <c r="A99" s="27" t="s">
        <v>141</v>
      </c>
      <c r="B99" s="233"/>
      <c r="C99" s="69"/>
      <c r="D99" s="71">
        <f>Data!C$22</f>
        <v>10.661</v>
      </c>
      <c r="E99" s="71">
        <f>Data!D$22</f>
        <v>10.808999999999999</v>
      </c>
      <c r="F99" s="71">
        <f>Data!E$22</f>
        <v>12.042</v>
      </c>
      <c r="G99" s="71">
        <f>Data!F$22</f>
        <v>12.673</v>
      </c>
      <c r="H99" s="71">
        <f>Data!G$22</f>
        <v>13.068</v>
      </c>
      <c r="I99" s="71">
        <f>Data!H$22</f>
        <v>13.65</v>
      </c>
      <c r="J99" s="131">
        <f ca="1">Data!I$22 + IF($F$1="Yes",Data!I$41*(OFFSET('Forecast Adjuster'!$A$60,0,J$278)*OFFSET('Forecast Adjuster'!$A$63,0,J$278)-1),0) + IF(OFFSET(Scenarios!$A$63,0,$C$1)="Yes",OFFSET(Scenarios!$A$64,0,$C$1)*J$141,0) + IF($I$1="Yes",J$295,0)</f>
        <v>14.108000000000001</v>
      </c>
      <c r="K99" s="131">
        <f ca="1">Data!J$22 + IF($F$1="Yes",Data!J$41*(OFFSET('Forecast Adjuster'!$A$60,0,K$278)*OFFSET('Forecast Adjuster'!$A$63,0,K$278)-1),0) + IF(OFFSET(Scenarios!$A$63,0,$C$1)="Yes",OFFSET(Scenarios!$A$64,0,$C$1)*K$141,0) + IF($I$1="Yes",K$295,0)</f>
        <v>13.815</v>
      </c>
      <c r="L99" s="131">
        <f ca="1">Data!K$22 + IF($F$1="Yes",Data!K$41*(OFFSET('Forecast Adjuster'!$A$60,0,L$278)*OFFSET('Forecast Adjuster'!$A$63,0,L$278)-1),0) + IF(OFFSET(Scenarios!$A$63,0,$C$1)="Yes",OFFSET(Scenarios!$A$64,0,$C$1)*L$141,0) + IF($I$1="Yes",L$295,0)</f>
        <v>13.776</v>
      </c>
      <c r="M99" s="131">
        <f ca="1">Data!L$22 + IF($F$1="Yes",Data!L$41*(OFFSET('Forecast Adjuster'!$A$60,0,M$278)*OFFSET('Forecast Adjuster'!$A$63,0,M$278)-1),0) + IF(OFFSET(Scenarios!$A$63,0,$C$1)="Yes",OFFSET(Scenarios!$A$64,0,$C$1)*M$141,0) + IF($I$1="Yes",M$295,0)</f>
        <v>13.743</v>
      </c>
      <c r="N99" s="131">
        <f ca="1">Data!M$22 + IF($F$1="Yes",Data!M$41*(OFFSET('Forecast Adjuster'!$A$60,0,N$278)*OFFSET('Forecast Adjuster'!$A$63,0,N$278)-1),0) + IF(OFFSET(Scenarios!$A$63,0,$C$1)="Yes",OFFSET(Scenarios!$A$64,0,$C$1)*N$141,0) + IF($I$1="Yes",N$295,0)</f>
        <v>13.709</v>
      </c>
      <c r="O99" s="75">
        <f t="shared" ref="O99:X99" ca="1" si="46">SUM(O$98,(N$99-N$98)*SUM(O$100,O$101)/SUM(N$100,N$101))</f>
        <v>13.695495350561366</v>
      </c>
      <c r="P99" s="75">
        <f t="shared" ca="1" si="46"/>
        <v>13.681581354389902</v>
      </c>
      <c r="Q99" s="75">
        <f t="shared" ca="1" si="46"/>
        <v>13.667303500892579</v>
      </c>
      <c r="R99" s="75">
        <f t="shared" ca="1" si="46"/>
        <v>13.652451720053593</v>
      </c>
      <c r="S99" s="75">
        <f t="shared" ca="1" si="46"/>
        <v>13.636835814462907</v>
      </c>
      <c r="T99" s="75">
        <f t="shared" ca="1" si="46"/>
        <v>13.621773279337862</v>
      </c>
      <c r="U99" s="75">
        <f t="shared" ca="1" si="46"/>
        <v>13.606361455080361</v>
      </c>
      <c r="V99" s="75">
        <f t="shared" ca="1" si="46"/>
        <v>13.590648958757747</v>
      </c>
      <c r="W99" s="75">
        <f t="shared" ca="1" si="46"/>
        <v>13.574546040913775</v>
      </c>
      <c r="X99" s="75">
        <f t="shared" ca="1" si="46"/>
        <v>13.557932228081851</v>
      </c>
    </row>
    <row r="100" spans="1:24" x14ac:dyDescent="0.2">
      <c r="A100" s="108" t="s">
        <v>930</v>
      </c>
      <c r="B100" s="77"/>
      <c r="C100" s="69"/>
      <c r="D100" s="69">
        <f>SUM(SUM(Popn!D$7:D$11)*Tracks!$M$47,SUM(Popn!D$12:D$16)*Tracks!$M$48,SUM(Popn!D$17:D$21)*Tracks!$M$49,SUM(Popn!D$22:D$26)*Tracks!$M$50,SUM(Popn!D$27:D$31)*Tracks!$M$51,SUM(Popn!D$32:D$36)*Tracks!$M$52,SUM(Popn!D$37:D$41)*Tracks!$M$53,SUM(Popn!D$42:D$46)*Tracks!$M$54,SUM(Popn!D$47:D$51)*Tracks!$M$55,SUM(Popn!D$52:D$56)*Tracks!$M$56,SUM(Popn!D$57:D$61)*Tracks!$M$57,SUM(Popn!D$62:D$66)*Tracks!$M$58,SUM(Popn!D$67:D$71)*Tracks!$M$59,SUM(Popn!D$72:D$76)*Tracks!$M$60,SUM(Popn!D$77:D$81)*Tracks!$M$61,SUM(Popn!D$82:D$86)*Tracks!$M$62,SUM(Popn!D$87:D$91)*Tracks!$M$63,SUM(Popn!D$92:D$97)*Tracks!$M$64)/1000000000</f>
        <v>5.3512811944888492</v>
      </c>
      <c r="E100" s="69">
        <f>SUM(SUM(Popn!E$7:E$11)*Tracks!$M$47,SUM(Popn!E$12:E$16)*Tracks!$M$48,SUM(Popn!E$17:E$21)*Tracks!$M$49,SUM(Popn!E$22:E$26)*Tracks!$M$50,SUM(Popn!E$27:E$31)*Tracks!$M$51,SUM(Popn!E$32:E$36)*Tracks!$M$52,SUM(Popn!E$37:E$41)*Tracks!$M$53,SUM(Popn!E$42:E$46)*Tracks!$M$54,SUM(Popn!E$47:E$51)*Tracks!$M$55,SUM(Popn!E$52:E$56)*Tracks!$M$56,SUM(Popn!E$57:E$61)*Tracks!$M$57,SUM(Popn!E$62:E$66)*Tracks!$M$58,SUM(Popn!E$67:E$71)*Tracks!$M$59,SUM(Popn!E$72:E$76)*Tracks!$M$60,SUM(Popn!E$77:E$81)*Tracks!$M$61,SUM(Popn!E$82:E$86)*Tracks!$M$62,SUM(Popn!E$87:E$91)*Tracks!$M$63,SUM(Popn!E$92:E$97)*Tracks!$M$64)/1000000000</f>
        <v>5.4502066558101818</v>
      </c>
      <c r="F100" s="69">
        <f>SUM(SUM(Popn!F$7:F$11)*Tracks!$M$47,SUM(Popn!F$12:F$16)*Tracks!$M$48,SUM(Popn!F$17:F$21)*Tracks!$M$49,SUM(Popn!F$22:F$26)*Tracks!$M$50,SUM(Popn!F$27:F$31)*Tracks!$M$51,SUM(Popn!F$32:F$36)*Tracks!$M$52,SUM(Popn!F$37:F$41)*Tracks!$M$53,SUM(Popn!F$42:F$46)*Tracks!$M$54,SUM(Popn!F$47:F$51)*Tracks!$M$55,SUM(Popn!F$52:F$56)*Tracks!$M$56,SUM(Popn!F$57:F$61)*Tracks!$M$57,SUM(Popn!F$62:F$66)*Tracks!$M$58,SUM(Popn!F$67:F$71)*Tracks!$M$59,SUM(Popn!F$72:F$76)*Tracks!$M$60,SUM(Popn!F$77:F$81)*Tracks!$M$61,SUM(Popn!F$82:F$86)*Tracks!$M$62,SUM(Popn!F$87:F$91)*Tracks!$M$63,SUM(Popn!F$92:F$97)*Tracks!$M$64)/1000000000</f>
        <v>5.5566730000704831</v>
      </c>
      <c r="G100" s="69">
        <f>SUM(SUM(Popn!G$7:G$11)*Tracks!$M$47,SUM(Popn!G$12:G$16)*Tracks!$M$48,SUM(Popn!G$17:G$21)*Tracks!$M$49,SUM(Popn!G$22:G$26)*Tracks!$M$50,SUM(Popn!G$27:G$31)*Tracks!$M$51,SUM(Popn!G$32:G$36)*Tracks!$M$52,SUM(Popn!G$37:G$41)*Tracks!$M$53,SUM(Popn!G$42:G$46)*Tracks!$M$54,SUM(Popn!G$47:G$51)*Tracks!$M$55,SUM(Popn!G$52:G$56)*Tracks!$M$56,SUM(Popn!G$57:G$61)*Tracks!$M$57,SUM(Popn!G$62:G$66)*Tracks!$M$58,SUM(Popn!G$67:G$71)*Tracks!$M$59,SUM(Popn!G$72:G$76)*Tracks!$M$60,SUM(Popn!G$77:G$81)*Tracks!$M$61,SUM(Popn!G$82:G$86)*Tracks!$M$62,SUM(Popn!G$87:G$91)*Tracks!$M$63,SUM(Popn!G$92:G$97)*Tracks!$M$64)/1000000000</f>
        <v>5.6705807791341387</v>
      </c>
      <c r="H100" s="69">
        <f>SUM(SUM(Popn!H$7:H$11)*Tracks!$M$47,SUM(Popn!H$12:H$16)*Tracks!$M$48,SUM(Popn!H$17:H$21)*Tracks!$M$49,SUM(Popn!H$22:H$26)*Tracks!$M$50,SUM(Popn!H$27:H$31)*Tracks!$M$51,SUM(Popn!H$32:H$36)*Tracks!$M$52,SUM(Popn!H$37:H$41)*Tracks!$M$53,SUM(Popn!H$42:H$46)*Tracks!$M$54,SUM(Popn!H$47:H$51)*Tracks!$M$55,SUM(Popn!H$52:H$56)*Tracks!$M$56,SUM(Popn!H$57:H$61)*Tracks!$M$57,SUM(Popn!H$62:H$66)*Tracks!$M$58,SUM(Popn!H$67:H$71)*Tracks!$M$59,SUM(Popn!H$72:H$76)*Tracks!$M$60,SUM(Popn!H$77:H$81)*Tracks!$M$61,SUM(Popn!H$82:H$86)*Tracks!$M$62,SUM(Popn!H$87:H$91)*Tracks!$M$63,SUM(Popn!H$92:H$97)*Tracks!$M$64)/1000000000</f>
        <v>5.7730808470554829</v>
      </c>
      <c r="I100" s="69">
        <f>SUM(SUM(Popn!I$7:I$11)*Tracks!$M$47,SUM(Popn!I$12:I$16)*Tracks!$M$48,SUM(Popn!I$17:I$21)*Tracks!$M$49,SUM(Popn!I$22:I$26)*Tracks!$M$50,SUM(Popn!I$27:I$31)*Tracks!$M$51,SUM(Popn!I$32:I$36)*Tracks!$M$52,SUM(Popn!I$37:I$41)*Tracks!$M$53,SUM(Popn!I$42:I$46)*Tracks!$M$54,SUM(Popn!I$47:I$51)*Tracks!$M$55,SUM(Popn!I$52:I$56)*Tracks!$M$56,SUM(Popn!I$57:I$61)*Tracks!$M$57,SUM(Popn!I$62:I$66)*Tracks!$M$58,SUM(Popn!I$67:I$71)*Tracks!$M$59,SUM(Popn!I$72:I$76)*Tracks!$M$60,SUM(Popn!I$77:I$81)*Tracks!$M$61,SUM(Popn!I$82:I$86)*Tracks!$M$62,SUM(Popn!I$87:I$91)*Tracks!$M$63,SUM(Popn!I$92:I$97)*Tracks!$M$64)/1000000000</f>
        <v>5.862708853456077</v>
      </c>
      <c r="J100" s="125">
        <f>SUM(SUM(Popn!J$7:J$11)*Tracks!$M$47,SUM(Popn!J$12:J$16)*Tracks!$M$48,SUM(Popn!J$17:J$21)*Tracks!$M$49,SUM(Popn!J$22:J$26)*Tracks!$M$50,SUM(Popn!J$27:J$31)*Tracks!$M$51,SUM(Popn!J$32:J$36)*Tracks!$M$52,SUM(Popn!J$37:J$41)*Tracks!$M$53,SUM(Popn!J$42:J$46)*Tracks!$M$54,SUM(Popn!J$47:J$51)*Tracks!$M$55,SUM(Popn!J$52:J$56)*Tracks!$M$56,SUM(Popn!J$57:J$61)*Tracks!$M$57,SUM(Popn!J$62:J$66)*Tracks!$M$58,SUM(Popn!J$67:J$71)*Tracks!$M$59,SUM(Popn!J$72:J$76)*Tracks!$M$60,SUM(Popn!J$77:J$81)*Tracks!$M$61,SUM(Popn!J$82:J$86)*Tracks!$M$62,SUM(Popn!J$87:J$91)*Tracks!$M$63,SUM(Popn!J$92:J$97)*Tracks!$M$64)/1000000000</f>
        <v>5.9482735755428484</v>
      </c>
      <c r="K100" s="125">
        <f>SUM(SUM(Popn!K$7:K$11)*Tracks!$M$47,SUM(Popn!K$12:K$16)*Tracks!$M$48,SUM(Popn!K$17:K$21)*Tracks!$M$49,SUM(Popn!K$22:K$26)*Tracks!$M$50,SUM(Popn!K$27:K$31)*Tracks!$M$51,SUM(Popn!K$32:K$36)*Tracks!$M$52,SUM(Popn!K$37:K$41)*Tracks!$M$53,SUM(Popn!K$42:K$46)*Tracks!$M$54,SUM(Popn!K$47:K$51)*Tracks!$M$55,SUM(Popn!K$52:K$56)*Tracks!$M$56,SUM(Popn!K$57:K$61)*Tracks!$M$57,SUM(Popn!K$62:K$66)*Tracks!$M$58,SUM(Popn!K$67:K$71)*Tracks!$M$59,SUM(Popn!K$72:K$76)*Tracks!$M$60,SUM(Popn!K$77:K$81)*Tracks!$M$61,SUM(Popn!K$82:K$86)*Tracks!$M$62,SUM(Popn!K$87:K$91)*Tracks!$M$63,SUM(Popn!K$92:K$97)*Tracks!$M$64)/1000000000</f>
        <v>6.0439881977269927</v>
      </c>
      <c r="L100" s="125">
        <f>SUM(SUM(Popn!L$7:L$11)*Tracks!$M$47,SUM(Popn!L$12:L$16)*Tracks!$M$48,SUM(Popn!L$17:L$21)*Tracks!$M$49,SUM(Popn!L$22:L$26)*Tracks!$M$50,SUM(Popn!L$27:L$31)*Tracks!$M$51,SUM(Popn!L$32:L$36)*Tracks!$M$52,SUM(Popn!L$37:L$41)*Tracks!$M$53,SUM(Popn!L$42:L$46)*Tracks!$M$54,SUM(Popn!L$47:L$51)*Tracks!$M$55,SUM(Popn!L$52:L$56)*Tracks!$M$56,SUM(Popn!L$57:L$61)*Tracks!$M$57,SUM(Popn!L$62:L$66)*Tracks!$M$58,SUM(Popn!L$67:L$71)*Tracks!$M$59,SUM(Popn!L$72:L$76)*Tracks!$M$60,SUM(Popn!L$77:L$81)*Tracks!$M$61,SUM(Popn!L$82:L$86)*Tracks!$M$62,SUM(Popn!L$87:L$91)*Tracks!$M$63,SUM(Popn!L$92:L$97)*Tracks!$M$64)/1000000000</f>
        <v>6.147319006912296</v>
      </c>
      <c r="M100" s="125">
        <f>SUM(SUM(Popn!M$7:M$11)*Tracks!$M$47,SUM(Popn!M$12:M$16)*Tracks!$M$48,SUM(Popn!M$17:M$21)*Tracks!$M$49,SUM(Popn!M$22:M$26)*Tracks!$M$50,SUM(Popn!M$27:M$31)*Tracks!$M$51,SUM(Popn!M$32:M$36)*Tracks!$M$52,SUM(Popn!M$37:M$41)*Tracks!$M$53,SUM(Popn!M$42:M$46)*Tracks!$M$54,SUM(Popn!M$47:M$51)*Tracks!$M$55,SUM(Popn!M$52:M$56)*Tracks!$M$56,SUM(Popn!M$57:M$61)*Tracks!$M$57,SUM(Popn!M$62:M$66)*Tracks!$M$58,SUM(Popn!M$67:M$71)*Tracks!$M$59,SUM(Popn!M$72:M$76)*Tracks!$M$60,SUM(Popn!M$77:M$81)*Tracks!$M$61,SUM(Popn!M$82:M$86)*Tracks!$M$62,SUM(Popn!M$87:M$91)*Tracks!$M$63,SUM(Popn!M$92:M$97)*Tracks!$M$64)/1000000000</f>
        <v>6.2553434505376835</v>
      </c>
      <c r="N100" s="125">
        <f>SUM(SUM(Popn!N$7:N$11)*Tracks!$M$47,SUM(Popn!N$12:N$16)*Tracks!$M$48,SUM(Popn!N$17:N$21)*Tracks!$M$49,SUM(Popn!N$22:N$26)*Tracks!$M$50,SUM(Popn!N$27:N$31)*Tracks!$M$51,SUM(Popn!N$32:N$36)*Tracks!$M$52,SUM(Popn!N$37:N$41)*Tracks!$M$53,SUM(Popn!N$42:N$46)*Tracks!$M$54,SUM(Popn!N$47:N$51)*Tracks!$M$55,SUM(Popn!N$52:N$56)*Tracks!$M$56,SUM(Popn!N$57:N$61)*Tracks!$M$57,SUM(Popn!N$62:N$66)*Tracks!$M$58,SUM(Popn!N$67:N$71)*Tracks!$M$59,SUM(Popn!N$72:N$76)*Tracks!$M$60,SUM(Popn!N$77:N$81)*Tracks!$M$61,SUM(Popn!N$82:N$86)*Tracks!$M$62,SUM(Popn!N$87:N$91)*Tracks!$M$63,SUM(Popn!N$92:N$97)*Tracks!$M$64)/1000000000</f>
        <v>6.3686053296043381</v>
      </c>
      <c r="O100" s="73">
        <f>SUM(SUM(Popn!O$7:O$11)*Tracks!$M$47,SUM(Popn!O$12:O$16)*Tracks!$M$48,SUM(Popn!O$17:O$21)*Tracks!$M$49,SUM(Popn!O$22:O$26)*Tracks!$M$50,SUM(Popn!O$27:O$31)*Tracks!$M$51,SUM(Popn!O$32:O$36)*Tracks!$M$52,SUM(Popn!O$37:O$41)*Tracks!$M$53,SUM(Popn!O$42:O$46)*Tracks!$M$54,SUM(Popn!O$47:O$51)*Tracks!$M$55,SUM(Popn!O$52:O$56)*Tracks!$M$56,SUM(Popn!O$57:O$61)*Tracks!$M$57,SUM(Popn!O$62:O$66)*Tracks!$M$58,SUM(Popn!O$67:O$71)*Tracks!$M$59,SUM(Popn!O$72:O$76)*Tracks!$M$60,SUM(Popn!O$77:O$81)*Tracks!$M$61,SUM(Popn!O$82:O$86)*Tracks!$M$62,SUM(Popn!O$87:O$91)*Tracks!$M$63,SUM(Popn!O$92:O$97)*Tracks!$M$64)/1000000000</f>
        <v>6.4774838947864852</v>
      </c>
      <c r="P100" s="73">
        <f>SUM(SUM(Popn!P$7:P$11)*Tracks!$M$47,SUM(Popn!P$12:P$16)*Tracks!$M$48,SUM(Popn!P$17:P$21)*Tracks!$M$49,SUM(Popn!P$22:P$26)*Tracks!$M$50,SUM(Popn!P$27:P$31)*Tracks!$M$51,SUM(Popn!P$32:P$36)*Tracks!$M$52,SUM(Popn!P$37:P$41)*Tracks!$M$53,SUM(Popn!P$42:P$46)*Tracks!$M$54,SUM(Popn!P$47:P$51)*Tracks!$M$55,SUM(Popn!P$52:P$56)*Tracks!$M$56,SUM(Popn!P$57:P$61)*Tracks!$M$57,SUM(Popn!P$62:P$66)*Tracks!$M$58,SUM(Popn!P$67:P$71)*Tracks!$M$59,SUM(Popn!P$72:P$76)*Tracks!$M$60,SUM(Popn!P$77:P$81)*Tracks!$M$61,SUM(Popn!P$82:P$86)*Tracks!$M$62,SUM(Popn!P$87:P$91)*Tracks!$M$63,SUM(Popn!P$92:P$97)*Tracks!$M$64)/1000000000</f>
        <v>6.5898776576918232</v>
      </c>
      <c r="Q100" s="73">
        <f>SUM(SUM(Popn!Q$7:Q$11)*Tracks!$M$47,SUM(Popn!Q$12:Q$16)*Tracks!$M$48,SUM(Popn!Q$17:Q$21)*Tracks!$M$49,SUM(Popn!Q$22:Q$26)*Tracks!$M$50,SUM(Popn!Q$27:Q$31)*Tracks!$M$51,SUM(Popn!Q$32:Q$36)*Tracks!$M$52,SUM(Popn!Q$37:Q$41)*Tracks!$M$53,SUM(Popn!Q$42:Q$46)*Tracks!$M$54,SUM(Popn!Q$47:Q$51)*Tracks!$M$55,SUM(Popn!Q$52:Q$56)*Tracks!$M$56,SUM(Popn!Q$57:Q$61)*Tracks!$M$57,SUM(Popn!Q$62:Q$66)*Tracks!$M$58,SUM(Popn!Q$67:Q$71)*Tracks!$M$59,SUM(Popn!Q$72:Q$76)*Tracks!$M$60,SUM(Popn!Q$77:Q$81)*Tracks!$M$61,SUM(Popn!Q$82:Q$86)*Tracks!$M$62,SUM(Popn!Q$87:Q$91)*Tracks!$M$63,SUM(Popn!Q$92:Q$97)*Tracks!$M$64)/1000000000</f>
        <v>6.7041134371777504</v>
      </c>
      <c r="R100" s="73">
        <f>SUM(SUM(Popn!R$7:R$11)*Tracks!$M$47,SUM(Popn!R$12:R$16)*Tracks!$M$48,SUM(Popn!R$17:R$21)*Tracks!$M$49,SUM(Popn!R$22:R$26)*Tracks!$M$50,SUM(Popn!R$27:R$31)*Tracks!$M$51,SUM(Popn!R$32:R$36)*Tracks!$M$52,SUM(Popn!R$37:R$41)*Tracks!$M$53,SUM(Popn!R$42:R$46)*Tracks!$M$54,SUM(Popn!R$47:R$51)*Tracks!$M$55,SUM(Popn!R$52:R$56)*Tracks!$M$56,SUM(Popn!R$57:R$61)*Tracks!$M$57,SUM(Popn!R$62:R$66)*Tracks!$M$58,SUM(Popn!R$67:R$71)*Tracks!$M$59,SUM(Popn!R$72:R$76)*Tracks!$M$60,SUM(Popn!R$77:R$81)*Tracks!$M$61,SUM(Popn!R$82:R$86)*Tracks!$M$62,SUM(Popn!R$87:R$91)*Tracks!$M$63,SUM(Popn!R$92:R$97)*Tracks!$M$64)/1000000000</f>
        <v>6.8209835367241407</v>
      </c>
      <c r="S100" s="73">
        <f>SUM(SUM(Popn!S$7:S$11)*Tracks!$M$47,SUM(Popn!S$12:S$16)*Tracks!$M$48,SUM(Popn!S$17:S$21)*Tracks!$M$49,SUM(Popn!S$22:S$26)*Tracks!$M$50,SUM(Popn!S$27:S$31)*Tracks!$M$51,SUM(Popn!S$32:S$36)*Tracks!$M$52,SUM(Popn!S$37:S$41)*Tracks!$M$53,SUM(Popn!S$42:S$46)*Tracks!$M$54,SUM(Popn!S$47:S$51)*Tracks!$M$55,SUM(Popn!S$52:S$56)*Tracks!$M$56,SUM(Popn!S$57:S$61)*Tracks!$M$57,SUM(Popn!S$62:S$66)*Tracks!$M$58,SUM(Popn!S$67:S$71)*Tracks!$M$59,SUM(Popn!S$72:S$76)*Tracks!$M$60,SUM(Popn!S$77:S$81)*Tracks!$M$61,SUM(Popn!S$82:S$86)*Tracks!$M$62,SUM(Popn!S$87:S$91)*Tracks!$M$63,SUM(Popn!S$92:S$97)*Tracks!$M$64)/1000000000</f>
        <v>6.9428410084229615</v>
      </c>
      <c r="T100" s="73">
        <f>SUM(SUM(Popn!T$7:T$11)*Tracks!$M$47,SUM(Popn!T$12:T$16)*Tracks!$M$48,SUM(Popn!T$17:T$21)*Tracks!$M$49,SUM(Popn!T$22:T$26)*Tracks!$M$50,SUM(Popn!T$27:T$31)*Tracks!$M$51,SUM(Popn!T$32:T$36)*Tracks!$M$52,SUM(Popn!T$37:T$41)*Tracks!$M$53,SUM(Popn!T$42:T$46)*Tracks!$M$54,SUM(Popn!T$47:T$51)*Tracks!$M$55,SUM(Popn!T$52:T$56)*Tracks!$M$56,SUM(Popn!T$57:T$61)*Tracks!$M$57,SUM(Popn!T$62:T$66)*Tracks!$M$58,SUM(Popn!T$67:T$71)*Tracks!$M$59,SUM(Popn!T$72:T$76)*Tracks!$M$60,SUM(Popn!T$77:T$81)*Tracks!$M$61,SUM(Popn!T$82:T$86)*Tracks!$M$62,SUM(Popn!T$87:T$91)*Tracks!$M$63,SUM(Popn!T$92:T$97)*Tracks!$M$64)/1000000000</f>
        <v>7.0601842833039088</v>
      </c>
      <c r="U100" s="73">
        <f>SUM(SUM(Popn!U$7:U$11)*Tracks!$M$47,SUM(Popn!U$12:U$16)*Tracks!$M$48,SUM(Popn!U$17:U$21)*Tracks!$M$49,SUM(Popn!U$22:U$26)*Tracks!$M$50,SUM(Popn!U$27:U$31)*Tracks!$M$51,SUM(Popn!U$32:U$36)*Tracks!$M$52,SUM(Popn!U$37:U$41)*Tracks!$M$53,SUM(Popn!U$42:U$46)*Tracks!$M$54,SUM(Popn!U$47:U$51)*Tracks!$M$55,SUM(Popn!U$52:U$56)*Tracks!$M$56,SUM(Popn!U$57:U$61)*Tracks!$M$57,SUM(Popn!U$62:U$66)*Tracks!$M$58,SUM(Popn!U$67:U$71)*Tracks!$M$59,SUM(Popn!U$72:U$76)*Tracks!$M$60,SUM(Popn!U$77:U$81)*Tracks!$M$61,SUM(Popn!U$82:U$86)*Tracks!$M$62,SUM(Popn!U$87:U$91)*Tracks!$M$63,SUM(Popn!U$92:U$97)*Tracks!$M$64)/1000000000</f>
        <v>7.1792427383463329</v>
      </c>
      <c r="V100" s="73">
        <f>SUM(SUM(Popn!V$7:V$11)*Tracks!$M$47,SUM(Popn!V$12:V$16)*Tracks!$M$48,SUM(Popn!V$17:V$21)*Tracks!$M$49,SUM(Popn!V$22:V$26)*Tracks!$M$50,SUM(Popn!V$27:V$31)*Tracks!$M$51,SUM(Popn!V$32:V$36)*Tracks!$M$52,SUM(Popn!V$37:V$41)*Tracks!$M$53,SUM(Popn!V$42:V$46)*Tracks!$M$54,SUM(Popn!V$47:V$51)*Tracks!$M$55,SUM(Popn!V$52:V$56)*Tracks!$M$56,SUM(Popn!V$57:V$61)*Tracks!$M$57,SUM(Popn!V$62:V$66)*Tracks!$M$58,SUM(Popn!V$67:V$71)*Tracks!$M$59,SUM(Popn!V$72:V$76)*Tracks!$M$60,SUM(Popn!V$77:V$81)*Tracks!$M$61,SUM(Popn!V$82:V$86)*Tracks!$M$62,SUM(Popn!V$87:V$91)*Tracks!$M$63,SUM(Popn!V$92:V$97)*Tracks!$M$64)/1000000000</f>
        <v>7.2988385743542823</v>
      </c>
      <c r="W100" s="73">
        <f>SUM(SUM(Popn!W$7:W$11)*Tracks!$M$47,SUM(Popn!W$12:W$16)*Tracks!$M$48,SUM(Popn!W$17:W$21)*Tracks!$M$49,SUM(Popn!W$22:W$26)*Tracks!$M$50,SUM(Popn!W$27:W$31)*Tracks!$M$51,SUM(Popn!W$32:W$36)*Tracks!$M$52,SUM(Popn!W$37:W$41)*Tracks!$M$53,SUM(Popn!W$42:W$46)*Tracks!$M$54,SUM(Popn!W$47:W$51)*Tracks!$M$55,SUM(Popn!W$52:W$56)*Tracks!$M$56,SUM(Popn!W$57:W$61)*Tracks!$M$57,SUM(Popn!W$62:W$66)*Tracks!$M$58,SUM(Popn!W$67:W$71)*Tracks!$M$59,SUM(Popn!W$72:W$76)*Tracks!$M$60,SUM(Popn!W$77:W$81)*Tracks!$M$61,SUM(Popn!W$82:W$86)*Tracks!$M$62,SUM(Popn!W$87:W$91)*Tracks!$M$63,SUM(Popn!W$92:W$97)*Tracks!$M$64)/1000000000</f>
        <v>7.419781360596521</v>
      </c>
      <c r="X100" s="73">
        <f>SUM(SUM(Popn!X$7:X$11)*Tracks!$M$47,SUM(Popn!X$12:X$16)*Tracks!$M$48,SUM(Popn!X$17:X$21)*Tracks!$M$49,SUM(Popn!X$22:X$26)*Tracks!$M$50,SUM(Popn!X$27:X$31)*Tracks!$M$51,SUM(Popn!X$32:X$36)*Tracks!$M$52,SUM(Popn!X$37:X$41)*Tracks!$M$53,SUM(Popn!X$42:X$46)*Tracks!$M$54,SUM(Popn!X$47:X$51)*Tracks!$M$55,SUM(Popn!X$52:X$56)*Tracks!$M$56,SUM(Popn!X$57:X$61)*Tracks!$M$57,SUM(Popn!X$62:X$66)*Tracks!$M$58,SUM(Popn!X$67:X$71)*Tracks!$M$59,SUM(Popn!X$72:X$76)*Tracks!$M$60,SUM(Popn!X$77:X$81)*Tracks!$M$61,SUM(Popn!X$82:X$86)*Tracks!$M$62,SUM(Popn!X$87:X$91)*Tracks!$M$63,SUM(Popn!X$92:X$97)*Tracks!$M$64)/1000000000</f>
        <v>7.5433253379933749</v>
      </c>
    </row>
    <row r="101" spans="1:24" x14ac:dyDescent="0.2">
      <c r="A101" s="108" t="s">
        <v>931</v>
      </c>
      <c r="B101" s="77"/>
      <c r="C101" s="69"/>
      <c r="D101" s="86">
        <f>SUM(SUM(Popn!D$101:D$105)*Tracks!$L$47,SUM(Popn!D$106:D$110)*Tracks!$L$48,SUM(Popn!D$111:D$115)*Tracks!$L$49,SUM(Popn!D$116:D$120)*Tracks!$L$50,SUM(Popn!D$121:D$125)*Tracks!$L$51,SUM(Popn!D$126:D$130)*Tracks!$L$52,SUM(Popn!D$131:D$135)*Tracks!$L$53,SUM(Popn!D$136:D$140)*Tracks!$L$54,SUM(Popn!D$141:D$145)*Tracks!$L$55,SUM(Popn!D$146:D$150)*Tracks!$L$56,SUM(Popn!D$151:D$155)*Tracks!$L$57,SUM(Popn!D$156:D$160)*Tracks!$L$58,SUM(Popn!D$161:D$165)*Tracks!$L$59,SUM(Popn!D$166:D$170)*Tracks!$L$60,SUM(Popn!D$171:D$175)*Tracks!$L$61,SUM(Popn!D$176:D$180)*Tracks!$L$62,SUM(Popn!D$181:D$185)*Tracks!$L$63,SUM(Popn!D$186:D$191)*Tracks!$L$64)/1000000000</f>
        <v>6.3158688215335683</v>
      </c>
      <c r="E101" s="86">
        <f>SUM(SUM(Popn!E$101:E$105)*Tracks!$L$47,SUM(Popn!E$106:E$110)*Tracks!$L$48,SUM(Popn!E$111:E$115)*Tracks!$L$49,SUM(Popn!E$116:E$120)*Tracks!$L$50,SUM(Popn!E$121:E$125)*Tracks!$L$51,SUM(Popn!E$126:E$130)*Tracks!$L$52,SUM(Popn!E$131:E$135)*Tracks!$L$53,SUM(Popn!E$136:E$140)*Tracks!$L$54,SUM(Popn!E$141:E$145)*Tracks!$L$55,SUM(Popn!E$146:E$150)*Tracks!$L$56,SUM(Popn!E$151:E$155)*Tracks!$L$57,SUM(Popn!E$156:E$160)*Tracks!$L$58,SUM(Popn!E$161:E$165)*Tracks!$L$59,SUM(Popn!E$166:E$170)*Tracks!$L$60,SUM(Popn!E$171:E$175)*Tracks!$L$61,SUM(Popn!E$176:E$180)*Tracks!$L$62,SUM(Popn!E$181:E$185)*Tracks!$L$63,SUM(Popn!E$186:E$191)*Tracks!$L$64)/1000000000</f>
        <v>6.4082597726025421</v>
      </c>
      <c r="F101" s="86">
        <f>SUM(SUM(Popn!F$101:F$105)*Tracks!$L$47,SUM(Popn!F$106:F$110)*Tracks!$L$48,SUM(Popn!F$111:F$115)*Tracks!$L$49,SUM(Popn!F$116:F$120)*Tracks!$L$50,SUM(Popn!F$121:F$125)*Tracks!$L$51,SUM(Popn!F$126:F$130)*Tracks!$L$52,SUM(Popn!F$131:F$135)*Tracks!$L$53,SUM(Popn!F$136:F$140)*Tracks!$L$54,SUM(Popn!F$141:F$145)*Tracks!$L$55,SUM(Popn!F$146:F$150)*Tracks!$L$56,SUM(Popn!F$151:F$155)*Tracks!$L$57,SUM(Popn!F$156:F$160)*Tracks!$L$58,SUM(Popn!F$161:F$165)*Tracks!$L$59,SUM(Popn!F$166:F$170)*Tracks!$L$60,SUM(Popn!F$171:F$175)*Tracks!$L$61,SUM(Popn!F$176:F$180)*Tracks!$L$62,SUM(Popn!F$181:F$185)*Tracks!$L$63,SUM(Popn!F$186:F$191)*Tracks!$L$64)/1000000000</f>
        <v>6.5047757118957161</v>
      </c>
      <c r="G101" s="86">
        <f>SUM(SUM(Popn!G$101:G$105)*Tracks!$L$47,SUM(Popn!G$106:G$110)*Tracks!$L$48,SUM(Popn!G$111:G$115)*Tracks!$L$49,SUM(Popn!G$116:G$120)*Tracks!$L$50,SUM(Popn!G$121:G$125)*Tracks!$L$51,SUM(Popn!G$126:G$130)*Tracks!$L$52,SUM(Popn!G$131:G$135)*Tracks!$L$53,SUM(Popn!G$136:G$140)*Tracks!$L$54,SUM(Popn!G$141:G$145)*Tracks!$L$55,SUM(Popn!G$146:G$150)*Tracks!$L$56,SUM(Popn!G$151:G$155)*Tracks!$L$57,SUM(Popn!G$156:G$160)*Tracks!$L$58,SUM(Popn!G$161:G$165)*Tracks!$L$59,SUM(Popn!G$166:G$170)*Tracks!$L$60,SUM(Popn!G$171:G$175)*Tracks!$L$61,SUM(Popn!G$176:G$180)*Tracks!$L$62,SUM(Popn!G$181:G$185)*Tracks!$L$63,SUM(Popn!G$186:G$191)*Tracks!$L$64)/1000000000</f>
        <v>6.616916150555415</v>
      </c>
      <c r="H101" s="86">
        <f>SUM(SUM(Popn!H$101:H$105)*Tracks!$L$47,SUM(Popn!H$106:H$110)*Tracks!$L$48,SUM(Popn!H$111:H$115)*Tracks!$L$49,SUM(Popn!H$116:H$120)*Tracks!$L$50,SUM(Popn!H$121:H$125)*Tracks!$L$51,SUM(Popn!H$126:H$130)*Tracks!$L$52,SUM(Popn!H$131:H$135)*Tracks!$L$53,SUM(Popn!H$136:H$140)*Tracks!$L$54,SUM(Popn!H$141:H$145)*Tracks!$L$55,SUM(Popn!H$146:H$150)*Tracks!$L$56,SUM(Popn!H$151:H$155)*Tracks!$L$57,SUM(Popn!H$156:H$160)*Tracks!$L$58,SUM(Popn!H$161:H$165)*Tracks!$L$59,SUM(Popn!H$166:H$170)*Tracks!$L$60,SUM(Popn!H$171:H$175)*Tracks!$L$61,SUM(Popn!H$176:H$180)*Tracks!$L$62,SUM(Popn!H$181:H$185)*Tracks!$L$63,SUM(Popn!H$186:H$191)*Tracks!$L$64)/1000000000</f>
        <v>6.7096638322406195</v>
      </c>
      <c r="I101" s="86">
        <f>SUM(SUM(Popn!I$101:I$105)*Tracks!$L$47,SUM(Popn!I$106:I$110)*Tracks!$L$48,SUM(Popn!I$111:I$115)*Tracks!$L$49,SUM(Popn!I$116:I$120)*Tracks!$L$50,SUM(Popn!I$121:I$125)*Tracks!$L$51,SUM(Popn!I$126:I$130)*Tracks!$L$52,SUM(Popn!I$131:I$135)*Tracks!$L$53,SUM(Popn!I$136:I$140)*Tracks!$L$54,SUM(Popn!I$141:I$145)*Tracks!$L$55,SUM(Popn!I$146:I$150)*Tracks!$L$56,SUM(Popn!I$151:I$155)*Tracks!$L$57,SUM(Popn!I$156:I$160)*Tracks!$L$58,SUM(Popn!I$161:I$165)*Tracks!$L$59,SUM(Popn!I$166:I$170)*Tracks!$L$60,SUM(Popn!I$171:I$175)*Tracks!$L$61,SUM(Popn!I$176:I$180)*Tracks!$L$62,SUM(Popn!I$181:I$185)*Tracks!$L$63,SUM(Popn!I$186:I$191)*Tracks!$L$64)/1000000000</f>
        <v>6.7907833884660826</v>
      </c>
      <c r="J101" s="129">
        <f>SUM(SUM(Popn!J$101:J$105)*Tracks!$L$47,SUM(Popn!J$106:J$110)*Tracks!$L$48,SUM(Popn!J$111:J$115)*Tracks!$L$49,SUM(Popn!J$116:J$120)*Tracks!$L$50,SUM(Popn!J$121:J$125)*Tracks!$L$51,SUM(Popn!J$126:J$130)*Tracks!$L$52,SUM(Popn!J$131:J$135)*Tracks!$L$53,SUM(Popn!J$136:J$140)*Tracks!$L$54,SUM(Popn!J$141:J$145)*Tracks!$L$55,SUM(Popn!J$146:J$150)*Tracks!$L$56,SUM(Popn!J$151:J$155)*Tracks!$L$57,SUM(Popn!J$156:J$160)*Tracks!$L$58,SUM(Popn!J$161:J$165)*Tracks!$L$59,SUM(Popn!J$166:J$170)*Tracks!$L$60,SUM(Popn!J$171:J$175)*Tracks!$L$61,SUM(Popn!J$176:J$180)*Tracks!$L$62,SUM(Popn!J$181:J$185)*Tracks!$L$63,SUM(Popn!J$186:J$191)*Tracks!$L$64)/1000000000</f>
        <v>6.8733049444812835</v>
      </c>
      <c r="K101" s="129">
        <f>SUM(SUM(Popn!K$101:K$105)*Tracks!$L$47,SUM(Popn!K$106:K$110)*Tracks!$L$48,SUM(Popn!K$111:K$115)*Tracks!$L$49,SUM(Popn!K$116:K$120)*Tracks!$L$50,SUM(Popn!K$121:K$125)*Tracks!$L$51,SUM(Popn!K$126:K$130)*Tracks!$L$52,SUM(Popn!K$131:K$135)*Tracks!$L$53,SUM(Popn!K$136:K$140)*Tracks!$L$54,SUM(Popn!K$141:K$145)*Tracks!$L$55,SUM(Popn!K$146:K$150)*Tracks!$L$56,SUM(Popn!K$151:K$155)*Tracks!$L$57,SUM(Popn!K$156:K$160)*Tracks!$L$58,SUM(Popn!K$161:K$165)*Tracks!$L$59,SUM(Popn!K$166:K$170)*Tracks!$L$60,SUM(Popn!K$171:K$175)*Tracks!$L$61,SUM(Popn!K$176:K$180)*Tracks!$L$62,SUM(Popn!K$181:K$185)*Tracks!$L$63,SUM(Popn!K$186:K$191)*Tracks!$L$64)/1000000000</f>
        <v>6.9659323654276983</v>
      </c>
      <c r="L101" s="129">
        <f>SUM(SUM(Popn!L$101:L$105)*Tracks!$L$47,SUM(Popn!L$106:L$110)*Tracks!$L$48,SUM(Popn!L$111:L$115)*Tracks!$L$49,SUM(Popn!L$116:L$120)*Tracks!$L$50,SUM(Popn!L$121:L$125)*Tracks!$L$51,SUM(Popn!L$126:L$130)*Tracks!$L$52,SUM(Popn!L$131:L$135)*Tracks!$L$53,SUM(Popn!L$136:L$140)*Tracks!$L$54,SUM(Popn!L$141:L$145)*Tracks!$L$55,SUM(Popn!L$146:L$150)*Tracks!$L$56,SUM(Popn!L$151:L$155)*Tracks!$L$57,SUM(Popn!L$156:L$160)*Tracks!$L$58,SUM(Popn!L$161:L$165)*Tracks!$L$59,SUM(Popn!L$166:L$170)*Tracks!$L$60,SUM(Popn!L$171:L$175)*Tracks!$L$61,SUM(Popn!L$176:L$180)*Tracks!$L$62,SUM(Popn!L$181:L$185)*Tracks!$L$63,SUM(Popn!L$186:L$191)*Tracks!$L$64)/1000000000</f>
        <v>7.0694358262752059</v>
      </c>
      <c r="M101" s="129">
        <f>SUM(SUM(Popn!M$101:M$105)*Tracks!$L$47,SUM(Popn!M$106:M$110)*Tracks!$L$48,SUM(Popn!M$111:M$115)*Tracks!$L$49,SUM(Popn!M$116:M$120)*Tracks!$L$50,SUM(Popn!M$121:M$125)*Tracks!$L$51,SUM(Popn!M$126:M$130)*Tracks!$L$52,SUM(Popn!M$131:M$135)*Tracks!$L$53,SUM(Popn!M$136:M$140)*Tracks!$L$54,SUM(Popn!M$141:M$145)*Tracks!$L$55,SUM(Popn!M$146:M$150)*Tracks!$L$56,SUM(Popn!M$151:M$155)*Tracks!$L$57,SUM(Popn!M$156:M$160)*Tracks!$L$58,SUM(Popn!M$161:M$165)*Tracks!$L$59,SUM(Popn!M$166:M$170)*Tracks!$L$60,SUM(Popn!M$171:M$175)*Tracks!$L$61,SUM(Popn!M$176:M$180)*Tracks!$L$62,SUM(Popn!M$181:M$185)*Tracks!$L$63,SUM(Popn!M$186:M$191)*Tracks!$L$64)/1000000000</f>
        <v>7.1791809094054129</v>
      </c>
      <c r="N101" s="129">
        <f>SUM(SUM(Popn!N$101:N$105)*Tracks!$L$47,SUM(Popn!N$106:N$110)*Tracks!$L$48,SUM(Popn!N$111:N$115)*Tracks!$L$49,SUM(Popn!N$116:N$120)*Tracks!$L$50,SUM(Popn!N$121:N$125)*Tracks!$L$51,SUM(Popn!N$126:N$130)*Tracks!$L$52,SUM(Popn!N$131:N$135)*Tracks!$L$53,SUM(Popn!N$136:N$140)*Tracks!$L$54,SUM(Popn!N$141:N$145)*Tracks!$L$55,SUM(Popn!N$146:N$150)*Tracks!$L$56,SUM(Popn!N$151:N$155)*Tracks!$L$57,SUM(Popn!N$156:N$160)*Tracks!$L$58,SUM(Popn!N$161:N$165)*Tracks!$L$59,SUM(Popn!N$166:N$170)*Tracks!$L$60,SUM(Popn!N$171:N$175)*Tracks!$L$61,SUM(Popn!N$176:N$180)*Tracks!$L$62,SUM(Popn!N$181:N$185)*Tracks!$L$63,SUM(Popn!N$186:N$191)*Tracks!$L$64)/1000000000</f>
        <v>7.2938678968936808</v>
      </c>
      <c r="O101" s="100">
        <f>SUM(SUM(Popn!O$101:O$105)*Tracks!$L$47,SUM(Popn!O$106:O$110)*Tracks!$L$48,SUM(Popn!O$111:O$115)*Tracks!$L$49,SUM(Popn!O$116:O$120)*Tracks!$L$50,SUM(Popn!O$121:O$125)*Tracks!$L$51,SUM(Popn!O$126:O$130)*Tracks!$L$52,SUM(Popn!O$131:O$135)*Tracks!$L$53,SUM(Popn!O$136:O$140)*Tracks!$L$54,SUM(Popn!O$141:O$145)*Tracks!$L$55,SUM(Popn!O$146:O$150)*Tracks!$L$56,SUM(Popn!O$151:O$155)*Tracks!$L$57,SUM(Popn!O$156:O$160)*Tracks!$L$58,SUM(Popn!O$161:O$165)*Tracks!$L$59,SUM(Popn!O$166:O$170)*Tracks!$L$60,SUM(Popn!O$171:O$175)*Tracks!$L$61,SUM(Popn!O$176:O$180)*Tracks!$L$62,SUM(Popn!O$181:O$185)*Tracks!$L$63,SUM(Popn!O$186:O$191)*Tracks!$L$64)/1000000000</f>
        <v>7.4064862241347926</v>
      </c>
      <c r="P101" s="100">
        <f>SUM(SUM(Popn!P$101:P$105)*Tracks!$L$47,SUM(Popn!P$106:P$110)*Tracks!$L$48,SUM(Popn!P$111:P$115)*Tracks!$L$49,SUM(Popn!P$116:P$120)*Tracks!$L$50,SUM(Popn!P$121:P$125)*Tracks!$L$51,SUM(Popn!P$126:P$130)*Tracks!$L$52,SUM(Popn!P$131:P$135)*Tracks!$L$53,SUM(Popn!P$136:P$140)*Tracks!$L$54,SUM(Popn!P$141:P$145)*Tracks!$L$55,SUM(Popn!P$146:P$150)*Tracks!$L$56,SUM(Popn!P$151:P$155)*Tracks!$L$57,SUM(Popn!P$156:P$160)*Tracks!$L$58,SUM(Popn!P$161:P$165)*Tracks!$L$59,SUM(Popn!P$166:P$170)*Tracks!$L$60,SUM(Popn!P$171:P$175)*Tracks!$L$61,SUM(Popn!P$176:P$180)*Tracks!$L$62,SUM(Popn!P$181:P$185)*Tracks!$L$63,SUM(Popn!P$186:P$191)*Tracks!$L$64)/1000000000</f>
        <v>7.5223032657507192</v>
      </c>
      <c r="Q101" s="100">
        <f>SUM(SUM(Popn!Q$101:Q$105)*Tracks!$L$47,SUM(Popn!Q$106:Q$110)*Tracks!$L$48,SUM(Popn!Q$111:Q$115)*Tracks!$L$49,SUM(Popn!Q$116:Q$120)*Tracks!$L$50,SUM(Popn!Q$121:Q$125)*Tracks!$L$51,SUM(Popn!Q$126:Q$130)*Tracks!$L$52,SUM(Popn!Q$131:Q$135)*Tracks!$L$53,SUM(Popn!Q$136:Q$140)*Tracks!$L$54,SUM(Popn!Q$141:Q$145)*Tracks!$L$55,SUM(Popn!Q$146:Q$150)*Tracks!$L$56,SUM(Popn!Q$151:Q$155)*Tracks!$L$57,SUM(Popn!Q$156:Q$160)*Tracks!$L$58,SUM(Popn!Q$161:Q$165)*Tracks!$L$59,SUM(Popn!Q$166:Q$170)*Tracks!$L$60,SUM(Popn!Q$171:Q$175)*Tracks!$L$61,SUM(Popn!Q$176:Q$180)*Tracks!$L$62,SUM(Popn!Q$181:Q$185)*Tracks!$L$63,SUM(Popn!Q$186:Q$191)*Tracks!$L$64)/1000000000</f>
        <v>7.642246107079969</v>
      </c>
      <c r="R101" s="100">
        <f>SUM(SUM(Popn!R$101:R$105)*Tracks!$L$47,SUM(Popn!R$106:R$110)*Tracks!$L$48,SUM(Popn!R$111:R$115)*Tracks!$L$49,SUM(Popn!R$116:R$120)*Tracks!$L$50,SUM(Popn!R$121:R$125)*Tracks!$L$51,SUM(Popn!R$126:R$130)*Tracks!$L$52,SUM(Popn!R$131:R$135)*Tracks!$L$53,SUM(Popn!R$136:R$140)*Tracks!$L$54,SUM(Popn!R$141:R$145)*Tracks!$L$55,SUM(Popn!R$146:R$150)*Tracks!$L$56,SUM(Popn!R$151:R$155)*Tracks!$L$57,SUM(Popn!R$156:R$160)*Tracks!$L$58,SUM(Popn!R$161:R$165)*Tracks!$L$59,SUM(Popn!R$166:R$170)*Tracks!$L$60,SUM(Popn!R$171:R$175)*Tracks!$L$61,SUM(Popn!R$176:R$180)*Tracks!$L$62,SUM(Popn!R$181:R$185)*Tracks!$L$63,SUM(Popn!R$186:R$191)*Tracks!$L$64)/1000000000</f>
        <v>7.7689679139903305</v>
      </c>
      <c r="S101" s="100">
        <f>SUM(SUM(Popn!S$101:S$105)*Tracks!$L$47,SUM(Popn!S$106:S$110)*Tracks!$L$48,SUM(Popn!S$111:S$115)*Tracks!$L$49,SUM(Popn!S$116:S$120)*Tracks!$L$50,SUM(Popn!S$121:S$125)*Tracks!$L$51,SUM(Popn!S$126:S$130)*Tracks!$L$52,SUM(Popn!S$131:S$135)*Tracks!$L$53,SUM(Popn!S$136:S$140)*Tracks!$L$54,SUM(Popn!S$141:S$145)*Tracks!$L$55,SUM(Popn!S$146:S$150)*Tracks!$L$56,SUM(Popn!S$151:S$155)*Tracks!$L$57,SUM(Popn!S$156:S$160)*Tracks!$L$58,SUM(Popn!S$161:S$165)*Tracks!$L$59,SUM(Popn!S$166:S$170)*Tracks!$L$60,SUM(Popn!S$171:S$175)*Tracks!$L$61,SUM(Popn!S$176:S$180)*Tracks!$L$62,SUM(Popn!S$181:S$185)*Tracks!$L$63,SUM(Popn!S$186:S$191)*Tracks!$L$64)/1000000000</f>
        <v>7.903235162627956</v>
      </c>
      <c r="T101" s="100">
        <f>SUM(SUM(Popn!T$101:T$105)*Tracks!$L$47,SUM(Popn!T$106:T$110)*Tracks!$L$48,SUM(Popn!T$111:T$115)*Tracks!$L$49,SUM(Popn!T$116:T$120)*Tracks!$L$50,SUM(Popn!T$121:T$125)*Tracks!$L$51,SUM(Popn!T$126:T$130)*Tracks!$L$52,SUM(Popn!T$131:T$135)*Tracks!$L$53,SUM(Popn!T$136:T$140)*Tracks!$L$54,SUM(Popn!T$141:T$145)*Tracks!$L$55,SUM(Popn!T$146:T$150)*Tracks!$L$56,SUM(Popn!T$151:T$155)*Tracks!$L$57,SUM(Popn!T$156:T$160)*Tracks!$L$58,SUM(Popn!T$161:T$165)*Tracks!$L$59,SUM(Popn!T$166:T$170)*Tracks!$L$60,SUM(Popn!T$171:T$175)*Tracks!$L$61,SUM(Popn!T$176:T$180)*Tracks!$L$62,SUM(Popn!T$181:T$185)*Tracks!$L$63,SUM(Popn!T$186:T$191)*Tracks!$L$64)/1000000000</f>
        <v>8.0329404866295047</v>
      </c>
      <c r="U101" s="100">
        <f>SUM(SUM(Popn!U$101:U$105)*Tracks!$L$47,SUM(Popn!U$106:U$110)*Tracks!$L$48,SUM(Popn!U$111:U$115)*Tracks!$L$49,SUM(Popn!U$116:U$120)*Tracks!$L$50,SUM(Popn!U$121:U$125)*Tracks!$L$51,SUM(Popn!U$126:U$130)*Tracks!$L$52,SUM(Popn!U$131:U$135)*Tracks!$L$53,SUM(Popn!U$136:U$140)*Tracks!$L$54,SUM(Popn!U$141:U$145)*Tracks!$L$55,SUM(Popn!U$146:U$150)*Tracks!$L$56,SUM(Popn!U$151:U$155)*Tracks!$L$57,SUM(Popn!U$156:U$160)*Tracks!$L$58,SUM(Popn!U$161:U$165)*Tracks!$L$59,SUM(Popn!U$166:U$170)*Tracks!$L$60,SUM(Popn!U$171:U$175)*Tracks!$L$61,SUM(Popn!U$176:U$180)*Tracks!$L$62,SUM(Popn!U$181:U$185)*Tracks!$L$63,SUM(Popn!U$186:U$191)*Tracks!$L$64)/1000000000</f>
        <v>8.1666595061244411</v>
      </c>
      <c r="V101" s="100">
        <f>SUM(SUM(Popn!V$101:V$105)*Tracks!$L$47,SUM(Popn!V$106:V$110)*Tracks!$L$48,SUM(Popn!V$111:V$115)*Tracks!$L$49,SUM(Popn!V$116:V$120)*Tracks!$L$50,SUM(Popn!V$121:V$125)*Tracks!$L$51,SUM(Popn!V$126:V$130)*Tracks!$L$52,SUM(Popn!V$131:V$135)*Tracks!$L$53,SUM(Popn!V$136:V$140)*Tracks!$L$54,SUM(Popn!V$141:V$145)*Tracks!$L$55,SUM(Popn!V$146:V$150)*Tracks!$L$56,SUM(Popn!V$151:V$155)*Tracks!$L$57,SUM(Popn!V$156:V$160)*Tracks!$L$58,SUM(Popn!V$161:V$165)*Tracks!$L$59,SUM(Popn!V$166:V$170)*Tracks!$L$60,SUM(Popn!V$171:V$175)*Tracks!$L$61,SUM(Popn!V$176:V$180)*Tracks!$L$62,SUM(Popn!V$181:V$185)*Tracks!$L$63,SUM(Popn!V$186:V$191)*Tracks!$L$64)/1000000000</f>
        <v>8.3047726260938752</v>
      </c>
      <c r="W101" s="100">
        <f>SUM(SUM(Popn!W$101:W$105)*Tracks!$L$47,SUM(Popn!W$106:W$110)*Tracks!$L$48,SUM(Popn!W$111:W$115)*Tracks!$L$49,SUM(Popn!W$116:W$120)*Tracks!$L$50,SUM(Popn!W$121:W$125)*Tracks!$L$51,SUM(Popn!W$126:W$130)*Tracks!$L$52,SUM(Popn!W$131:W$135)*Tracks!$L$53,SUM(Popn!W$136:W$140)*Tracks!$L$54,SUM(Popn!W$141:W$145)*Tracks!$L$55,SUM(Popn!W$146:W$150)*Tracks!$L$56,SUM(Popn!W$151:W$155)*Tracks!$L$57,SUM(Popn!W$156:W$160)*Tracks!$L$58,SUM(Popn!W$161:W$165)*Tracks!$L$59,SUM(Popn!W$166:W$170)*Tracks!$L$60,SUM(Popn!W$171:W$175)*Tracks!$L$61,SUM(Popn!W$176:W$180)*Tracks!$L$62,SUM(Popn!W$181:W$185)*Tracks!$L$63,SUM(Popn!W$186:W$191)*Tracks!$L$64)/1000000000</f>
        <v>8.4479423055320204</v>
      </c>
      <c r="X101" s="100">
        <f>SUM(SUM(Popn!X$101:X$105)*Tracks!$L$47,SUM(Popn!X$106:X$110)*Tracks!$L$48,SUM(Popn!X$111:X$115)*Tracks!$L$49,SUM(Popn!X$116:X$120)*Tracks!$L$50,SUM(Popn!X$121:X$125)*Tracks!$L$51,SUM(Popn!X$126:X$130)*Tracks!$L$52,SUM(Popn!X$131:X$135)*Tracks!$L$53,SUM(Popn!X$136:X$140)*Tracks!$L$54,SUM(Popn!X$141:X$145)*Tracks!$L$55,SUM(Popn!X$146:X$150)*Tracks!$L$56,SUM(Popn!X$151:X$155)*Tracks!$L$57,SUM(Popn!X$156:X$160)*Tracks!$L$58,SUM(Popn!X$161:X$165)*Tracks!$L$59,SUM(Popn!X$166:X$170)*Tracks!$L$60,SUM(Popn!X$171:X$175)*Tracks!$L$61,SUM(Popn!X$176:X$180)*Tracks!$L$62,SUM(Popn!X$181:X$185)*Tracks!$L$63,SUM(Popn!X$186:X$191)*Tracks!$L$64)/1000000000</f>
        <v>8.5968902525123703</v>
      </c>
    </row>
    <row r="102" spans="1:24" x14ac:dyDescent="0.2">
      <c r="A102" s="108"/>
      <c r="B102" s="77"/>
      <c r="C102" s="69"/>
      <c r="D102" s="69"/>
      <c r="E102" s="69"/>
      <c r="F102" s="69"/>
      <c r="G102" s="69"/>
      <c r="H102" s="69"/>
      <c r="I102" s="73"/>
      <c r="J102" s="73"/>
    </row>
    <row r="103" spans="1:24" x14ac:dyDescent="0.2">
      <c r="A103" s="108" t="s">
        <v>933</v>
      </c>
      <c r="B103" s="77"/>
      <c r="C103" s="69"/>
      <c r="D103" s="69"/>
      <c r="E103" s="69"/>
      <c r="F103" s="69"/>
      <c r="G103" s="69"/>
      <c r="H103" s="69"/>
      <c r="I103" s="73"/>
      <c r="J103" s="73"/>
    </row>
    <row r="104" spans="1:24" x14ac:dyDescent="0.2">
      <c r="A104" s="31" t="s">
        <v>923</v>
      </c>
      <c r="B104" s="233"/>
      <c r="C104" s="69"/>
      <c r="D104" s="69">
        <f>Data!C$149</f>
        <v>0.38200000000000001</v>
      </c>
      <c r="E104" s="69">
        <f>Data!D$149</f>
        <v>0.38600000000000001</v>
      </c>
      <c r="F104" s="69">
        <f>Data!E$149</f>
        <v>0.44400000000000001</v>
      </c>
      <c r="G104" s="69">
        <f>Data!F$149</f>
        <v>0.56999999999999995</v>
      </c>
      <c r="H104" s="69">
        <f>Data!G$149</f>
        <v>0.62</v>
      </c>
      <c r="I104" s="69">
        <f>Data!H$149</f>
        <v>0.64400000000000002</v>
      </c>
      <c r="J104" s="125">
        <f>Data!I$149 + IF($I$1="Yes",J$296,0)</f>
        <v>0.54100000000000004</v>
      </c>
      <c r="K104" s="125">
        <f>Data!J$149 + IF($I$1="Yes",K$296,0)</f>
        <v>0.51100000000000001</v>
      </c>
      <c r="L104" s="125">
        <f>Data!K$149 + IF($I$1="Yes",L$296,0)</f>
        <v>0.49299999999999999</v>
      </c>
      <c r="M104" s="125">
        <f>Data!L$149 + IF($I$1="Yes",M$296,0)</f>
        <v>0.48299999999999998</v>
      </c>
      <c r="N104" s="125">
        <f>Data!M$149 + IF($I$1="Yes",N$296,0)</f>
        <v>0.47899999999999998</v>
      </c>
      <c r="O104" s="73">
        <f ca="1">N$104*(1+O$236)*(1+Popn!O$198)</f>
        <v>0.4853826794782588</v>
      </c>
      <c r="P104" s="73">
        <f ca="1">O$104*(1+P$236)*(1+Popn!P$198)</f>
        <v>0.49127516680502692</v>
      </c>
      <c r="Q104" s="73">
        <f ca="1">P$104*(1+Q$236)*(1+Popn!Q$198)</f>
        <v>0.49442145187157449</v>
      </c>
      <c r="R104" s="73">
        <f ca="1">Q$104*(1+R$236)*(1+Popn!R$198)</f>
        <v>0.49899426999451812</v>
      </c>
      <c r="S104" s="73">
        <f ca="1">R$104*(1+S$236)*(1+Popn!S$198)</f>
        <v>0.50751804940023459</v>
      </c>
      <c r="T104" s="73">
        <f ca="1">S$104*(1+T$236)*(1+Popn!T$198)</f>
        <v>0.51582093151465569</v>
      </c>
      <c r="U104" s="73">
        <f ca="1">T$104*(1+U$236)*(1+Popn!U$198)</f>
        <v>0.52707340610756448</v>
      </c>
      <c r="V104" s="73">
        <f ca="1">U$104*(1+V$236)*(1+Popn!V$198)</f>
        <v>0.53953699124979215</v>
      </c>
      <c r="W104" s="73">
        <f ca="1">V$104*(1+W$236)*(1+Popn!W$198)</f>
        <v>0.55661946078717128</v>
      </c>
      <c r="X104" s="73">
        <f ca="1">W$104*(1+X$236)*(1+Popn!X$198)</f>
        <v>0.57581628417234698</v>
      </c>
    </row>
    <row r="105" spans="1:24" x14ac:dyDescent="0.2">
      <c r="A105" s="31" t="s">
        <v>924</v>
      </c>
      <c r="B105" s="77"/>
      <c r="C105" s="69"/>
      <c r="D105" s="69">
        <f t="shared" ref="D105:X105" si="47">SUM(D$182,D$185)</f>
        <v>0.63900000000000001</v>
      </c>
      <c r="E105" s="69">
        <f t="shared" si="47"/>
        <v>0.25600000000000001</v>
      </c>
      <c r="F105" s="69">
        <f t="shared" si="47"/>
        <v>1.3109999999999999</v>
      </c>
      <c r="G105" s="69">
        <f t="shared" si="47"/>
        <v>1.008</v>
      </c>
      <c r="H105" s="69">
        <f t="shared" si="47"/>
        <v>0.58799999999999997</v>
      </c>
      <c r="I105" s="69">
        <f t="shared" si="47"/>
        <v>0.41499999999999998</v>
      </c>
      <c r="J105" s="125">
        <f t="shared" si="47"/>
        <v>0.69599999999999995</v>
      </c>
      <c r="K105" s="125">
        <f t="shared" si="47"/>
        <v>0.72</v>
      </c>
      <c r="L105" s="125">
        <f t="shared" si="47"/>
        <v>0.72699999999999998</v>
      </c>
      <c r="M105" s="125">
        <f t="shared" si="47"/>
        <v>0.745</v>
      </c>
      <c r="N105" s="125">
        <f t="shared" si="47"/>
        <v>0.76300000000000001</v>
      </c>
      <c r="O105" s="73">
        <f t="shared" ca="1" si="47"/>
        <v>0.78497607485499588</v>
      </c>
      <c r="P105" s="73">
        <f t="shared" ca="1" si="47"/>
        <v>0.81827084130886807</v>
      </c>
      <c r="Q105" s="73">
        <f t="shared" ca="1" si="47"/>
        <v>0.85819694977769667</v>
      </c>
      <c r="R105" s="73">
        <f t="shared" ca="1" si="47"/>
        <v>0.89346423171273193</v>
      </c>
      <c r="S105" s="73">
        <f t="shared" ca="1" si="47"/>
        <v>0.9325419025141336</v>
      </c>
      <c r="T105" s="73">
        <f t="shared" ca="1" si="47"/>
        <v>0.97731274056441619</v>
      </c>
      <c r="U105" s="73">
        <f t="shared" ca="1" si="47"/>
        <v>1.0099001769319005</v>
      </c>
      <c r="V105" s="73">
        <f t="shared" ca="1" si="47"/>
        <v>1.0444190162054088</v>
      </c>
      <c r="W105" s="73">
        <f t="shared" ca="1" si="47"/>
        <v>1.0846339383162604</v>
      </c>
      <c r="X105" s="73">
        <f t="shared" ca="1" si="47"/>
        <v>1.1296050320681763</v>
      </c>
    </row>
    <row r="106" spans="1:24" x14ac:dyDescent="0.2">
      <c r="A106" s="31" t="s">
        <v>925</v>
      </c>
      <c r="B106" s="77"/>
      <c r="C106" s="69"/>
      <c r="D106" s="176">
        <f t="shared" ref="D106:I106" si="48">D$107-SUM(D$104:D$105)</f>
        <v>8.2480000000000011</v>
      </c>
      <c r="E106" s="176">
        <f t="shared" si="48"/>
        <v>8.9090000000000007</v>
      </c>
      <c r="F106" s="176">
        <f t="shared" si="48"/>
        <v>9.6999999999999993</v>
      </c>
      <c r="G106" s="176">
        <f t="shared" si="48"/>
        <v>10.146000000000001</v>
      </c>
      <c r="H106" s="176">
        <f t="shared" si="48"/>
        <v>10.442</v>
      </c>
      <c r="I106" s="176">
        <f t="shared" si="48"/>
        <v>10.595000000000001</v>
      </c>
      <c r="J106" s="130">
        <f ca="1">J$107-SUM(J$104:J$105) + IF($I$1="Yes",J$296,0)</f>
        <v>11.163</v>
      </c>
      <c r="K106" s="130">
        <f ca="1">K$107-SUM(K$104:K$105) + IF($I$1="Yes",K$296,0)</f>
        <v>10.984</v>
      </c>
      <c r="L106" s="130">
        <f ca="1">L$107-SUM(L$104:L$105) + IF($I$1="Yes",L$296,0)</f>
        <v>11.084</v>
      </c>
      <c r="M106" s="130">
        <f ca="1">M$107-SUM(M$104:M$105) + IF($I$1="Yes",M$296,0)</f>
        <v>11.167</v>
      </c>
      <c r="N106" s="130">
        <f ca="1">N$107-SUM(N$104:N$105) + IF($I$1="Yes",N$296,0)</f>
        <v>11.2</v>
      </c>
      <c r="O106" s="278">
        <f ca="1">N$106 +IF(OFFSET(Scenarios!$A$63,0,$C$1)="Yes",(O$141-N$141)*OFFSET(Scenarios!$A$65,0,$C$1),0)</f>
        <v>11.2</v>
      </c>
      <c r="P106" s="278">
        <f ca="1">O$106 +IF(OFFSET(Scenarios!$A$63,0,$C$1)="Yes",(P$141-O$141)*OFFSET(Scenarios!$A$65,0,$C$1),0)</f>
        <v>11.2</v>
      </c>
      <c r="Q106" s="278">
        <f ca="1">P$106 +IF(OFFSET(Scenarios!$A$63,0,$C$1)="Yes",(Q$141-P$141)*OFFSET(Scenarios!$A$65,0,$C$1),0)</f>
        <v>11.2</v>
      </c>
      <c r="R106" s="278">
        <f ca="1">Q$106 +IF(OFFSET(Scenarios!$A$63,0,$C$1)="Yes",(R$141-Q$141)*OFFSET(Scenarios!$A$65,0,$C$1),0)</f>
        <v>11.2</v>
      </c>
      <c r="S106" s="278">
        <f ca="1">R$106 +IF(OFFSET(Scenarios!$A$63,0,$C$1)="Yes",(S$141-R$141)*OFFSET(Scenarios!$A$65,0,$C$1),0)</f>
        <v>11.2</v>
      </c>
      <c r="T106" s="278">
        <f ca="1">S$106 +IF(OFFSET(Scenarios!$A$63,0,$C$1)="Yes",(T$141-S$141)*OFFSET(Scenarios!$A$65,0,$C$1),0)</f>
        <v>11.2</v>
      </c>
      <c r="U106" s="278">
        <f ca="1">T$106 +IF(OFFSET(Scenarios!$A$63,0,$C$1)="Yes",(U$141-T$141)*OFFSET(Scenarios!$A$65,0,$C$1),0)</f>
        <v>11.2</v>
      </c>
      <c r="V106" s="278">
        <f ca="1">U$106 +IF(OFFSET(Scenarios!$A$63,0,$C$1)="Yes",(V$141-U$141)*OFFSET(Scenarios!$A$65,0,$C$1),0)</f>
        <v>11.2</v>
      </c>
      <c r="W106" s="278">
        <f ca="1">V$106 +IF(OFFSET(Scenarios!$A$63,0,$C$1)="Yes",(W$141-V$141)*OFFSET(Scenarios!$A$65,0,$C$1),0)</f>
        <v>11.2</v>
      </c>
      <c r="X106" s="278">
        <f ca="1">W$106 +IF(OFFSET(Scenarios!$A$63,0,$C$1)="Yes",(X$141-W$141)*OFFSET(Scenarios!$A$65,0,$C$1),0)</f>
        <v>11.2</v>
      </c>
    </row>
    <row r="107" spans="1:24" x14ac:dyDescent="0.2">
      <c r="A107" s="27" t="s">
        <v>142</v>
      </c>
      <c r="B107" s="233"/>
      <c r="C107" s="69"/>
      <c r="D107" s="71">
        <f>Data!C$42</f>
        <v>9.2690000000000001</v>
      </c>
      <c r="E107" s="71">
        <f>Data!D$42</f>
        <v>9.5510000000000002</v>
      </c>
      <c r="F107" s="71">
        <f>Data!E$42</f>
        <v>11.455</v>
      </c>
      <c r="G107" s="71">
        <f>Data!F$42</f>
        <v>11.724</v>
      </c>
      <c r="H107" s="71">
        <f>Data!G$42</f>
        <v>11.65</v>
      </c>
      <c r="I107" s="71">
        <f>Data!H$42</f>
        <v>11.654</v>
      </c>
      <c r="J107" s="131">
        <f ca="1">Data!I$42*IF($F$1="Yes",OFFSET('Forecast Adjuster'!$A$60,0,J$278)*OFFSET('Forecast Adjuster'!$A$63,0,J$278),1) + IF(OFFSET(Scenarios!$A$63,0,$C$1)="Yes",OFFSET(Scenarios!$A$65,0,$C$1)*J$141,0) + IF($I$1="Yes",SUM(J$296,J$297),0)</f>
        <v>12.4</v>
      </c>
      <c r="K107" s="131">
        <f ca="1">Data!J$42*IF($F$1="Yes",OFFSET('Forecast Adjuster'!$A$60,0,K$278)*OFFSET('Forecast Adjuster'!$A$63,0,K$278),1) + IF(OFFSET(Scenarios!$A$63,0,$C$1)="Yes",OFFSET(Scenarios!$A$65,0,$C$1)*K$141,0) + IF($I$1="Yes",SUM(K$296,K$297),0)</f>
        <v>12.215</v>
      </c>
      <c r="L107" s="131">
        <f ca="1">Data!K$42*IF($F$1="Yes",OFFSET('Forecast Adjuster'!$A$60,0,L$278)*OFFSET('Forecast Adjuster'!$A$63,0,L$278),1) + IF(OFFSET(Scenarios!$A$63,0,$C$1)="Yes",OFFSET(Scenarios!$A$65,0,$C$1)*L$141,0) + IF($I$1="Yes",SUM(L$296,L$297),0)</f>
        <v>12.304</v>
      </c>
      <c r="M107" s="131">
        <f ca="1">Data!L$42*IF($F$1="Yes",OFFSET('Forecast Adjuster'!$A$60,0,M$278)*OFFSET('Forecast Adjuster'!$A$63,0,M$278),1) + IF(OFFSET(Scenarios!$A$63,0,$C$1)="Yes",OFFSET(Scenarios!$A$65,0,$C$1)*M$141,0) + IF($I$1="Yes",SUM(M$296,M$297),0)</f>
        <v>12.395</v>
      </c>
      <c r="N107" s="131">
        <f ca="1">Data!M$42*IF($F$1="Yes",OFFSET('Forecast Adjuster'!$A$60,0,N$278)*OFFSET('Forecast Adjuster'!$A$63,0,N$278),1) + IF(OFFSET(Scenarios!$A$63,0,$C$1)="Yes",OFFSET(Scenarios!$A$65,0,$C$1)*N$141,0) + IF($I$1="Yes",SUM(N$296,N$297),0)</f>
        <v>12.442</v>
      </c>
      <c r="O107" s="75">
        <f t="shared" ref="O107:X107" ca="1" si="49">SUM(O$104:O$106)</f>
        <v>12.470358754333255</v>
      </c>
      <c r="P107" s="75">
        <f t="shared" ca="1" si="49"/>
        <v>12.509546008113894</v>
      </c>
      <c r="Q107" s="75">
        <f t="shared" ca="1" si="49"/>
        <v>12.552618401649271</v>
      </c>
      <c r="R107" s="75">
        <f t="shared" ca="1" si="49"/>
        <v>12.592458501707249</v>
      </c>
      <c r="S107" s="75">
        <f t="shared" ca="1" si="49"/>
        <v>12.640059951914367</v>
      </c>
      <c r="T107" s="75">
        <f t="shared" ca="1" si="49"/>
        <v>12.693133672079071</v>
      </c>
      <c r="U107" s="75">
        <f t="shared" ca="1" si="49"/>
        <v>12.736973583039465</v>
      </c>
      <c r="V107" s="75">
        <f t="shared" ca="1" si="49"/>
        <v>12.783956007455201</v>
      </c>
      <c r="W107" s="75">
        <f t="shared" ca="1" si="49"/>
        <v>12.841253399103431</v>
      </c>
      <c r="X107" s="75">
        <f t="shared" ca="1" si="49"/>
        <v>12.905421316240522</v>
      </c>
    </row>
    <row r="108" spans="1:24" x14ac:dyDescent="0.2">
      <c r="A108" s="27" t="s">
        <v>143</v>
      </c>
      <c r="B108" s="233"/>
      <c r="C108" s="69"/>
      <c r="D108" s="71">
        <f>Data!C$23</f>
        <v>9.8529999999999998</v>
      </c>
      <c r="E108" s="71">
        <f>Data!D$23</f>
        <v>10.397</v>
      </c>
      <c r="F108" s="71">
        <f>Data!E$23</f>
        <v>12.465</v>
      </c>
      <c r="G108" s="71">
        <f>Data!F$23</f>
        <v>12.44</v>
      </c>
      <c r="H108" s="71">
        <f>Data!G$23</f>
        <v>12.406000000000001</v>
      </c>
      <c r="I108" s="71">
        <f>Data!H$23</f>
        <v>12.407</v>
      </c>
      <c r="J108" s="131">
        <f ca="1">Data!I$23 + IF($F$1="Yes",Data!I$42*(OFFSET('Forecast Adjuster'!$A$60,0,J$278)*OFFSET('Forecast Adjuster'!$A$63,0,J$278)-1),0) + IF(OFFSET(Scenarios!$A$63,0,$C$1)="Yes",OFFSET(Scenarios!$A$65,0,$C$1)*J$141,0) + IF($I$1="Yes",SUM(J$296,J$297),0)</f>
        <v>13.262</v>
      </c>
      <c r="K108" s="131">
        <f ca="1">Data!J$23 + IF($F$1="Yes",Data!J$42*(OFFSET('Forecast Adjuster'!$A$60,0,K$278)*OFFSET('Forecast Adjuster'!$A$63,0,K$278)-1),0) + IF(OFFSET(Scenarios!$A$63,0,$C$1)="Yes",OFFSET(Scenarios!$A$65,0,$C$1)*K$141,0) + IF($I$1="Yes",SUM(K$296,K$297),0)</f>
        <v>13.055</v>
      </c>
      <c r="L108" s="131">
        <f ca="1">Data!K$23 + IF($F$1="Yes",Data!K$42*(OFFSET('Forecast Adjuster'!$A$60,0,L$278)*OFFSET('Forecast Adjuster'!$A$63,0,L$278)-1),0) + IF(OFFSET(Scenarios!$A$63,0,$C$1)="Yes",OFFSET(Scenarios!$A$65,0,$C$1)*L$141,0) + IF($I$1="Yes",SUM(L$296,L$297),0)</f>
        <v>13.172000000000001</v>
      </c>
      <c r="M108" s="131">
        <f ca="1">Data!L$23 + IF($F$1="Yes",Data!L$42*(OFFSET('Forecast Adjuster'!$A$60,0,M$278)*OFFSET('Forecast Adjuster'!$A$63,0,M$278)-1),0) + IF(OFFSET(Scenarios!$A$63,0,$C$1)="Yes",OFFSET(Scenarios!$A$65,0,$C$1)*M$141,0) + IF($I$1="Yes",SUM(M$296,M$297),0)</f>
        <v>13.302</v>
      </c>
      <c r="N108" s="131">
        <f ca="1">Data!M$23 + IF($F$1="Yes",Data!M$42*(OFFSET('Forecast Adjuster'!$A$60,0,N$278)*OFFSET('Forecast Adjuster'!$A$63,0,N$278)-1),0) + IF(OFFSET(Scenarios!$A$63,0,$C$1)="Yes",OFFSET(Scenarios!$A$65,0,$C$1)*N$141,0) + IF($I$1="Yes",SUM(N$296,N$297),0)</f>
        <v>13.349</v>
      </c>
      <c r="O108" s="75">
        <f ca="1">SUM(O$107,(N$108-N$107)*(1+AVERAGE(Popn!O$196:O$198)))</f>
        <v>13.37689623713753</v>
      </c>
      <c r="P108" s="75">
        <f ca="1">SUM(P$107,(O$108-O$107)*(1+AVERAGE(Popn!P$196:P$198)))</f>
        <v>13.416150720542987</v>
      </c>
      <c r="Q108" s="75">
        <f ca="1">SUM(Q$107,(P$108-P$107)*(1+AVERAGE(Popn!Q$196:Q$198)))</f>
        <v>13.458704366170938</v>
      </c>
      <c r="R108" s="75">
        <f ca="1">SUM(R$107,(Q$108-Q$107)*(1+AVERAGE(Popn!R$196:R$198)))</f>
        <v>13.49887004994649</v>
      </c>
      <c r="S108" s="75">
        <f ca="1">SUM(S$107,(R$108-R$107)*(1+AVERAGE(Popn!S$196:S$198)))</f>
        <v>13.548501206561712</v>
      </c>
      <c r="T108" s="75">
        <f ca="1">SUM(T$107,(S$108-S$107)*(1+AVERAGE(Popn!T$196:T$198)))</f>
        <v>13.60352905326123</v>
      </c>
      <c r="U108" s="75">
        <f ca="1">SUM(U$107,(T$108-T$107)*(1+AVERAGE(Popn!U$196:U$198)))</f>
        <v>13.650366727643686</v>
      </c>
      <c r="V108" s="75">
        <f ca="1">SUM(V$107,(U$108-U$107)*(1+AVERAGE(Popn!V$196:V$198)))</f>
        <v>13.699763900876334</v>
      </c>
      <c r="W108" s="75">
        <f ca="1">SUM(W$107,(V$108-V$107)*(1+AVERAGE(Popn!W$196:W$198)))</f>
        <v>13.760926151154749</v>
      </c>
      <c r="X108" s="75">
        <f ca="1">SUM(X$107,(W$108-W$107)*(1+AVERAGE(Popn!X$196:X$198)))</f>
        <v>13.830062490498158</v>
      </c>
    </row>
    <row r="109" spans="1:24" x14ac:dyDescent="0.2">
      <c r="A109" s="27"/>
      <c r="B109" s="69"/>
      <c r="C109" s="69"/>
      <c r="D109" s="71"/>
      <c r="E109" s="71"/>
      <c r="F109" s="71"/>
      <c r="G109" s="71"/>
      <c r="H109" s="71"/>
      <c r="I109" s="131"/>
      <c r="J109" s="131"/>
      <c r="K109" s="131"/>
      <c r="L109" s="131"/>
      <c r="M109" s="131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</row>
    <row r="110" spans="1:24" x14ac:dyDescent="0.2">
      <c r="A110" s="108" t="s">
        <v>934</v>
      </c>
      <c r="B110" s="69"/>
      <c r="C110" s="69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x14ac:dyDescent="0.2">
      <c r="A111" s="27" t="s">
        <v>935</v>
      </c>
      <c r="B111" s="233"/>
      <c r="C111" s="69"/>
      <c r="D111" s="71">
        <f>Data!C$46</f>
        <v>2.4049999999999998</v>
      </c>
      <c r="E111" s="71">
        <f>Data!D$46</f>
        <v>2.2440000000000002</v>
      </c>
      <c r="F111" s="71">
        <f>Data!E$46</f>
        <v>2.6629999999999998</v>
      </c>
      <c r="G111" s="71">
        <f>Data!F$46</f>
        <v>2.3450000000000002</v>
      </c>
      <c r="H111" s="71">
        <f>Data!G$46</f>
        <v>2.2810000000000001</v>
      </c>
      <c r="I111" s="71">
        <f>Data!H$46</f>
        <v>2.2320000000000002</v>
      </c>
      <c r="J111" s="131">
        <f>Data!I$46</f>
        <v>2.4350000000000001</v>
      </c>
      <c r="K111" s="131">
        <f>Data!J$46</f>
        <v>2.073</v>
      </c>
      <c r="L111" s="131">
        <f>Data!K$46</f>
        <v>2.2120000000000002</v>
      </c>
      <c r="M111" s="131">
        <f>Data!L$46</f>
        <v>2.145</v>
      </c>
      <c r="N111" s="131">
        <f>Data!M$46</f>
        <v>2.2170000000000001</v>
      </c>
      <c r="O111" s="75">
        <f t="shared" ref="O111:X111" ca="1" si="50">N$111*O$50/N$50</f>
        <v>2.3111949938553984</v>
      </c>
      <c r="P111" s="75">
        <f t="shared" ca="1" si="50"/>
        <v>2.4151817665857349</v>
      </c>
      <c r="Q111" s="75">
        <f t="shared" ca="1" si="50"/>
        <v>2.5266212943160449</v>
      </c>
      <c r="R111" s="75">
        <f t="shared" ca="1" si="50"/>
        <v>2.6419202887184445</v>
      </c>
      <c r="S111" s="75">
        <f t="shared" ca="1" si="50"/>
        <v>2.7634136631635133</v>
      </c>
      <c r="T111" s="75">
        <f t="shared" ca="1" si="50"/>
        <v>2.8903005756369069</v>
      </c>
      <c r="U111" s="75">
        <f t="shared" ca="1" si="50"/>
        <v>3.0203085468329847</v>
      </c>
      <c r="V111" s="75">
        <f t="shared" ca="1" si="50"/>
        <v>3.1537581793929643</v>
      </c>
      <c r="W111" s="75">
        <f t="shared" ca="1" si="50"/>
        <v>3.2913683043740529</v>
      </c>
      <c r="X111" s="75">
        <f t="shared" ca="1" si="50"/>
        <v>3.4328594876210641</v>
      </c>
    </row>
    <row r="112" spans="1:24" x14ac:dyDescent="0.2">
      <c r="A112" s="27" t="s">
        <v>936</v>
      </c>
      <c r="B112" s="233"/>
      <c r="C112" s="69"/>
      <c r="D112" s="71">
        <f>Data!C$27</f>
        <v>6.99</v>
      </c>
      <c r="E112" s="71">
        <f>Data!D$27</f>
        <v>7.4240000000000004</v>
      </c>
      <c r="F112" s="71">
        <f>Data!E$27</f>
        <v>9.0229999999999997</v>
      </c>
      <c r="G112" s="71">
        <f>Data!F$27</f>
        <v>7.9909999999999997</v>
      </c>
      <c r="H112" s="71">
        <f>Data!G$27</f>
        <v>8.4019999999999992</v>
      </c>
      <c r="I112" s="71">
        <f>Data!H$27</f>
        <v>10.259</v>
      </c>
      <c r="J112" s="131">
        <f>Data!I$27</f>
        <v>8.952</v>
      </c>
      <c r="K112" s="131">
        <f>Data!J$27</f>
        <v>8.8580000000000005</v>
      </c>
      <c r="L112" s="131">
        <f>Data!K$27</f>
        <v>9.1240000000000006</v>
      </c>
      <c r="M112" s="131">
        <f>Data!L$27</f>
        <v>9.2669999999999995</v>
      </c>
      <c r="N112" s="131">
        <f>Data!M$27</f>
        <v>9.5030000000000001</v>
      </c>
      <c r="O112" s="75">
        <f t="shared" ref="O112:X112" ca="1" si="51">SUM(O$111,(N$112-N$111)*(1+O$234))</f>
        <v>9.9223887798507988</v>
      </c>
      <c r="P112" s="75">
        <f t="shared" ca="1" si="51"/>
        <v>10.368823282234002</v>
      </c>
      <c r="Q112" s="75">
        <f t="shared" ca="1" si="51"/>
        <v>10.847253844139363</v>
      </c>
      <c r="R112" s="75">
        <f t="shared" ca="1" si="51"/>
        <v>11.342253812306492</v>
      </c>
      <c r="S112" s="75">
        <f t="shared" ca="1" si="51"/>
        <v>11.863847402905705</v>
      </c>
      <c r="T112" s="75">
        <f t="shared" ca="1" si="51"/>
        <v>12.408596452632437</v>
      </c>
      <c r="U112" s="75">
        <f t="shared" ca="1" si="51"/>
        <v>12.966744786337179</v>
      </c>
      <c r="V112" s="75">
        <f t="shared" ca="1" si="51"/>
        <v>13.539668810622773</v>
      </c>
      <c r="W112" s="75">
        <f t="shared" ca="1" si="51"/>
        <v>14.130454600543731</v>
      </c>
      <c r="X112" s="75">
        <f t="shared" ca="1" si="51"/>
        <v>14.737902493443501</v>
      </c>
    </row>
    <row r="113" spans="1:24" x14ac:dyDescent="0.2">
      <c r="A113" s="27"/>
      <c r="B113" s="102"/>
      <c r="C113" s="69"/>
      <c r="D113" s="71"/>
      <c r="E113" s="71"/>
      <c r="F113" s="71"/>
      <c r="G113" s="71"/>
      <c r="H113" s="71"/>
      <c r="I113" s="71"/>
      <c r="J113" s="131"/>
      <c r="K113" s="131"/>
      <c r="L113" s="131"/>
      <c r="M113" s="131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</row>
    <row r="114" spans="1:24" x14ac:dyDescent="0.2">
      <c r="A114" s="108" t="s">
        <v>937</v>
      </c>
      <c r="B114" s="102"/>
      <c r="C114" s="69"/>
      <c r="D114" s="71"/>
      <c r="E114" s="71"/>
      <c r="F114" s="71"/>
      <c r="G114" s="71"/>
      <c r="H114" s="71"/>
      <c r="I114" s="71"/>
      <c r="J114" s="131"/>
      <c r="K114" s="131"/>
      <c r="L114" s="131"/>
      <c r="M114" s="131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24" x14ac:dyDescent="0.2">
      <c r="A115" s="31" t="s">
        <v>165</v>
      </c>
      <c r="B115" s="233"/>
      <c r="C115" s="69"/>
      <c r="D115" s="69">
        <f>Data!C$150</f>
        <v>0</v>
      </c>
      <c r="E115" s="69">
        <f>Data!D$150</f>
        <v>1.1020000000000001</v>
      </c>
      <c r="F115" s="69">
        <f>Data!E$150</f>
        <v>1.2809999999999999</v>
      </c>
      <c r="G115" s="69">
        <f>Data!F$150</f>
        <v>1.024</v>
      </c>
      <c r="H115" s="69">
        <f>Data!G$150</f>
        <v>1.042</v>
      </c>
      <c r="I115" s="69">
        <f>Data!H$150</f>
        <v>0.68799999999999994</v>
      </c>
      <c r="J115" s="272">
        <f>Data!I$150 + IF($I$1="Yes",J$298,0)</f>
        <v>0.71</v>
      </c>
      <c r="K115" s="272">
        <f>Data!J$150 + IF($I$1="Yes",K$298,0)</f>
        <v>0.70199999999999996</v>
      </c>
      <c r="L115" s="272">
        <f>Data!K$150 + IF($I$1="Yes",L$298,0)</f>
        <v>0.69599999999999995</v>
      </c>
      <c r="M115" s="272">
        <f>Data!L$150 + IF($I$1="Yes",M$298,0)</f>
        <v>0.72099999999999997</v>
      </c>
      <c r="N115" s="272">
        <f>Data!M$150 + IF($I$1="Yes",N$298,0)</f>
        <v>0.748</v>
      </c>
      <c r="O115" s="73">
        <f>Tracks!S$27/1000</f>
        <v>0.78058211357815976</v>
      </c>
      <c r="P115" s="73">
        <f>Tracks!T$27/1000</f>
        <v>0.81461871042507827</v>
      </c>
      <c r="Q115" s="73">
        <f>Tracks!U$27/1000</f>
        <v>0.84690176664149852</v>
      </c>
      <c r="R115" s="73">
        <f>Tracks!V$27/1000</f>
        <v>0.88167881642733703</v>
      </c>
      <c r="S115" s="73">
        <f>Tracks!W$27/1000</f>
        <v>0.91621507380922096</v>
      </c>
      <c r="T115" s="73">
        <f ca="1">S$115*(1+T$234)</f>
        <v>0.95828467179483223</v>
      </c>
      <c r="U115" s="100">
        <f ca="1">T$115*(1+U$234)</f>
        <v>1.0013890627562783</v>
      </c>
      <c r="V115" s="100">
        <f ca="1">U$115*(1+V$234)</f>
        <v>1.0456345431111029</v>
      </c>
      <c r="W115" s="100">
        <f ca="1">V$115*(1+W$234)</f>
        <v>1.0912594426681637</v>
      </c>
      <c r="X115" s="100">
        <f ca="1">W$115*(1+X$234)</f>
        <v>1.1381711145000273</v>
      </c>
    </row>
    <row r="116" spans="1:24" x14ac:dyDescent="0.2">
      <c r="A116" s="31" t="s">
        <v>938</v>
      </c>
      <c r="B116" s="102"/>
      <c r="C116" s="69"/>
      <c r="D116" s="176">
        <f>D$117-D$115</f>
        <v>1.595</v>
      </c>
      <c r="E116" s="176">
        <f t="shared" ref="E116:N116" si="52">E$117-E$115</f>
        <v>1.7869999999999997</v>
      </c>
      <c r="F116" s="176">
        <f t="shared" si="52"/>
        <v>1.679</v>
      </c>
      <c r="G116" s="176">
        <f t="shared" si="52"/>
        <v>1.8149999999999999</v>
      </c>
      <c r="H116" s="176">
        <f t="shared" si="52"/>
        <v>1.5669999999999999</v>
      </c>
      <c r="I116" s="176">
        <f t="shared" si="52"/>
        <v>1.4690000000000001</v>
      </c>
      <c r="J116" s="130">
        <f t="shared" ca="1" si="52"/>
        <v>1.3719999999999999</v>
      </c>
      <c r="K116" s="130">
        <f t="shared" ca="1" si="52"/>
        <v>1.26</v>
      </c>
      <c r="L116" s="130">
        <f t="shared" ca="1" si="52"/>
        <v>1.1990000000000001</v>
      </c>
      <c r="M116" s="130">
        <f t="shared" ca="1" si="52"/>
        <v>1.2029999999999998</v>
      </c>
      <c r="N116" s="130">
        <f t="shared" ca="1" si="52"/>
        <v>1.196</v>
      </c>
      <c r="O116" s="278">
        <f ca="1">N$116 +IF(OFFSET(Scenarios!$A$63,0,$C$1)="Yes",(O$141-N$141)*OFFSET(Scenarios!$A$70,0,$C$1),0)</f>
        <v>1.196</v>
      </c>
      <c r="P116" s="278">
        <f ca="1">O$116 +IF(OFFSET(Scenarios!$A$63,0,$C$1)="Yes",(P$141-O$141)*OFFSET(Scenarios!$A$70,0,$C$1),0)</f>
        <v>1.196</v>
      </c>
      <c r="Q116" s="278">
        <f ca="1">P$116 +IF(OFFSET(Scenarios!$A$63,0,$C$1)="Yes",(Q$141-P$141)*OFFSET(Scenarios!$A$70,0,$C$1),0)</f>
        <v>1.196</v>
      </c>
      <c r="R116" s="278">
        <f ca="1">Q$116 +IF(OFFSET(Scenarios!$A$63,0,$C$1)="Yes",(R$141-Q$141)*OFFSET(Scenarios!$A$70,0,$C$1),0)</f>
        <v>1.196</v>
      </c>
      <c r="S116" s="278">
        <f ca="1">R$116 +IF(OFFSET(Scenarios!$A$63,0,$C$1)="Yes",(S$141-R$141)*OFFSET(Scenarios!$A$70,0,$C$1),0)</f>
        <v>1.196</v>
      </c>
      <c r="T116" s="278">
        <f ca="1">S$116 +IF(OFFSET(Scenarios!$A$63,0,$C$1)="Yes",(T$141-S$141)*OFFSET(Scenarios!$A$70,0,$C$1),0)</f>
        <v>1.196</v>
      </c>
      <c r="U116" s="278">
        <f ca="1">T$116 +IF(OFFSET(Scenarios!$A$63,0,$C$1)="Yes",(U$141-T$141)*OFFSET(Scenarios!$A$70,0,$C$1),0)</f>
        <v>1.196</v>
      </c>
      <c r="V116" s="278">
        <f ca="1">U$116 +IF(OFFSET(Scenarios!$A$63,0,$C$1)="Yes",(V$141-U$141)*OFFSET(Scenarios!$A$70,0,$C$1),0)</f>
        <v>1.196</v>
      </c>
      <c r="W116" s="278">
        <f ca="1">V$116 +IF(OFFSET(Scenarios!$A$63,0,$C$1)="Yes",(W$141-V$141)*OFFSET(Scenarios!$A$70,0,$C$1),0)</f>
        <v>1.196</v>
      </c>
      <c r="X116" s="278">
        <f ca="1">W$116 +IF(OFFSET(Scenarios!$A$63,0,$C$1)="Yes",(X$141-W$141)*OFFSET(Scenarios!$A$70,0,$C$1),0)</f>
        <v>1.196</v>
      </c>
    </row>
    <row r="117" spans="1:24" x14ac:dyDescent="0.2">
      <c r="A117" s="27" t="s">
        <v>939</v>
      </c>
      <c r="B117" s="233"/>
      <c r="C117" s="69"/>
      <c r="D117" s="71">
        <f>Data!C$47</f>
        <v>1.595</v>
      </c>
      <c r="E117" s="71">
        <f>Data!D$47</f>
        <v>2.8889999999999998</v>
      </c>
      <c r="F117" s="71">
        <f>Data!E$47</f>
        <v>2.96</v>
      </c>
      <c r="G117" s="71">
        <f>Data!F$47</f>
        <v>2.839</v>
      </c>
      <c r="H117" s="71">
        <f>Data!G$47</f>
        <v>2.609</v>
      </c>
      <c r="I117" s="71">
        <f>Data!H$47</f>
        <v>2.157</v>
      </c>
      <c r="J117" s="131">
        <f ca="1">Data!I$47*IF($F$1="Yes",OFFSET('Forecast Adjuster'!$A$60,0,J$278)*OFFSET('Forecast Adjuster'!$A$63,0,J$278),1) + IF(OFFSET(Scenarios!$A$63,0,$C$1)="Yes",OFFSET(Scenarios!$A$70,0,$C$1)*J$141,0) + IF($I$1="Yes",J$298,0)</f>
        <v>2.0819999999999999</v>
      </c>
      <c r="K117" s="131">
        <f ca="1">Data!J$47*IF($F$1="Yes",OFFSET('Forecast Adjuster'!$A$60,0,K$278)*OFFSET('Forecast Adjuster'!$A$63,0,K$278),1) + IF(OFFSET(Scenarios!$A$63,0,$C$1)="Yes",OFFSET(Scenarios!$A$70,0,$C$1)*K$141,0) + IF($I$1="Yes",K$298,0)</f>
        <v>1.962</v>
      </c>
      <c r="L117" s="131">
        <f ca="1">Data!K$47*IF($F$1="Yes",OFFSET('Forecast Adjuster'!$A$60,0,L$278)*OFFSET('Forecast Adjuster'!$A$63,0,L$278),1) + IF(OFFSET(Scenarios!$A$63,0,$C$1)="Yes",OFFSET(Scenarios!$A$70,0,$C$1)*L$141,0) + IF($I$1="Yes",L$298,0)</f>
        <v>1.895</v>
      </c>
      <c r="M117" s="131">
        <f ca="1">Data!L$47*IF($F$1="Yes",OFFSET('Forecast Adjuster'!$A$60,0,M$278)*OFFSET('Forecast Adjuster'!$A$63,0,M$278),1) + IF(OFFSET(Scenarios!$A$63,0,$C$1)="Yes",OFFSET(Scenarios!$A$70,0,$C$1)*M$141,0) + IF($I$1="Yes",M$298,0)</f>
        <v>1.9239999999999999</v>
      </c>
      <c r="N117" s="131">
        <f ca="1">Data!M$47*IF($F$1="Yes",OFFSET('Forecast Adjuster'!$A$60,0,N$278)*OFFSET('Forecast Adjuster'!$A$63,0,N$278),1) + IF(OFFSET(Scenarios!$A$63,0,$C$1)="Yes",OFFSET(Scenarios!$A$70,0,$C$1)*N$141,0) + IF($I$1="Yes",N$298,0)</f>
        <v>1.944</v>
      </c>
      <c r="O117" s="75">
        <f t="shared" ref="O117:X117" ca="1" si="53">SUM(O$115:O$116)</f>
        <v>1.9765821135781598</v>
      </c>
      <c r="P117" s="75">
        <f t="shared" ca="1" si="53"/>
        <v>2.0106187104250783</v>
      </c>
      <c r="Q117" s="75">
        <f t="shared" ca="1" si="53"/>
        <v>2.0429017666414984</v>
      </c>
      <c r="R117" s="75">
        <f t="shared" ca="1" si="53"/>
        <v>2.077678816427337</v>
      </c>
      <c r="S117" s="75">
        <f t="shared" ca="1" si="53"/>
        <v>2.1122150738092209</v>
      </c>
      <c r="T117" s="75">
        <f t="shared" ca="1" si="53"/>
        <v>2.1542846717948323</v>
      </c>
      <c r="U117" s="75">
        <f t="shared" ca="1" si="53"/>
        <v>2.1973890627562782</v>
      </c>
      <c r="V117" s="75">
        <f t="shared" ca="1" si="53"/>
        <v>2.2416345431111031</v>
      </c>
      <c r="W117" s="75">
        <f t="shared" ca="1" si="53"/>
        <v>2.2872594426681636</v>
      </c>
      <c r="X117" s="75">
        <f t="shared" ca="1" si="53"/>
        <v>2.3341711145000272</v>
      </c>
    </row>
    <row r="118" spans="1:24" x14ac:dyDescent="0.2">
      <c r="A118" s="27" t="s">
        <v>940</v>
      </c>
      <c r="B118" s="233"/>
      <c r="C118" s="69"/>
      <c r="D118" s="71">
        <f>Data!C$28</f>
        <v>4.7229999999999999</v>
      </c>
      <c r="E118" s="71">
        <f>Data!D$28</f>
        <v>9.0380000000000003</v>
      </c>
      <c r="F118" s="71">
        <f>Data!E$28</f>
        <v>7.6950000000000003</v>
      </c>
      <c r="G118" s="71">
        <f>Data!F$28</f>
        <v>7.5410000000000004</v>
      </c>
      <c r="H118" s="71">
        <f>Data!G$28</f>
        <v>18.818000000000001</v>
      </c>
      <c r="I118" s="71">
        <f>Data!H$28</f>
        <v>10.018000000000001</v>
      </c>
      <c r="J118" s="131">
        <f ca="1">Data!I$28 + IF($F$1="Yes",Data!I$47*(OFFSET('Forecast Adjuster'!$A$60,0,J$278)*OFFSET('Forecast Adjuster'!$A$63,0,J$278)-1),0) + IF(OFFSET(Scenarios!$A$63,0,$C$1)="Yes",OFFSET(Scenarios!$A$70,0,$C$1)*J$141,0) + IF($I$1="Yes",J$298,0)</f>
        <v>7.4790000000000001</v>
      </c>
      <c r="K118" s="131">
        <f ca="1">Data!J$28 + IF($F$1="Yes",Data!J$47*(OFFSET('Forecast Adjuster'!$A$60,0,K$278)*OFFSET('Forecast Adjuster'!$A$63,0,K$278)-1),0) + IF(OFFSET(Scenarios!$A$63,0,$C$1)="Yes",OFFSET(Scenarios!$A$70,0,$C$1)*K$141,0) + IF($I$1="Yes",K$298,0)</f>
        <v>7.15</v>
      </c>
      <c r="L118" s="131">
        <f ca="1">Data!K$28 + IF($F$1="Yes",Data!K$47*(OFFSET('Forecast Adjuster'!$A$60,0,L$278)*OFFSET('Forecast Adjuster'!$A$63,0,L$278)-1),0) + IF(OFFSET(Scenarios!$A$63,0,$C$1)="Yes",OFFSET(Scenarios!$A$70,0,$C$1)*L$141,0) + IF($I$1="Yes",L$298,0)</f>
        <v>7.7030000000000003</v>
      </c>
      <c r="M118" s="131">
        <f ca="1">Data!L$28 + IF($F$1="Yes",Data!L$47*(OFFSET('Forecast Adjuster'!$A$60,0,M$278)*OFFSET('Forecast Adjuster'!$A$63,0,M$278)-1),0) + IF(OFFSET(Scenarios!$A$63,0,$C$1)="Yes",OFFSET(Scenarios!$A$70,0,$C$1)*M$141,0) + IF($I$1="Yes",M$298,0)</f>
        <v>7.9390000000000001</v>
      </c>
      <c r="N118" s="131">
        <f ca="1">Data!M$28 + IF($F$1="Yes",Data!M$47*(OFFSET('Forecast Adjuster'!$A$60,0,N$278)*OFFSET('Forecast Adjuster'!$A$63,0,N$278)-1),0) + IF(OFFSET(Scenarios!$A$63,0,$C$1)="Yes",OFFSET(Scenarios!$A$70,0,$C$1)*N$141,0) + IF($I$1="Yes",N$298,0)</f>
        <v>8.4450000000000003</v>
      </c>
      <c r="O118" s="75">
        <f t="shared" ref="O118:X118" ca="1" si="54">SUM(O$117,(N$118-N$117)*(1+O$234))</f>
        <v>8.7677392372065022</v>
      </c>
      <c r="P118" s="75">
        <f t="shared" ca="1" si="54"/>
        <v>9.1073279463884855</v>
      </c>
      <c r="Q118" s="75">
        <f t="shared" ca="1" si="54"/>
        <v>9.4670621024089137</v>
      </c>
      <c r="R118" s="75">
        <f t="shared" ca="1" si="54"/>
        <v>9.8406308116024519</v>
      </c>
      <c r="S118" s="75">
        <f t="shared" ca="1" si="54"/>
        <v>10.232160138599776</v>
      </c>
      <c r="T118" s="75">
        <f t="shared" ca="1" si="54"/>
        <v>10.64707104241629</v>
      </c>
      <c r="U118" s="75">
        <f t="shared" ca="1" si="54"/>
        <v>11.072187579503019</v>
      </c>
      <c r="V118" s="75">
        <f t="shared" ca="1" si="54"/>
        <v>11.508558096998694</v>
      </c>
      <c r="W118" s="75">
        <f t="shared" ca="1" si="54"/>
        <v>11.958533119774817</v>
      </c>
      <c r="X118" s="75">
        <f t="shared" ca="1" si="54"/>
        <v>12.421198918624603</v>
      </c>
    </row>
    <row r="119" spans="1:24" x14ac:dyDescent="0.2">
      <c r="A119" s="27"/>
      <c r="B119" s="69"/>
      <c r="C119" s="69"/>
      <c r="D119" s="71"/>
      <c r="E119" s="71"/>
      <c r="F119" s="71"/>
      <c r="G119" s="71"/>
      <c r="H119" s="71"/>
      <c r="I119" s="131"/>
      <c r="J119" s="131"/>
      <c r="K119" s="131"/>
      <c r="L119" s="131"/>
      <c r="M119" s="131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x14ac:dyDescent="0.2">
      <c r="A120" s="108" t="s">
        <v>1033</v>
      </c>
      <c r="B120" s="69"/>
      <c r="C120" s="69"/>
      <c r="D120" s="71"/>
      <c r="E120" s="71"/>
      <c r="F120" s="71"/>
      <c r="G120" s="71"/>
      <c r="H120" s="71"/>
      <c r="I120" s="131"/>
      <c r="J120" s="131"/>
      <c r="K120" s="131"/>
      <c r="L120" s="131"/>
      <c r="M120" s="131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</row>
    <row r="121" spans="1:24" x14ac:dyDescent="0.2">
      <c r="A121" s="31" t="s">
        <v>942</v>
      </c>
      <c r="B121" s="233"/>
      <c r="C121" s="69"/>
      <c r="D121" s="69">
        <f>D$209</f>
        <v>0</v>
      </c>
      <c r="E121" s="69">
        <f t="shared" ref="E121:X121" si="55">E$209</f>
        <v>0</v>
      </c>
      <c r="F121" s="69">
        <f t="shared" si="55"/>
        <v>1.7000000000000001E-2</v>
      </c>
      <c r="G121" s="69">
        <f t="shared" si="55"/>
        <v>0.08</v>
      </c>
      <c r="H121" s="69">
        <f t="shared" si="55"/>
        <v>0.86</v>
      </c>
      <c r="I121" s="69">
        <f t="shared" si="55"/>
        <v>0.33400000000000002</v>
      </c>
      <c r="J121" s="125">
        <f t="shared" si="55"/>
        <v>5.8999999999999997E-2</v>
      </c>
      <c r="K121" s="125">
        <f t="shared" si="55"/>
        <v>6.0999999999999999E-2</v>
      </c>
      <c r="L121" s="125">
        <f t="shared" si="55"/>
        <v>6.3E-2</v>
      </c>
      <c r="M121" s="125">
        <f t="shared" si="55"/>
        <v>6.5000000000000002E-2</v>
      </c>
      <c r="N121" s="125">
        <f t="shared" si="55"/>
        <v>6.6000000000000003E-2</v>
      </c>
      <c r="O121" s="73">
        <f t="shared" ca="1" si="55"/>
        <v>6.7330025316455697E-2</v>
      </c>
      <c r="P121" s="73">
        <f t="shared" ca="1" si="55"/>
        <v>6.8676625822784818E-2</v>
      </c>
      <c r="Q121" s="73">
        <f t="shared" ca="1" si="55"/>
        <v>7.0050158339240512E-2</v>
      </c>
      <c r="R121" s="73">
        <f t="shared" ca="1" si="55"/>
        <v>7.1451161506025318E-2</v>
      </c>
      <c r="S121" s="73">
        <f t="shared" ca="1" si="55"/>
        <v>7.2880184736145825E-2</v>
      </c>
      <c r="T121" s="73">
        <f t="shared" ca="1" si="55"/>
        <v>7.4337788430868745E-2</v>
      </c>
      <c r="U121" s="73">
        <f t="shared" ca="1" si="55"/>
        <v>7.5824544199486116E-2</v>
      </c>
      <c r="V121" s="73">
        <f t="shared" ca="1" si="55"/>
        <v>7.734103508347584E-2</v>
      </c>
      <c r="W121" s="73">
        <f t="shared" ca="1" si="55"/>
        <v>7.8887855785145358E-2</v>
      </c>
      <c r="X121" s="73">
        <f t="shared" ca="1" si="55"/>
        <v>8.0465612900848263E-2</v>
      </c>
    </row>
    <row r="122" spans="1:24" x14ac:dyDescent="0.2">
      <c r="A122" s="31" t="s">
        <v>1037</v>
      </c>
      <c r="B122" s="69"/>
      <c r="C122" s="69"/>
      <c r="D122" s="176">
        <f>D$123-D$121</f>
        <v>0.32100000000000001</v>
      </c>
      <c r="E122" s="176">
        <f>E$123-E$121</f>
        <v>0.54600000000000004</v>
      </c>
      <c r="F122" s="176">
        <f t="shared" ref="F122:N122" si="56">F$123-F$121</f>
        <v>0.39899999999999997</v>
      </c>
      <c r="G122" s="176">
        <f t="shared" si="56"/>
        <v>0.57100000000000006</v>
      </c>
      <c r="H122" s="176">
        <f t="shared" si="56"/>
        <v>0.3650000000000001</v>
      </c>
      <c r="I122" s="176">
        <f t="shared" si="56"/>
        <v>0.435</v>
      </c>
      <c r="J122" s="130">
        <f t="shared" ca="1" si="56"/>
        <v>0.52600000000000002</v>
      </c>
      <c r="K122" s="130">
        <f t="shared" ca="1" si="56"/>
        <v>0.42499999999999999</v>
      </c>
      <c r="L122" s="130">
        <f t="shared" ca="1" si="56"/>
        <v>0.41399999999999998</v>
      </c>
      <c r="M122" s="130">
        <f t="shared" ca="1" si="56"/>
        <v>0.42699999999999999</v>
      </c>
      <c r="N122" s="130">
        <f t="shared" ca="1" si="56"/>
        <v>0.41699999999999998</v>
      </c>
      <c r="O122" s="278">
        <f ca="1">N$122 +IF(OFFSET(Scenarios!$A$63,0,$C$1)="Yes",(O$141-N$141)*OFFSET(Scenarios!$A$72,0,$C$1),0)</f>
        <v>0.41699999999999998</v>
      </c>
      <c r="P122" s="278">
        <f ca="1">O$122 +IF(OFFSET(Scenarios!$A$63,0,$C$1)="Yes",(P$141-O$141)*OFFSET(Scenarios!$A$72,0,$C$1),0)</f>
        <v>0.41699999999999998</v>
      </c>
      <c r="Q122" s="278">
        <f ca="1">P$122 +IF(OFFSET(Scenarios!$A$63,0,$C$1)="Yes",(Q$141-P$141)*OFFSET(Scenarios!$A$72,0,$C$1),0)</f>
        <v>0.41699999999999998</v>
      </c>
      <c r="R122" s="278">
        <f ca="1">Q$122 +IF(OFFSET(Scenarios!$A$63,0,$C$1)="Yes",(R$141-Q$141)*OFFSET(Scenarios!$A$72,0,$C$1),0)</f>
        <v>0.41699999999999998</v>
      </c>
      <c r="S122" s="278">
        <f ca="1">R$122 +IF(OFFSET(Scenarios!$A$63,0,$C$1)="Yes",(S$141-R$141)*OFFSET(Scenarios!$A$72,0,$C$1),0)</f>
        <v>0.41699999999999998</v>
      </c>
      <c r="T122" s="278">
        <f ca="1">S$122 +IF(OFFSET(Scenarios!$A$63,0,$C$1)="Yes",(T$141-S$141)*OFFSET(Scenarios!$A$72,0,$C$1),0)</f>
        <v>0.41699999999999998</v>
      </c>
      <c r="U122" s="278">
        <f ca="1">T$122 +IF(OFFSET(Scenarios!$A$63,0,$C$1)="Yes",(U$141-T$141)*OFFSET(Scenarios!$A$72,0,$C$1),0)</f>
        <v>0.41699999999999998</v>
      </c>
      <c r="V122" s="278">
        <f ca="1">U$122 +IF(OFFSET(Scenarios!$A$63,0,$C$1)="Yes",(V$141-U$141)*OFFSET(Scenarios!$A$72,0,$C$1),0)</f>
        <v>0.41699999999999998</v>
      </c>
      <c r="W122" s="278">
        <f ca="1">V$122 +IF(OFFSET(Scenarios!$A$63,0,$C$1)="Yes",(W$141-V$141)*OFFSET(Scenarios!$A$72,0,$C$1),0)</f>
        <v>0.41699999999999998</v>
      </c>
      <c r="X122" s="278">
        <f ca="1">W$122 +IF(OFFSET(Scenarios!$A$63,0,$C$1)="Yes",(X$141-W$141)*OFFSET(Scenarios!$A$72,0,$C$1),0)</f>
        <v>0.41699999999999998</v>
      </c>
    </row>
    <row r="123" spans="1:24" x14ac:dyDescent="0.2">
      <c r="A123" s="27" t="s">
        <v>1035</v>
      </c>
      <c r="B123" s="233"/>
      <c r="C123" s="69"/>
      <c r="D123" s="71">
        <f>Data!C$50</f>
        <v>0.32100000000000001</v>
      </c>
      <c r="E123" s="71">
        <f>Data!D$50</f>
        <v>0.54600000000000004</v>
      </c>
      <c r="F123" s="71">
        <f>Data!E$50</f>
        <v>0.41599999999999998</v>
      </c>
      <c r="G123" s="71">
        <f>Data!F$50</f>
        <v>0.65100000000000002</v>
      </c>
      <c r="H123" s="71">
        <f>Data!G$50</f>
        <v>1.2250000000000001</v>
      </c>
      <c r="I123" s="71">
        <f>Data!H$50</f>
        <v>0.76900000000000002</v>
      </c>
      <c r="J123" s="131">
        <f ca="1">Data!I$50*IF($F$1="Yes",OFFSET('Forecast Adjuster'!$A$60,0,J$278)*OFFSET('Forecast Adjuster'!$A$63,0,J$278),1) + IF(OFFSET(Scenarios!$A$63,0,$C$1)="Yes",OFFSET(Scenarios!$A$72,0,$C$1)*J$141,0)</f>
        <v>0.58499999999999996</v>
      </c>
      <c r="K123" s="131">
        <f ca="1">Data!J$50*IF($F$1="Yes",OFFSET('Forecast Adjuster'!$A$60,0,K$278)*OFFSET('Forecast Adjuster'!$A$63,0,K$278),1) + IF(OFFSET(Scenarios!$A$63,0,$C$1)="Yes",OFFSET(Scenarios!$A$72,0,$C$1)*K$141,0)</f>
        <v>0.48599999999999999</v>
      </c>
      <c r="L123" s="131">
        <f ca="1">Data!K$50*IF($F$1="Yes",OFFSET('Forecast Adjuster'!$A$60,0,L$278)*OFFSET('Forecast Adjuster'!$A$63,0,L$278),1) + IF(OFFSET(Scenarios!$A$63,0,$C$1)="Yes",OFFSET(Scenarios!$A$72,0,$C$1)*L$141,0)</f>
        <v>0.47699999999999998</v>
      </c>
      <c r="M123" s="131">
        <f ca="1">Data!L$50*IF($F$1="Yes",OFFSET('Forecast Adjuster'!$A$60,0,M$278)*OFFSET('Forecast Adjuster'!$A$63,0,M$278),1) + IF(OFFSET(Scenarios!$A$63,0,$C$1)="Yes",OFFSET(Scenarios!$A$72,0,$C$1)*M$141,0)</f>
        <v>0.49199999999999999</v>
      </c>
      <c r="N123" s="131">
        <f ca="1">Data!M$50*IF($F$1="Yes",OFFSET('Forecast Adjuster'!$A$60,0,N$278)*OFFSET('Forecast Adjuster'!$A$63,0,N$278),1) + IF(OFFSET(Scenarios!$A$63,0,$C$1)="Yes",OFFSET(Scenarios!$A$72,0,$C$1)*N$141,0)</f>
        <v>0.48299999999999998</v>
      </c>
      <c r="O123" s="75">
        <f t="shared" ref="O123:X123" ca="1" si="57">SUM(O$121:O$122)</f>
        <v>0.48433002531645569</v>
      </c>
      <c r="P123" s="75">
        <f t="shared" ca="1" si="57"/>
        <v>0.48567662582278481</v>
      </c>
      <c r="Q123" s="75">
        <f t="shared" ca="1" si="57"/>
        <v>0.48705015833924048</v>
      </c>
      <c r="R123" s="75">
        <f t="shared" ca="1" si="57"/>
        <v>0.4884511615060253</v>
      </c>
      <c r="S123" s="75">
        <f t="shared" ca="1" si="57"/>
        <v>0.48988018473614581</v>
      </c>
      <c r="T123" s="75">
        <f t="shared" ca="1" si="57"/>
        <v>0.49133778843086873</v>
      </c>
      <c r="U123" s="75">
        <f t="shared" ca="1" si="57"/>
        <v>0.49282454419948607</v>
      </c>
      <c r="V123" s="75">
        <f t="shared" ca="1" si="57"/>
        <v>0.49434103508347582</v>
      </c>
      <c r="W123" s="75">
        <f t="shared" ca="1" si="57"/>
        <v>0.49588785578514533</v>
      </c>
      <c r="X123" s="75">
        <f t="shared" ca="1" si="57"/>
        <v>0.49746561290084823</v>
      </c>
    </row>
    <row r="124" spans="1:24" x14ac:dyDescent="0.2">
      <c r="A124" s="27" t="s">
        <v>1036</v>
      </c>
      <c r="B124" s="233"/>
      <c r="C124" s="69"/>
      <c r="D124" s="71">
        <f>Data!C$31</f>
        <v>0.32100000000000001</v>
      </c>
      <c r="E124" s="71">
        <f>Data!D$31</f>
        <v>0.54600000000000004</v>
      </c>
      <c r="F124" s="71">
        <f>Data!E$31</f>
        <v>0.41599999999999998</v>
      </c>
      <c r="G124" s="71">
        <f>Data!F$31</f>
        <v>0.65100000000000002</v>
      </c>
      <c r="H124" s="71">
        <f>Data!G$31</f>
        <v>1.2250000000000001</v>
      </c>
      <c r="I124" s="71">
        <f>Data!H$31</f>
        <v>0.76900000000000002</v>
      </c>
      <c r="J124" s="131">
        <f ca="1">Data!I$31 + IF($F$1="Yes",Data!I$49*(OFFSET('Forecast Adjuster'!$A$60,0,J$278)*OFFSET('Forecast Adjuster'!$A$63,0,J$278)-1),0) + IF(OFFSET(Scenarios!$A$63,0,$C$1)="Yes",OFFSET(Scenarios!$A$72,0,$C$1)*J$141,0)</f>
        <v>0.56100000000000005</v>
      </c>
      <c r="K124" s="131">
        <f ca="1">Data!J$31 + IF($F$1="Yes",Data!J$49*(OFFSET('Forecast Adjuster'!$A$60,0,K$278)*OFFSET('Forecast Adjuster'!$A$63,0,K$278)-1),0) + IF(OFFSET(Scenarios!$A$63,0,$C$1)="Yes",OFFSET(Scenarios!$A$72,0,$C$1)*K$141,0)</f>
        <v>0.46200000000000002</v>
      </c>
      <c r="L124" s="131">
        <f ca="1">Data!K$31 + IF($F$1="Yes",Data!K$49*(OFFSET('Forecast Adjuster'!$A$60,0,L$278)*OFFSET('Forecast Adjuster'!$A$63,0,L$278)-1),0) + IF(OFFSET(Scenarios!$A$63,0,$C$1)="Yes",OFFSET(Scenarios!$A$72,0,$C$1)*L$141,0)</f>
        <v>0.45300000000000001</v>
      </c>
      <c r="M124" s="131">
        <f ca="1">Data!L$31 + IF($F$1="Yes",Data!L$49*(OFFSET('Forecast Adjuster'!$A$60,0,M$278)*OFFSET('Forecast Adjuster'!$A$63,0,M$278)-1),0) + IF(OFFSET(Scenarios!$A$63,0,$C$1)="Yes",OFFSET(Scenarios!$A$72,0,$C$1)*M$141,0)</f>
        <v>0.46899999999999997</v>
      </c>
      <c r="N124" s="131">
        <f ca="1">Data!M$31 + IF($F$1="Yes",Data!M$49*(OFFSET('Forecast Adjuster'!$A$60,0,N$278)*OFFSET('Forecast Adjuster'!$A$63,0,N$278)-1),0) + IF(OFFSET(Scenarios!$A$63,0,$C$1)="Yes",OFFSET(Scenarios!$A$72,0,$C$1)*N$141,0)</f>
        <v>0.45900000000000002</v>
      </c>
      <c r="O124" s="75">
        <f t="shared" ref="O124:X124" ca="1" si="58">SUM(O$123,(N$124-N$123)*(1+O$234))</f>
        <v>0.45925884073453294</v>
      </c>
      <c r="P124" s="75">
        <f t="shared" ca="1" si="58"/>
        <v>0.45947742236745159</v>
      </c>
      <c r="Q124" s="75">
        <f t="shared" ca="1" si="58"/>
        <v>0.45964209064835948</v>
      </c>
      <c r="R124" s="75">
        <f t="shared" ca="1" si="58"/>
        <v>0.45979236318512051</v>
      </c>
      <c r="S124" s="75">
        <f t="shared" ca="1" si="58"/>
        <v>0.45990346091596851</v>
      </c>
      <c r="T124" s="75">
        <f t="shared" ca="1" si="58"/>
        <v>0.45998463154809466</v>
      </c>
      <c r="U124" s="75">
        <f t="shared" ca="1" si="58"/>
        <v>0.46006109789862143</v>
      </c>
      <c r="V124" s="75">
        <f t="shared" ca="1" si="58"/>
        <v>0.46012996520294952</v>
      </c>
      <c r="W124" s="75">
        <f t="shared" ca="1" si="58"/>
        <v>0.46018403048895107</v>
      </c>
      <c r="X124" s="75">
        <f t="shared" ca="1" si="58"/>
        <v>0.4602269315750539</v>
      </c>
    </row>
    <row r="125" spans="1:24" x14ac:dyDescent="0.2">
      <c r="A125" s="27"/>
      <c r="B125" s="102"/>
      <c r="C125" s="69"/>
      <c r="D125" s="119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x14ac:dyDescent="0.2">
      <c r="A126" s="108" t="s">
        <v>943</v>
      </c>
      <c r="C126" s="69"/>
      <c r="D126" s="69"/>
      <c r="E126" s="69"/>
      <c r="F126" s="69"/>
      <c r="G126" s="73"/>
      <c r="H126" s="73"/>
      <c r="I126" s="73"/>
      <c r="J126" s="73"/>
    </row>
    <row r="127" spans="1:24" x14ac:dyDescent="0.2">
      <c r="A127" s="160" t="s">
        <v>944</v>
      </c>
      <c r="B127" s="233"/>
      <c r="C127" s="69"/>
      <c r="D127" s="69">
        <f>Data!C$43</f>
        <v>4.8159999999999998</v>
      </c>
      <c r="E127" s="69">
        <f>Data!D$43</f>
        <v>3.371</v>
      </c>
      <c r="F127" s="69">
        <f>Data!E$43</f>
        <v>5.2930000000000001</v>
      </c>
      <c r="G127" s="69">
        <f>Data!F$43</f>
        <v>2.9740000000000002</v>
      </c>
      <c r="H127" s="69">
        <f>Data!G$43</f>
        <v>5.5629999999999997</v>
      </c>
      <c r="I127" s="69">
        <f>Data!H$43</f>
        <v>5.4279999999999999</v>
      </c>
      <c r="J127" s="125">
        <f ca="1">Data!I$43*IF($F$1="Yes",OFFSET('Forecast Adjuster'!$A$60,0,J$278)*OFFSET('Forecast Adjuster'!$A$63,0,J$278),1) + IF(OFFSET(Scenarios!$A$63,0,$C$1)="Yes",OFFSET(Scenarios!$A$67,0,$C$1)*J$141,0)</f>
        <v>5.64</v>
      </c>
      <c r="K127" s="125">
        <f ca="1">Data!J$43*IF($F$1="Yes",OFFSET('Forecast Adjuster'!$A$60,0,K$278)*OFFSET('Forecast Adjuster'!$A$63,0,K$278),1) + IF(OFFSET(Scenarios!$A$63,0,$C$1)="Yes",OFFSET(Scenarios!$A$67,0,$C$1)*K$141,0)</f>
        <v>4.3540000000000001</v>
      </c>
      <c r="L127" s="125">
        <f ca="1">Data!K$43*IF($F$1="Yes",OFFSET('Forecast Adjuster'!$A$60,0,L$278)*OFFSET('Forecast Adjuster'!$A$63,0,L$278),1) + IF(OFFSET(Scenarios!$A$63,0,$C$1)="Yes",OFFSET(Scenarios!$A$67,0,$C$1)*L$141,0)</f>
        <v>4.2229999999999999</v>
      </c>
      <c r="M127" s="125">
        <f ca="1">Data!L$43*IF($F$1="Yes",OFFSET('Forecast Adjuster'!$A$60,0,M$278)*OFFSET('Forecast Adjuster'!$A$63,0,M$278),1) + IF(OFFSET(Scenarios!$A$63,0,$C$1)="Yes",OFFSET(Scenarios!$A$67,0,$C$1)*M$141,0)</f>
        <v>4.266</v>
      </c>
      <c r="N127" s="125">
        <f ca="1">Data!M$43*IF($F$1="Yes",OFFSET('Forecast Adjuster'!$A$60,0,N$278)*OFFSET('Forecast Adjuster'!$A$63,0,N$278),1) + IF(OFFSET(Scenarios!$A$63,0,$C$1)="Yes",OFFSET(Scenarios!$A$67,0,$C$1)*N$141,0)</f>
        <v>4.2089999999999996</v>
      </c>
      <c r="O127" s="73">
        <f ca="1">N$127 +IF(OFFSET(Scenarios!$A$63,0,$C$1)="Yes",(O$141-N$141)*OFFSET(Scenarios!$A$67,0,$C$1),0)</f>
        <v>4.2089999999999996</v>
      </c>
      <c r="P127" s="73">
        <f ca="1">O$127 +IF(OFFSET(Scenarios!$A$63,0,$C$1)="Yes",(P$141-O$141)*OFFSET(Scenarios!$A$67,0,$C$1),0)</f>
        <v>4.2089999999999996</v>
      </c>
      <c r="Q127" s="73">
        <f ca="1">P$127 +IF(OFFSET(Scenarios!$A$63,0,$C$1)="Yes",(Q$141-P$141)*OFFSET(Scenarios!$A$67,0,$C$1),0)</f>
        <v>4.2089999999999996</v>
      </c>
      <c r="R127" s="73">
        <f ca="1">Q$127 +IF(OFFSET(Scenarios!$A$63,0,$C$1)="Yes",(R$141-Q$141)*OFFSET(Scenarios!$A$67,0,$C$1),0)</f>
        <v>4.2089999999999996</v>
      </c>
      <c r="S127" s="73">
        <f ca="1">R$127 +IF(OFFSET(Scenarios!$A$63,0,$C$1)="Yes",(S$141-R$141)*OFFSET(Scenarios!$A$67,0,$C$1),0)</f>
        <v>4.2089999999999996</v>
      </c>
      <c r="T127" s="73">
        <f ca="1">S$127 +IF(OFFSET(Scenarios!$A$63,0,$C$1)="Yes",(T$141-S$141)*OFFSET(Scenarios!$A$67,0,$C$1),0)</f>
        <v>4.2089999999999996</v>
      </c>
      <c r="U127" s="73">
        <f ca="1">T$127 +IF(OFFSET(Scenarios!$A$63,0,$C$1)="Yes",(U$141-T$141)*OFFSET(Scenarios!$A$67,0,$C$1),0)</f>
        <v>4.2089999999999996</v>
      </c>
      <c r="V127" s="73">
        <f ca="1">U$127 +IF(OFFSET(Scenarios!$A$63,0,$C$1)="Yes",(V$141-U$141)*OFFSET(Scenarios!$A$67,0,$C$1),0)</f>
        <v>4.2089999999999996</v>
      </c>
      <c r="W127" s="73">
        <f ca="1">V$127 +IF(OFFSET(Scenarios!$A$63,0,$C$1)="Yes",(W$141-V$141)*OFFSET(Scenarios!$A$67,0,$C$1),0)</f>
        <v>4.2089999999999996</v>
      </c>
      <c r="X127" s="73">
        <f ca="1">W$127 +IF(OFFSET(Scenarios!$A$63,0,$C$1)="Yes",(X$141-W$141)*OFFSET(Scenarios!$A$67,0,$C$1),0)</f>
        <v>4.2089999999999996</v>
      </c>
    </row>
    <row r="128" spans="1:24" x14ac:dyDescent="0.2">
      <c r="A128" s="68" t="s">
        <v>361</v>
      </c>
      <c r="B128" s="233"/>
      <c r="C128" s="69"/>
      <c r="D128" s="69">
        <f>Data!C$44</f>
        <v>2.6989999999999998</v>
      </c>
      <c r="E128" s="69">
        <f>Data!D$44</f>
        <v>2.8940000000000001</v>
      </c>
      <c r="F128" s="69">
        <f>Data!E$44</f>
        <v>3.089</v>
      </c>
      <c r="G128" s="69">
        <f>Data!F$44</f>
        <v>3.1909999999999998</v>
      </c>
      <c r="H128" s="69">
        <f>Data!G$44</f>
        <v>3.3820000000000001</v>
      </c>
      <c r="I128" s="69">
        <f>Data!H$44</f>
        <v>3.403</v>
      </c>
      <c r="J128" s="125">
        <f ca="1">Data!I$44*IF($F$1="Yes",OFFSET('Forecast Adjuster'!$A$60,0,J$278)*OFFSET('Forecast Adjuster'!$A$63,0,J$278),1) + IF(OFFSET(Scenarios!$A$63,0,$C$1)="Yes",OFFSET(Scenarios!$A$68,0,$C$1)*J$141,0)</f>
        <v>3.6419999999999999</v>
      </c>
      <c r="K128" s="125">
        <f ca="1">Data!J$44*IF($F$1="Yes",OFFSET('Forecast Adjuster'!$A$60,0,K$278)*OFFSET('Forecast Adjuster'!$A$63,0,K$278),1) + IF(OFFSET(Scenarios!$A$63,0,$C$1)="Yes",OFFSET(Scenarios!$A$68,0,$C$1)*K$141,0)</f>
        <v>3.468</v>
      </c>
      <c r="L128" s="125">
        <f ca="1">Data!K$44*IF($F$1="Yes",OFFSET('Forecast Adjuster'!$A$60,0,L$278)*OFFSET('Forecast Adjuster'!$A$63,0,L$278),1) + IF(OFFSET(Scenarios!$A$63,0,$C$1)="Yes",OFFSET(Scenarios!$A$68,0,$C$1)*L$141,0)</f>
        <v>3.4369999999999998</v>
      </c>
      <c r="M128" s="125">
        <f ca="1">Data!L$44*IF($F$1="Yes",OFFSET('Forecast Adjuster'!$A$60,0,M$278)*OFFSET('Forecast Adjuster'!$A$63,0,M$278),1) + IF(OFFSET(Scenarios!$A$63,0,$C$1)="Yes",OFFSET(Scenarios!$A$68,0,$C$1)*M$141,0)</f>
        <v>3.51</v>
      </c>
      <c r="N128" s="125">
        <f ca="1">Data!M$44*IF($F$1="Yes",OFFSET('Forecast Adjuster'!$A$60,0,N$278)*OFFSET('Forecast Adjuster'!$A$63,0,N$278),1) + IF(OFFSET(Scenarios!$A$63,0,$C$1)="Yes",OFFSET(Scenarios!$A$68,0,$C$1)*N$141,0)</f>
        <v>3.488</v>
      </c>
      <c r="O128" s="73">
        <f ca="1">N$128 +IF(OFFSET(Scenarios!$A$63,0,$C$1)="Yes",(O$141-N$141)*OFFSET(Scenarios!$A$68,0,$C$1),0)</f>
        <v>3.488</v>
      </c>
      <c r="P128" s="73">
        <f ca="1">O$128 +IF(OFFSET(Scenarios!$A$63,0,$C$1)="Yes",(P$141-O$141)*OFFSET(Scenarios!$A$68,0,$C$1),0)</f>
        <v>3.488</v>
      </c>
      <c r="Q128" s="73">
        <f ca="1">P$128 +IF(OFFSET(Scenarios!$A$63,0,$C$1)="Yes",(Q$141-P$141)*OFFSET(Scenarios!$A$68,0,$C$1),0)</f>
        <v>3.488</v>
      </c>
      <c r="R128" s="73">
        <f ca="1">Q$128 +IF(OFFSET(Scenarios!$A$63,0,$C$1)="Yes",(R$141-Q$141)*OFFSET(Scenarios!$A$68,0,$C$1),0)</f>
        <v>3.488</v>
      </c>
      <c r="S128" s="73">
        <f ca="1">R$128 +IF(OFFSET(Scenarios!$A$63,0,$C$1)="Yes",(S$141-R$141)*OFFSET(Scenarios!$A$68,0,$C$1),0)</f>
        <v>3.488</v>
      </c>
      <c r="T128" s="73">
        <f ca="1">S$128 +IF(OFFSET(Scenarios!$A$63,0,$C$1)="Yes",(T$141-S$141)*OFFSET(Scenarios!$A$68,0,$C$1),0)</f>
        <v>3.488</v>
      </c>
      <c r="U128" s="73">
        <f ca="1">T$128 +IF(OFFSET(Scenarios!$A$63,0,$C$1)="Yes",(U$141-T$141)*OFFSET(Scenarios!$A$68,0,$C$1),0)</f>
        <v>3.488</v>
      </c>
      <c r="V128" s="73">
        <f ca="1">U$128 +IF(OFFSET(Scenarios!$A$63,0,$C$1)="Yes",(V$141-U$141)*OFFSET(Scenarios!$A$68,0,$C$1),0)</f>
        <v>3.488</v>
      </c>
      <c r="W128" s="73">
        <f ca="1">V$128 +IF(OFFSET(Scenarios!$A$63,0,$C$1)="Yes",(W$141-V$141)*OFFSET(Scenarios!$A$68,0,$C$1),0)</f>
        <v>3.488</v>
      </c>
      <c r="X128" s="73">
        <f ca="1">W$128 +IF(OFFSET(Scenarios!$A$63,0,$C$1)="Yes",(X$141-W$141)*OFFSET(Scenarios!$A$68,0,$C$1),0)</f>
        <v>3.488</v>
      </c>
    </row>
    <row r="129" spans="1:24" x14ac:dyDescent="0.2">
      <c r="A129" s="68" t="s">
        <v>436</v>
      </c>
      <c r="B129" s="233"/>
      <c r="C129" s="69"/>
      <c r="D129" s="69">
        <f>Data!C$45</f>
        <v>1.5169999999999999</v>
      </c>
      <c r="E129" s="69">
        <f>Data!D$45</f>
        <v>1.5620000000000001</v>
      </c>
      <c r="F129" s="69">
        <f>Data!E$45</f>
        <v>1.7569999999999999</v>
      </c>
      <c r="G129" s="69">
        <f>Data!F$45</f>
        <v>1.8140000000000001</v>
      </c>
      <c r="H129" s="69">
        <f>Data!G$45</f>
        <v>1.8089999999999999</v>
      </c>
      <c r="I129" s="69">
        <f>Data!H$45</f>
        <v>1.736</v>
      </c>
      <c r="J129" s="125">
        <f ca="1">Data!I$45*IF($F$1="Yes",OFFSET('Forecast Adjuster'!$A$60,0,J$278)*OFFSET('Forecast Adjuster'!$A$63,0,J$278),1) + IF(OFFSET(Scenarios!$A$63,0,$C$1)="Yes",OFFSET(Scenarios!$A$69,0,$C$1)*J$141,0)</f>
        <v>1.8640000000000001</v>
      </c>
      <c r="K129" s="125">
        <f ca="1">Data!J$45*IF($F$1="Yes",OFFSET('Forecast Adjuster'!$A$60,0,K$278)*OFFSET('Forecast Adjuster'!$A$63,0,K$278),1) + IF(OFFSET(Scenarios!$A$63,0,$C$1)="Yes",OFFSET(Scenarios!$A$69,0,$C$1)*K$141,0)</f>
        <v>1.8280000000000001</v>
      </c>
      <c r="L129" s="125">
        <f ca="1">Data!K$45*IF($F$1="Yes",OFFSET('Forecast Adjuster'!$A$60,0,L$278)*OFFSET('Forecast Adjuster'!$A$63,0,L$278),1) + IF(OFFSET(Scenarios!$A$63,0,$C$1)="Yes",OFFSET(Scenarios!$A$69,0,$C$1)*L$141,0)</f>
        <v>1.835</v>
      </c>
      <c r="M129" s="125">
        <f ca="1">Data!L$45*IF($F$1="Yes",OFFSET('Forecast Adjuster'!$A$60,0,M$278)*OFFSET('Forecast Adjuster'!$A$63,0,M$278),1) + IF(OFFSET(Scenarios!$A$63,0,$C$1)="Yes",OFFSET(Scenarios!$A$69,0,$C$1)*M$141,0)</f>
        <v>1.879</v>
      </c>
      <c r="N129" s="125">
        <f ca="1">Data!M$45*IF($F$1="Yes",OFFSET('Forecast Adjuster'!$A$60,0,N$278)*OFFSET('Forecast Adjuster'!$A$63,0,N$278),1) + IF(OFFSET(Scenarios!$A$63,0,$C$1)="Yes",OFFSET(Scenarios!$A$69,0,$C$1)*N$141,0)</f>
        <v>2.149</v>
      </c>
      <c r="O129" s="73">
        <f ca="1">N$129 +IF(OFFSET(Scenarios!$A$63,0,$C$1)="Yes",(O$141-N$141)*OFFSET(Scenarios!$A$69,0,$C$1),0) -0.2</f>
        <v>1.9490000000000001</v>
      </c>
      <c r="P129" s="73">
        <f ca="1">O$129 +IF(OFFSET(Scenarios!$A$63,0,$C$1)="Yes",(P$141-O$141)*OFFSET(Scenarios!$A$69,0,$C$1),0)</f>
        <v>1.9490000000000001</v>
      </c>
      <c r="Q129" s="73">
        <f ca="1">P$129 +IF(OFFSET(Scenarios!$A$63,0,$C$1)="Yes",(Q$141-P$141)*OFFSET(Scenarios!$A$69,0,$C$1),0)</f>
        <v>1.9490000000000001</v>
      </c>
      <c r="R129" s="73">
        <f ca="1">Q$129 +IF(OFFSET(Scenarios!$A$63,0,$C$1)="Yes",(R$141-Q$141)*OFFSET(Scenarios!$A$69,0,$C$1),0)</f>
        <v>1.9490000000000001</v>
      </c>
      <c r="S129" s="73">
        <f ca="1">R$129 +IF(OFFSET(Scenarios!$A$63,0,$C$1)="Yes",(S$141-R$141)*OFFSET(Scenarios!$A$69,0,$C$1),0)</f>
        <v>1.9490000000000001</v>
      </c>
      <c r="T129" s="73">
        <f ca="1">S$129 +IF(OFFSET(Scenarios!$A$63,0,$C$1)="Yes",(T$141-S$141)*OFFSET(Scenarios!$A$69,0,$C$1),0)</f>
        <v>1.9490000000000001</v>
      </c>
      <c r="U129" s="73">
        <f ca="1">T$129 +IF(OFFSET(Scenarios!$A$63,0,$C$1)="Yes",(U$141-T$141)*OFFSET(Scenarios!$A$69,0,$C$1),0)</f>
        <v>1.9490000000000001</v>
      </c>
      <c r="V129" s="73">
        <f ca="1">U$129 +IF(OFFSET(Scenarios!$A$63,0,$C$1)="Yes",(V$141-U$141)*OFFSET(Scenarios!$A$69,0,$C$1),0)</f>
        <v>1.9490000000000001</v>
      </c>
      <c r="W129" s="73">
        <f ca="1">V$129 +IF(OFFSET(Scenarios!$A$63,0,$C$1)="Yes",(W$141-V$141)*OFFSET(Scenarios!$A$69,0,$C$1),0)</f>
        <v>1.9490000000000001</v>
      </c>
      <c r="X129" s="73">
        <f ca="1">W$129 +IF(OFFSET(Scenarios!$A$63,0,$C$1)="Yes",(X$141-W$141)*OFFSET(Scenarios!$A$69,0,$C$1),0)</f>
        <v>1.9490000000000001</v>
      </c>
    </row>
    <row r="130" spans="1:24" x14ac:dyDescent="0.2">
      <c r="A130" s="68" t="s">
        <v>945</v>
      </c>
      <c r="B130" s="233"/>
      <c r="C130" s="69"/>
      <c r="D130" s="69">
        <f>Data!C$48</f>
        <v>0.438</v>
      </c>
      <c r="E130" s="69">
        <f>Data!D$48</f>
        <v>0.54100000000000004</v>
      </c>
      <c r="F130" s="69">
        <f>Data!E$48</f>
        <v>0.53400000000000003</v>
      </c>
      <c r="G130" s="69">
        <f>Data!F$48</f>
        <v>0.50700000000000001</v>
      </c>
      <c r="H130" s="69">
        <f>Data!G$48</f>
        <v>0.70599999999999996</v>
      </c>
      <c r="I130" s="69">
        <f>Data!H$48</f>
        <v>0.64800000000000002</v>
      </c>
      <c r="J130" s="125">
        <f ca="1">Data!I$48*IF($F$1="Yes",OFFSET('Forecast Adjuster'!$A$60,0,J$278)*OFFSET('Forecast Adjuster'!$A$63,0,J$278),1) + IF(OFFSET(Scenarios!$A$63,0,$C$1)="Yes",OFFSET(Scenarios!$A$71,0,$C$1)*J$141,0)</f>
        <v>0.84599999999999997</v>
      </c>
      <c r="K130" s="125">
        <f ca="1">Data!J$48*IF($F$1="Yes",OFFSET('Forecast Adjuster'!$A$60,0,K$278)*OFFSET('Forecast Adjuster'!$A$63,0,K$278),1) + IF(OFFSET(Scenarios!$A$63,0,$C$1)="Yes",OFFSET(Scenarios!$A$71,0,$C$1)*K$141,0)</f>
        <v>0.72599999999999998</v>
      </c>
      <c r="L130" s="125">
        <f ca="1">Data!K$48*IF($F$1="Yes",OFFSET('Forecast Adjuster'!$A$60,0,L$278)*OFFSET('Forecast Adjuster'!$A$63,0,L$278),1) + IF(OFFSET(Scenarios!$A$63,0,$C$1)="Yes",OFFSET(Scenarios!$A$71,0,$C$1)*L$141,0)</f>
        <v>0.71899999999999997</v>
      </c>
      <c r="M130" s="125">
        <f ca="1">Data!L$48*IF($F$1="Yes",OFFSET('Forecast Adjuster'!$A$60,0,M$278)*OFFSET('Forecast Adjuster'!$A$63,0,M$278),1) + IF(OFFSET(Scenarios!$A$63,0,$C$1)="Yes",OFFSET(Scenarios!$A$71,0,$C$1)*M$141,0)</f>
        <v>0.68100000000000005</v>
      </c>
      <c r="N130" s="125">
        <f ca="1">Data!M$48*IF($F$1="Yes",OFFSET('Forecast Adjuster'!$A$60,0,N$278)*OFFSET('Forecast Adjuster'!$A$63,0,N$278),1) + IF(OFFSET(Scenarios!$A$63,0,$C$1)="Yes",OFFSET(Scenarios!$A$71,0,$C$1)*N$141,0)</f>
        <v>0.65800000000000003</v>
      </c>
      <c r="O130" s="73">
        <f ca="1">N$130 +IF(OFFSET(Scenarios!$A$63,0,$C$1)="Yes",(O$141-N$141)*OFFSET(Scenarios!$A$71,0,$C$1),0)</f>
        <v>0.65800000000000003</v>
      </c>
      <c r="P130" s="73">
        <f ca="1">O$130 +IF(OFFSET(Scenarios!$A$63,0,$C$1)="Yes",(P$141-O$141)*OFFSET(Scenarios!$A$71,0,$C$1),0)</f>
        <v>0.65800000000000003</v>
      </c>
      <c r="Q130" s="73">
        <f ca="1">P$130 +IF(OFFSET(Scenarios!$A$63,0,$C$1)="Yes",(Q$141-P$141)*OFFSET(Scenarios!$A$71,0,$C$1),0)</f>
        <v>0.65800000000000003</v>
      </c>
      <c r="R130" s="73">
        <f ca="1">Q$130 +IF(OFFSET(Scenarios!$A$63,0,$C$1)="Yes",(R$141-Q$141)*OFFSET(Scenarios!$A$71,0,$C$1),0)</f>
        <v>0.65800000000000003</v>
      </c>
      <c r="S130" s="73">
        <f ca="1">R$130 +IF(OFFSET(Scenarios!$A$63,0,$C$1)="Yes",(S$141-R$141)*OFFSET(Scenarios!$A$71,0,$C$1),0)</f>
        <v>0.65800000000000003</v>
      </c>
      <c r="T130" s="73">
        <f ca="1">S$130 +IF(OFFSET(Scenarios!$A$63,0,$C$1)="Yes",(T$141-S$141)*OFFSET(Scenarios!$A$71,0,$C$1),0)</f>
        <v>0.65800000000000003</v>
      </c>
      <c r="U130" s="73">
        <f ca="1">T$130 +IF(OFFSET(Scenarios!$A$63,0,$C$1)="Yes",(U$141-T$141)*OFFSET(Scenarios!$A$71,0,$C$1),0)</f>
        <v>0.65800000000000003</v>
      </c>
      <c r="V130" s="73">
        <f ca="1">U$130 +IF(OFFSET(Scenarios!$A$63,0,$C$1)="Yes",(V$141-U$141)*OFFSET(Scenarios!$A$71,0,$C$1),0)</f>
        <v>0.65800000000000003</v>
      </c>
      <c r="W130" s="73">
        <f ca="1">V$130 +IF(OFFSET(Scenarios!$A$63,0,$C$1)="Yes",(W$141-V$141)*OFFSET(Scenarios!$A$71,0,$C$1),0)</f>
        <v>0.65800000000000003</v>
      </c>
      <c r="X130" s="73">
        <f ca="1">W$130 +IF(OFFSET(Scenarios!$A$63,0,$C$1)="Yes",(X$141-W$141)*OFFSET(Scenarios!$A$71,0,$C$1),0)</f>
        <v>0.65800000000000003</v>
      </c>
    </row>
    <row r="131" spans="1:24" x14ac:dyDescent="0.2">
      <c r="A131" s="68" t="s">
        <v>1034</v>
      </c>
      <c r="B131" s="233"/>
      <c r="C131" s="69"/>
      <c r="D131" s="69">
        <f>Data!C$49</f>
        <v>0.52300000000000002</v>
      </c>
      <c r="E131" s="69">
        <f>Data!D$49</f>
        <v>0.56100000000000005</v>
      </c>
      <c r="F131" s="69">
        <f>Data!E$49</f>
        <v>0.58599999999999997</v>
      </c>
      <c r="G131" s="69">
        <f>Data!F$49</f>
        <v>0.63</v>
      </c>
      <c r="H131" s="69">
        <f>Data!G$49</f>
        <v>0.74099999999999999</v>
      </c>
      <c r="I131" s="69">
        <f>Data!H$49</f>
        <v>0.86299999999999999</v>
      </c>
      <c r="J131" s="125">
        <f ca="1">Data!I$49*IF($F$1="Yes",OFFSET('Forecast Adjuster'!$A$60,0,J$278)*OFFSET('Forecast Adjuster'!$A$63,0,J$278),1) + IF(OFFSET(Scenarios!$A$63,0,$C$1)="Yes",OFFSET(Scenarios!$A$73,0,$C$1)*J$141,0)</f>
        <v>0.875</v>
      </c>
      <c r="K131" s="125">
        <f ca="1">Data!J$49*IF($F$1="Yes",OFFSET('Forecast Adjuster'!$A$60,0,K$278)*OFFSET('Forecast Adjuster'!$A$63,0,K$278),1) + IF(OFFSET(Scenarios!$A$63,0,$C$1)="Yes",OFFSET(Scenarios!$A$73,0,$C$1)*K$141,0)</f>
        <v>0.82099999999999995</v>
      </c>
      <c r="L131" s="125">
        <f ca="1">Data!K$49*IF($F$1="Yes",OFFSET('Forecast Adjuster'!$A$60,0,L$278)*OFFSET('Forecast Adjuster'!$A$63,0,L$278),1) + IF(OFFSET(Scenarios!$A$63,0,$C$1)="Yes",OFFSET(Scenarios!$A$73,0,$C$1)*L$141,0)</f>
        <v>0.80400000000000005</v>
      </c>
      <c r="M131" s="125">
        <f ca="1">Data!L$49*IF($F$1="Yes",OFFSET('Forecast Adjuster'!$A$60,0,M$278)*OFFSET('Forecast Adjuster'!$A$63,0,M$278),1) + IF(OFFSET(Scenarios!$A$63,0,$C$1)="Yes",OFFSET(Scenarios!$A$73,0,$C$1)*M$141,0)</f>
        <v>0.79600000000000004</v>
      </c>
      <c r="N131" s="125">
        <f ca="1">Data!M$49*IF($F$1="Yes",OFFSET('Forecast Adjuster'!$A$60,0,N$278)*OFFSET('Forecast Adjuster'!$A$63,0,N$278),1) + IF(OFFSET(Scenarios!$A$63,0,$C$1)="Yes",OFFSET(Scenarios!$A$73,0,$C$1)*N$141,0)</f>
        <v>0.79600000000000004</v>
      </c>
      <c r="O131" s="73">
        <f ca="1">N$131 +IF(OFFSET(Scenarios!$A$63,0,$C$1)="Yes",(O$141-N$141)*OFFSET(Scenarios!$A$73,0,$C$1),0)</f>
        <v>0.79600000000000004</v>
      </c>
      <c r="P131" s="73">
        <f ca="1">O$131 +IF(OFFSET(Scenarios!$A$63,0,$C$1)="Yes",(P$141-O$141)*OFFSET(Scenarios!$A$73,0,$C$1),0)</f>
        <v>0.79600000000000004</v>
      </c>
      <c r="Q131" s="73">
        <f ca="1">P$131 +IF(OFFSET(Scenarios!$A$63,0,$C$1)="Yes",(Q$141-P$141)*OFFSET(Scenarios!$A$73,0,$C$1),0)</f>
        <v>0.79600000000000004</v>
      </c>
      <c r="R131" s="73">
        <f ca="1">Q$131 +IF(OFFSET(Scenarios!$A$63,0,$C$1)="Yes",(R$141-Q$141)*OFFSET(Scenarios!$A$73,0,$C$1),0)</f>
        <v>0.79600000000000004</v>
      </c>
      <c r="S131" s="73">
        <f ca="1">R$131 +IF(OFFSET(Scenarios!$A$63,0,$C$1)="Yes",(S$141-R$141)*OFFSET(Scenarios!$A$73,0,$C$1),0)</f>
        <v>0.79600000000000004</v>
      </c>
      <c r="T131" s="73">
        <f ca="1">S$131 +IF(OFFSET(Scenarios!$A$63,0,$C$1)="Yes",(T$141-S$141)*OFFSET(Scenarios!$A$73,0,$C$1),0)</f>
        <v>0.79600000000000004</v>
      </c>
      <c r="U131" s="73">
        <f ca="1">T$131 +IF(OFFSET(Scenarios!$A$63,0,$C$1)="Yes",(U$141-T$141)*OFFSET(Scenarios!$A$73,0,$C$1),0)</f>
        <v>0.79600000000000004</v>
      </c>
      <c r="V131" s="73">
        <f ca="1">U$131 +IF(OFFSET(Scenarios!$A$63,0,$C$1)="Yes",(V$141-U$141)*OFFSET(Scenarios!$A$73,0,$C$1),0)</f>
        <v>0.79600000000000004</v>
      </c>
      <c r="W131" s="73">
        <f ca="1">V$131 +IF(OFFSET(Scenarios!$A$63,0,$C$1)="Yes",(W$141-V$141)*OFFSET(Scenarios!$A$73,0,$C$1),0)</f>
        <v>0.79600000000000004</v>
      </c>
      <c r="X131" s="73">
        <f ca="1">W$131 +IF(OFFSET(Scenarios!$A$63,0,$C$1)="Yes",(X$141-W$141)*OFFSET(Scenarios!$A$73,0,$C$1),0)</f>
        <v>0.79600000000000004</v>
      </c>
    </row>
    <row r="132" spans="1:24" x14ac:dyDescent="0.2">
      <c r="A132" s="160" t="s">
        <v>1021</v>
      </c>
      <c r="B132" s="233"/>
      <c r="C132" s="69"/>
      <c r="D132" s="176">
        <f>SUM(Data!C$51:C$52)</f>
        <v>0.32300000000000001</v>
      </c>
      <c r="E132" s="176">
        <f>SUM(Data!D$51:D$52)</f>
        <v>0.51400000000000001</v>
      </c>
      <c r="F132" s="176">
        <f>SUM(Data!E$51:E$52)</f>
        <v>0.41499999999999998</v>
      </c>
      <c r="G132" s="176">
        <f>SUM(Data!F$51:F$52)</f>
        <v>0.38600000000000001</v>
      </c>
      <c r="H132" s="176">
        <f>SUM(Data!G$51:G$52)</f>
        <v>1.355</v>
      </c>
      <c r="I132" s="176">
        <f>SUM(Data!H$51:H$52)</f>
        <v>0.29499999999999998</v>
      </c>
      <c r="J132" s="130">
        <f ca="1">SUM(Data!I$51:I$52)*IF($F$1="Yes",OFFSET('Forecast Adjuster'!$A$60,0,J$278)*OFFSET('Forecast Adjuster'!$A$63,0,J$278),1)  + IF(OFFSET(Scenarios!$A$63,0,$C$1)="Yes",(1-SUM(OFFSET(Scenarios!$A$64,0,$C$1,10,1)))*J$141,0) + IF($I$1="Yes",J$299,0)</f>
        <v>0.98599999999999999</v>
      </c>
      <c r="K132" s="130">
        <f ca="1">SUM(Data!J$51:J$52)*IF($F$1="Yes",OFFSET('Forecast Adjuster'!$A$60,0,K$278)*OFFSET('Forecast Adjuster'!$A$63,0,K$278),1)  + IF(OFFSET(Scenarios!$A$63,0,$C$1)="Yes",(1-SUM(OFFSET(Scenarios!$A$64,0,$C$1,10,1)))*K$141,0) + IF($I$1="Yes",K$299,0)</f>
        <v>0.83299999999999996</v>
      </c>
      <c r="L132" s="130">
        <f ca="1">SUM(Data!K$51:K$52)*IF($F$1="Yes",OFFSET('Forecast Adjuster'!$A$60,0,L$278)*OFFSET('Forecast Adjuster'!$A$63,0,L$278),1)  + IF(OFFSET(Scenarios!$A$63,0,$C$1)="Yes",(1-SUM(OFFSET(Scenarios!$A$64,0,$C$1,10,1)))*L$141,0) + IF($I$1="Yes",L$299,0)</f>
        <v>0.83099999999999996</v>
      </c>
      <c r="M132" s="130">
        <f ca="1">SUM(Data!L$51:L$52)*IF($F$1="Yes",OFFSET('Forecast Adjuster'!$A$60,0,M$278)*OFFSET('Forecast Adjuster'!$A$63,0,M$278),1)  + IF(OFFSET(Scenarios!$A$63,0,$C$1)="Yes",(1-SUM(OFFSET(Scenarios!$A$64,0,$C$1,10,1)))*M$141,0) + IF($I$1="Yes",M$299,0)</f>
        <v>0.77900000000000003</v>
      </c>
      <c r="N132" s="130">
        <f ca="1">SUM(Data!M$51:M$52)*IF($F$1="Yes",OFFSET('Forecast Adjuster'!$A$60,0,N$278)*OFFSET('Forecast Adjuster'!$A$63,0,N$278),1)  + IF(OFFSET(Scenarios!$A$63,0,$C$1)="Yes",(1-SUM(OFFSET(Scenarios!$A$64,0,$C$1,10,1)))*N$141,0) + IF($I$1="Yes",N$299,0)</f>
        <v>0.74500000000000011</v>
      </c>
      <c r="O132" s="81">
        <f ca="1">N$132 +IF(OFFSET(Scenarios!$A$63,0,$C$1)="Yes",(O$141-N$141)*(1-SUM(OFFSET(Scenarios!$A$64,0,$C$1,10,1))),0)</f>
        <v>0.74500000000000011</v>
      </c>
      <c r="P132" s="81">
        <f ca="1">O$132 +IF(OFFSET(Scenarios!$A$63,0,$C$1)="Yes",(P$141-O$141)*(1-SUM(OFFSET(Scenarios!$A$64,0,$C$1,10,1))),0)-0.545</f>
        <v>0.20000000000000007</v>
      </c>
      <c r="Q132" s="81">
        <f ca="1">P$132 +IF(OFFSET(Scenarios!$A$63,0,$C$1)="Yes",(Q$141-P$141)*(1-SUM(OFFSET(Scenarios!$A$64,0,$C$1,10,1))),0)</f>
        <v>0.20000000000000007</v>
      </c>
      <c r="R132" s="81">
        <f ca="1">Q$132 +IF(OFFSET(Scenarios!$A$63,0,$C$1)="Yes",(R$141-Q$141)*(1-SUM(OFFSET(Scenarios!$A$64,0,$C$1,10,1))),0)</f>
        <v>0.20000000000000007</v>
      </c>
      <c r="S132" s="81">
        <f ca="1">R$132 +IF(OFFSET(Scenarios!$A$63,0,$C$1)="Yes",(S$141-R$141)*(1-SUM(OFFSET(Scenarios!$A$64,0,$C$1,10,1))),0)</f>
        <v>0.20000000000000007</v>
      </c>
      <c r="T132" s="81">
        <f ca="1">S$132 +IF(OFFSET(Scenarios!$A$63,0,$C$1)="Yes",(T$141-S$141)*(1-SUM(OFFSET(Scenarios!$A$64,0,$C$1,10,1))),0)</f>
        <v>0.20000000000000007</v>
      </c>
      <c r="U132" s="81">
        <f ca="1">T$132 +IF(OFFSET(Scenarios!$A$63,0,$C$1)="Yes",(U$141-T$141)*(1-SUM(OFFSET(Scenarios!$A$64,0,$C$1,10,1))),0)</f>
        <v>0.20000000000000007</v>
      </c>
      <c r="V132" s="81">
        <f ca="1">U$132 +IF(OFFSET(Scenarios!$A$63,0,$C$1)="Yes",(V$141-U$141)*(1-SUM(OFFSET(Scenarios!$A$64,0,$C$1,10,1))),0)</f>
        <v>0.20000000000000007</v>
      </c>
      <c r="W132" s="81">
        <f ca="1">V$132 +IF(OFFSET(Scenarios!$A$63,0,$C$1)="Yes",(W$141-V$141)*(1-SUM(OFFSET(Scenarios!$A$64,0,$C$1,10,1))),0)</f>
        <v>0.20000000000000007</v>
      </c>
      <c r="X132" s="81">
        <f ca="1">W$132 +IF(OFFSET(Scenarios!$A$63,0,$C$1)="Yes",(X$141-W$141)*(1-SUM(OFFSET(Scenarios!$A$64,0,$C$1,10,1))),0)</f>
        <v>0.20000000000000007</v>
      </c>
    </row>
    <row r="133" spans="1:24" x14ac:dyDescent="0.2">
      <c r="A133" s="27" t="s">
        <v>145</v>
      </c>
      <c r="B133" s="36"/>
      <c r="C133" s="69"/>
      <c r="D133" s="71">
        <f>SUM(D$127:D$132)</f>
        <v>10.316000000000001</v>
      </c>
      <c r="E133" s="71">
        <f t="shared" ref="E133:X133" si="59">SUM(E$127:E$132)</f>
        <v>9.4429999999999996</v>
      </c>
      <c r="F133" s="71">
        <f t="shared" si="59"/>
        <v>11.673999999999999</v>
      </c>
      <c r="G133" s="71">
        <f t="shared" si="59"/>
        <v>9.5020000000000007</v>
      </c>
      <c r="H133" s="71">
        <f t="shared" si="59"/>
        <v>13.555999999999999</v>
      </c>
      <c r="I133" s="71">
        <f t="shared" si="59"/>
        <v>12.372999999999999</v>
      </c>
      <c r="J133" s="131">
        <f t="shared" ca="1" si="59"/>
        <v>13.853000000000002</v>
      </c>
      <c r="K133" s="131">
        <f t="shared" ca="1" si="59"/>
        <v>12.030000000000001</v>
      </c>
      <c r="L133" s="131">
        <f t="shared" ca="1" si="59"/>
        <v>11.849</v>
      </c>
      <c r="M133" s="131">
        <f t="shared" ca="1" si="59"/>
        <v>11.910999999999998</v>
      </c>
      <c r="N133" s="131">
        <f t="shared" ca="1" si="59"/>
        <v>12.044999999999998</v>
      </c>
      <c r="O133" s="75">
        <f t="shared" ca="1" si="59"/>
        <v>11.844999999999999</v>
      </c>
      <c r="P133" s="75">
        <f t="shared" ca="1" si="59"/>
        <v>11.299999999999997</v>
      </c>
      <c r="Q133" s="75">
        <f t="shared" ca="1" si="59"/>
        <v>11.299999999999997</v>
      </c>
      <c r="R133" s="75">
        <f t="shared" ca="1" si="59"/>
        <v>11.299999999999997</v>
      </c>
      <c r="S133" s="75">
        <f t="shared" ca="1" si="59"/>
        <v>11.299999999999997</v>
      </c>
      <c r="T133" s="75">
        <f t="shared" ca="1" si="59"/>
        <v>11.299999999999997</v>
      </c>
      <c r="U133" s="75">
        <f t="shared" ca="1" si="59"/>
        <v>11.299999999999997</v>
      </c>
      <c r="V133" s="75">
        <f t="shared" ca="1" si="59"/>
        <v>11.299999999999997</v>
      </c>
      <c r="W133" s="75">
        <f t="shared" ca="1" si="59"/>
        <v>11.299999999999997</v>
      </c>
      <c r="X133" s="75">
        <f t="shared" ca="1" si="59"/>
        <v>11.299999999999997</v>
      </c>
    </row>
    <row r="134" spans="1:24" x14ac:dyDescent="0.2">
      <c r="A134" s="27" t="s">
        <v>418</v>
      </c>
      <c r="B134" s="233"/>
      <c r="C134" s="69"/>
      <c r="D134" s="71">
        <f>SUM(Data!C$24:C$26,Data!C$29:C$30,Data!C$32:C$33)</f>
        <v>12.822000000000001</v>
      </c>
      <c r="E134" s="71">
        <f>SUM(Data!D$24:D$26,Data!D$29:D$30,Data!D$32:D$33)</f>
        <v>12.328000000000001</v>
      </c>
      <c r="F134" s="71">
        <f>SUM(Data!E$24:E$26,Data!E$29:E$30,Data!E$32:E$33)</f>
        <v>14.76</v>
      </c>
      <c r="G134" s="71">
        <f>SUM(Data!F$24:F$26,Data!F$29:F$30,Data!F$32:F$33)</f>
        <v>12.427999999999999</v>
      </c>
      <c r="H134" s="71">
        <f>SUM(Data!G$24:G$26,Data!G$29:G$30,Data!G$32:G$33)</f>
        <v>16.809000000000001</v>
      </c>
      <c r="I134" s="71">
        <f>SUM(Data!H$24:H$26,Data!H$29:H$30,Data!H$32:H$33)</f>
        <v>15.676000000000002</v>
      </c>
      <c r="J134" s="131">
        <f ca="1">SUM(Data!I$24:I$26,Data!I$29:I$30,Data!I$32:I$33) + IF($F$1="Yes",SUM(Data!I$43:I$45,Data!I$48:I$49,Data!I$51:I$52)*(OFFSET('Forecast Adjuster'!$A$60,0,J$278)*OFFSET('Forecast Adjuster'!$A$63,0,J$278)-1),0) + IF(OFFSET(Scenarios!$A$63,0,$C$1)="Yes",(1-SUM(OFFSET(Scenarios!$A$64,0,$C$1,3,1),OFFSET(Scenarios!$A$70,0,$C$1),OFFSET(Scenarios!$A$72,0,$C$1)))*J$141,0) + IF($I$1="Yes",J$299,0)</f>
        <v>17.012</v>
      </c>
      <c r="K134" s="131">
        <f ca="1">SUM(Data!J$24:J$26,Data!J$29:J$30,Data!J$32:J$33) + IF($F$1="Yes",SUM(Data!J$43:J$45,Data!J$48:J$49,Data!J$51:J$52)*(OFFSET('Forecast Adjuster'!$A$60,0,K$278)*OFFSET('Forecast Adjuster'!$A$63,0,K$278)-1),0) + IF(OFFSET(Scenarios!$A$63,0,$C$1)="Yes",(1-SUM(OFFSET(Scenarios!$A$64,0,$C$1,3,1),OFFSET(Scenarios!$A$70,0,$C$1),OFFSET(Scenarios!$A$72,0,$C$1)))*K$141,0) + IF($I$1="Yes",K$299,0)</f>
        <v>15.324999999999998</v>
      </c>
      <c r="L134" s="131">
        <f ca="1">SUM(Data!K$24:K$26,Data!K$29:K$30,Data!K$32:K$33) + IF($F$1="Yes",SUM(Data!K$43:K$45,Data!K$48:K$49,Data!K$51:K$52)*(OFFSET('Forecast Adjuster'!$A$60,0,L$278)*OFFSET('Forecast Adjuster'!$A$63,0,L$278)-1),0) + IF(OFFSET(Scenarios!$A$63,0,$C$1)="Yes",(1-SUM(OFFSET(Scenarios!$A$64,0,$C$1,3,1),OFFSET(Scenarios!$A$70,0,$C$1),OFFSET(Scenarios!$A$72,0,$C$1)))*L$141,0) + IF($I$1="Yes",L$299,0)</f>
        <v>15.28</v>
      </c>
      <c r="M134" s="131">
        <f ca="1">SUM(Data!L$24:L$26,Data!L$29:L$30,Data!L$32:L$33) + IF($F$1="Yes",SUM(Data!L$43:L$45,Data!L$48:L$49,Data!L$51:L$52)*(OFFSET('Forecast Adjuster'!$A$60,0,M$278)*OFFSET('Forecast Adjuster'!$A$63,0,M$278)-1),0) + IF(OFFSET(Scenarios!$A$63,0,$C$1)="Yes",(1-SUM(OFFSET(Scenarios!$A$64,0,$C$1,3,1),OFFSET(Scenarios!$A$70,0,$C$1),OFFSET(Scenarios!$A$72,0,$C$1)))*M$141,0) + IF($I$1="Yes",M$299,0)</f>
        <v>15.436999999999999</v>
      </c>
      <c r="N134" s="131">
        <f ca="1">SUM(Data!M$24:M$26,Data!M$29:M$30,Data!M$32:M$33) + IF($F$1="Yes",SUM(Data!M$43:M$45,Data!M$48:M$49,Data!M$51:M$52)*(OFFSET('Forecast Adjuster'!$A$60,0,N$278)*OFFSET('Forecast Adjuster'!$A$63,0,N$278)-1),0) + IF(OFFSET(Scenarios!$A$63,0,$C$1)="Yes",(1-SUM(OFFSET(Scenarios!$A$64,0,$C$1,3,1),OFFSET(Scenarios!$A$70,0,$C$1),OFFSET(Scenarios!$A$72,0,$C$1)))*N$141,0) + IF($I$1="Yes",N$299,0)</f>
        <v>15.690999999999999</v>
      </c>
      <c r="O134" s="107">
        <f t="shared" ref="O134:X134" ca="1" si="60">SUM(O$133,(N$134-N$133)*(1+O$234))</f>
        <v>15.653730791070441</v>
      </c>
      <c r="P134" s="107">
        <f t="shared" ca="1" si="60"/>
        <v>15.280095658256048</v>
      </c>
      <c r="Q134" s="107">
        <f t="shared" ca="1" si="60"/>
        <v>15.463742283373017</v>
      </c>
      <c r="R134" s="107">
        <f t="shared" ca="1" si="60"/>
        <v>15.653749111584133</v>
      </c>
      <c r="S134" s="107">
        <f t="shared" ca="1" si="60"/>
        <v>15.853963960348615</v>
      </c>
      <c r="T134" s="107">
        <f t="shared" ca="1" si="60"/>
        <v>16.063067083108109</v>
      </c>
      <c r="U134" s="107">
        <f t="shared" ca="1" si="60"/>
        <v>16.277313550539702</v>
      </c>
      <c r="V134" s="107">
        <f t="shared" ca="1" si="60"/>
        <v>16.497231699349967</v>
      </c>
      <c r="W134" s="107">
        <f t="shared" ca="1" si="60"/>
        <v>16.724006126246859</v>
      </c>
      <c r="X134" s="107">
        <f t="shared" ca="1" si="60"/>
        <v>16.957176338076941</v>
      </c>
    </row>
    <row r="135" spans="1:24" x14ac:dyDescent="0.2">
      <c r="A135" s="27"/>
      <c r="B135" s="102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1:24" x14ac:dyDescent="0.2">
      <c r="A136" s="108" t="s">
        <v>600</v>
      </c>
      <c r="B136" s="102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1:24" x14ac:dyDescent="0.2">
      <c r="A137" s="27" t="s">
        <v>426</v>
      </c>
      <c r="B137" s="233"/>
      <c r="C137" s="69"/>
      <c r="D137" s="71">
        <f>Data!C$53</f>
        <v>2.3290000000000002</v>
      </c>
      <c r="E137" s="71">
        <f>Data!D$53</f>
        <v>2.46</v>
      </c>
      <c r="F137" s="71">
        <f>Data!E$53</f>
        <v>2.4289999999999998</v>
      </c>
      <c r="G137" s="71">
        <f>Data!F$53</f>
        <v>2.3109999999999999</v>
      </c>
      <c r="H137" s="71">
        <f>Data!G$53</f>
        <v>3.0659999999999998</v>
      </c>
      <c r="I137" s="71">
        <f>Data!H$53</f>
        <v>3.5110000000000001</v>
      </c>
      <c r="J137" s="131">
        <f>Data!I$53 + IF($F$1="Yes",SUM(J$318:J$321),0) + IF($I$1="Yes",SUM(J$301:J$303),0) + IF($L$1="Yes",SUM(J$333:J$335),0)</f>
        <v>3.5790000000000002</v>
      </c>
      <c r="K137" s="131">
        <f>Data!J$53 + IF($F$1="Yes",SUM(K$318:K$321),0) + IF($I$1="Yes",SUM(K$301:K$303),0) + IF($L$1="Yes",SUM(K$333:K$335),0)</f>
        <v>3.7519999999999998</v>
      </c>
      <c r="L137" s="131">
        <f>Data!K$53 + IF($F$1="Yes",SUM(L$318:L$321),0) + IF($I$1="Yes",SUM(L$301:L$303),0) + IF($L$1="Yes",SUM(L$333:L$335),0)</f>
        <v>3.972</v>
      </c>
      <c r="M137" s="131">
        <f>Data!L$53 + IF($F$1="Yes",SUM(M$318:M$321),0) + IF($I$1="Yes",SUM(M$301:M$303),0) + IF($L$1="Yes",SUM(M$333:M$335),0)</f>
        <v>3.9889999999999999</v>
      </c>
      <c r="N137" s="131">
        <f>Data!M$53 + IF($F$1="Yes",SUM(N$318:N$321),0) + IF($I$1="Yes",SUM(N$301:N$303),0) + IF($L$1="Yes",SUM(N$333:N$335),0)</f>
        <v>4.2789999999999999</v>
      </c>
      <c r="O137" s="42">
        <f t="shared" ref="O137:X137" ca="1" si="61">N$225*O$237</f>
        <v>5.3069100000000002</v>
      </c>
      <c r="P137" s="42">
        <f t="shared" ca="1" si="61"/>
        <v>5.4909853396536343</v>
      </c>
      <c r="Q137" s="42">
        <f t="shared" ca="1" si="61"/>
        <v>5.6507786549140224</v>
      </c>
      <c r="R137" s="42">
        <f t="shared" ca="1" si="61"/>
        <v>5.7293351238518753</v>
      </c>
      <c r="S137" s="42">
        <f t="shared" ca="1" si="61"/>
        <v>5.6410381749061713</v>
      </c>
      <c r="T137" s="42">
        <f t="shared" ca="1" si="61"/>
        <v>5.4226096284695933</v>
      </c>
      <c r="U137" s="42">
        <f t="shared" ca="1" si="61"/>
        <v>5.099214701957127</v>
      </c>
      <c r="V137" s="42">
        <f t="shared" ca="1" si="61"/>
        <v>4.6699977649580973</v>
      </c>
      <c r="W137" s="42">
        <f t="shared" ca="1" si="61"/>
        <v>4.1275486666769527</v>
      </c>
      <c r="X137" s="42">
        <f t="shared" ca="1" si="61"/>
        <v>3.4648376015405966</v>
      </c>
    </row>
    <row r="138" spans="1:24" x14ac:dyDescent="0.2">
      <c r="A138" s="27" t="s">
        <v>427</v>
      </c>
      <c r="B138" s="233"/>
      <c r="C138" s="69"/>
      <c r="D138" s="71">
        <f>Data!C$34</f>
        <v>2.8849999999999998</v>
      </c>
      <c r="E138" s="71">
        <f>Data!D$34</f>
        <v>3.101</v>
      </c>
      <c r="F138" s="71">
        <f>Data!E$34</f>
        <v>3.07</v>
      </c>
      <c r="G138" s="71">
        <f>Data!F$34</f>
        <v>2.7770000000000001</v>
      </c>
      <c r="H138" s="71">
        <f>Data!G$34</f>
        <v>3.5960000000000001</v>
      </c>
      <c r="I138" s="71">
        <f>Data!H$34</f>
        <v>4.29</v>
      </c>
      <c r="J138" s="131">
        <f>Data!I$34 + IF($F$1="Yes",SUM(J$318:J$321),0) + IF($I$1="Yes",SUM(J$301:J$303),0) + IF($L$1="Yes",SUM(J$333:J$335),0)</f>
        <v>4.41</v>
      </c>
      <c r="K138" s="131">
        <f>Data!J$34 + IF($F$1="Yes",SUM(K$318:K$321),0) + IF($I$1="Yes",SUM(K$301:K$303),0) + IF($L$1="Yes",SUM(K$333:K$335),0)</f>
        <v>4.6829999999999998</v>
      </c>
      <c r="L138" s="131">
        <f>Data!K$34 + IF($F$1="Yes",SUM(L$318:L$321),0) + IF($I$1="Yes",SUM(L$301:L$303),0) + IF($L$1="Yes",SUM(L$333:L$335),0)</f>
        <v>5.2610000000000001</v>
      </c>
      <c r="M138" s="131">
        <f>Data!L$34 + IF($F$1="Yes",SUM(M$318:M$321),0) + IF($I$1="Yes",SUM(M$301:M$303),0) + IF($L$1="Yes",SUM(M$333:M$335),0)</f>
        <v>5.3529999999999998</v>
      </c>
      <c r="N138" s="131">
        <f>Data!M$34 + IF($F$1="Yes",SUM(N$318:N$321),0) + IF($I$1="Yes",SUM(N$301:N$303),0) + IF($L$1="Yes",SUM(N$333:N$335),0)</f>
        <v>5.7930000000000001</v>
      </c>
      <c r="O138" s="42">
        <f t="shared" ref="O138:X138" ca="1" si="62">SUM(N$222,N$223)*O$237</f>
        <v>6.4967041999999999</v>
      </c>
      <c r="P138" s="42">
        <f t="shared" ca="1" si="62"/>
        <v>6.7781120927608649</v>
      </c>
      <c r="Q138" s="42">
        <f t="shared" ca="1" si="62"/>
        <v>7.0460997967538468</v>
      </c>
      <c r="R138" s="42">
        <f t="shared" ca="1" si="62"/>
        <v>7.2531497983289075</v>
      </c>
      <c r="S138" s="42">
        <f t="shared" ca="1" si="62"/>
        <v>7.2872579327596796</v>
      </c>
      <c r="T138" s="42">
        <f t="shared" ca="1" si="62"/>
        <v>7.2050370011336673</v>
      </c>
      <c r="U138" s="42">
        <f t="shared" ca="1" si="62"/>
        <v>7.03595927136202</v>
      </c>
      <c r="V138" s="42">
        <f t="shared" ca="1" si="62"/>
        <v>6.7772470595303504</v>
      </c>
      <c r="W138" s="42">
        <f t="shared" ca="1" si="62"/>
        <v>6.4227149210697094</v>
      </c>
      <c r="X138" s="42">
        <f t="shared" ca="1" si="62"/>
        <v>5.966865403191898</v>
      </c>
    </row>
    <row r="139" spans="1:24" x14ac:dyDescent="0.2">
      <c r="A139" s="27"/>
      <c r="B139" s="102"/>
      <c r="C139" s="69"/>
      <c r="D139" s="71"/>
      <c r="E139" s="71"/>
      <c r="F139" s="71"/>
      <c r="G139" s="131"/>
      <c r="H139" s="131"/>
      <c r="I139" s="131"/>
      <c r="J139" s="131"/>
      <c r="K139" s="131"/>
      <c r="L139" s="131"/>
      <c r="M139" s="131"/>
      <c r="N139" s="131"/>
      <c r="O139" s="131"/>
      <c r="P139" s="75"/>
      <c r="Q139" s="75"/>
      <c r="R139" s="75"/>
      <c r="S139" s="75"/>
      <c r="T139" s="75"/>
      <c r="U139" s="75"/>
      <c r="V139" s="75"/>
      <c r="W139" s="75"/>
      <c r="X139" s="75"/>
    </row>
    <row r="140" spans="1:24" x14ac:dyDescent="0.2">
      <c r="A140" s="108" t="s">
        <v>1019</v>
      </c>
      <c r="B140" s="102"/>
      <c r="C140" s="69"/>
      <c r="D140" s="71">
        <f>D$141</f>
        <v>0</v>
      </c>
      <c r="E140" s="71">
        <f>E$141-D$141</f>
        <v>0</v>
      </c>
      <c r="F140" s="71">
        <f>F$141-E$141</f>
        <v>0</v>
      </c>
      <c r="G140" s="71">
        <f>G$141-F$141</f>
        <v>0</v>
      </c>
      <c r="H140" s="71">
        <f>H$141-G$141</f>
        <v>0</v>
      </c>
      <c r="I140" s="71">
        <f>I$141-H$141</f>
        <v>0</v>
      </c>
      <c r="J140" s="131">
        <f ca="1">IF(OFFSET(Scenarios!$A$63,0,$C$1)="Yes",0,J$141-I$141)</f>
        <v>-0.83299999999999996</v>
      </c>
      <c r="K140" s="131">
        <f ca="1">IF(OFFSET(Scenarios!$A$63,0,$C$1)="Yes",0,K$141-J$141)</f>
        <v>1.611</v>
      </c>
      <c r="L140" s="131">
        <f ca="1">IF(OFFSET(Scenarios!$A$63,0,$C$1)="Yes",0,L$141-K$141)</f>
        <v>1.1759999999999999</v>
      </c>
      <c r="M140" s="131">
        <f ca="1">IF(OFFSET(Scenarios!$A$63,0,$C$1)="Yes",0,M$141-L$141)</f>
        <v>1.1979999999999997</v>
      </c>
      <c r="N140" s="131">
        <f ca="1">IF(OFFSET(Scenarios!$A$63,0,$C$1)="Yes",0,N$141-M$141)</f>
        <v>1.1919999999999997</v>
      </c>
      <c r="O140" s="283">
        <f ca="1">IF(OFFSET(Scenarios!$A$63,0,$C$1)="Yes",0,IF(O$2="Proj Yr1",OFFSET(Scenarios!$A$30,0,$C$1),N$140*(1+OFFSET(Scenarios!$A$35,0,$C$1))))</f>
        <v>1.264</v>
      </c>
      <c r="P140" s="283">
        <f ca="1">IF(OFFSET(Scenarios!$A$63,0,$C$1)="Yes",0,IF(P$2="Proj Yr1",OFFSET(Scenarios!$A$30,0,$C$1),O$140*(1+OFFSET(Scenarios!$A$35,0,$C$1))))</f>
        <v>1.28928</v>
      </c>
      <c r="Q140" s="283">
        <f ca="1">IF(OFFSET(Scenarios!$A$63,0,$C$1)="Yes",0,IF(Q$2="Proj Yr1",OFFSET(Scenarios!$A$30,0,$C$1),P$140*(1+OFFSET(Scenarios!$A$35,0,$C$1))))</f>
        <v>1.3150656000000001</v>
      </c>
      <c r="R140" s="283">
        <f ca="1">IF(OFFSET(Scenarios!$A$63,0,$C$1)="Yes",0,IF(R$2="Proj Yr1",OFFSET(Scenarios!$A$30,0,$C$1),Q$140*(1+OFFSET(Scenarios!$A$35,0,$C$1))))</f>
        <v>1.341366912</v>
      </c>
      <c r="S140" s="283">
        <f ca="1">IF(OFFSET(Scenarios!$A$63,0,$C$1)="Yes",0,IF(S$2="Proj Yr1",OFFSET(Scenarios!$A$30,0,$C$1),R$140*(1+OFFSET(Scenarios!$A$35,0,$C$1))))</f>
        <v>1.36819425024</v>
      </c>
      <c r="T140" s="283">
        <f ca="1">IF(OFFSET(Scenarios!$A$63,0,$C$1)="Yes",0,IF(T$2="Proj Yr1",OFFSET(Scenarios!$A$30,0,$C$1),S$140*(1+OFFSET(Scenarios!$A$35,0,$C$1))))</f>
        <v>1.3955581352447999</v>
      </c>
      <c r="U140" s="283">
        <f ca="1">IF(OFFSET(Scenarios!$A$63,0,$C$1)="Yes",0,IF(U$2="Proj Yr1",OFFSET(Scenarios!$A$30,0,$C$1),T$140*(1+OFFSET(Scenarios!$A$35,0,$C$1))))</f>
        <v>1.4234692979496959</v>
      </c>
      <c r="V140" s="283">
        <f ca="1">IF(OFFSET(Scenarios!$A$63,0,$C$1)="Yes",0,IF(V$2="Proj Yr1",OFFSET(Scenarios!$A$30,0,$C$1),U$140*(1+OFFSET(Scenarios!$A$35,0,$C$1))))</f>
        <v>1.4519386839086899</v>
      </c>
      <c r="W140" s="283">
        <f ca="1">IF(OFFSET(Scenarios!$A$63,0,$C$1)="Yes",0,IF(W$2="Proj Yr1",OFFSET(Scenarios!$A$30,0,$C$1),V$140*(1+OFFSET(Scenarios!$A$35,0,$C$1))))</f>
        <v>1.4809774575868637</v>
      </c>
      <c r="X140" s="283">
        <f ca="1">IF(OFFSET(Scenarios!$A$63,0,$C$1)="Yes",0,IF(X$2="Proj Yr1",OFFSET(Scenarios!$A$30,0,$C$1),W$140*(1+OFFSET(Scenarios!$A$35,0,$C$1))))</f>
        <v>1.510597006738601</v>
      </c>
    </row>
    <row r="141" spans="1:24" x14ac:dyDescent="0.2">
      <c r="A141" s="225" t="s">
        <v>1020</v>
      </c>
      <c r="B141" s="233"/>
      <c r="C141" s="69"/>
      <c r="D141" s="177">
        <f>SUM(Data!C$54:C$55)</f>
        <v>0</v>
      </c>
      <c r="E141" s="177">
        <f>SUM(Data!D$54:D$55)</f>
        <v>0</v>
      </c>
      <c r="F141" s="177">
        <f>SUM(Data!E$54:E$55)</f>
        <v>0</v>
      </c>
      <c r="G141" s="177">
        <f>SUM(Data!F$54:F$55)</f>
        <v>0</v>
      </c>
      <c r="H141" s="177">
        <f>SUM(Data!G$54:G$55)</f>
        <v>0</v>
      </c>
      <c r="I141" s="177">
        <f>SUM(Data!H$54:H$55)</f>
        <v>0</v>
      </c>
      <c r="J141" s="156">
        <f>SUM(Data!I$54:I$55) + IF($I$1="Yes",J$300,0)</f>
        <v>-0.83299999999999996</v>
      </c>
      <c r="K141" s="156">
        <f>SUM(Data!J$54:J$55) + IF($I$1="Yes",K$300,0)</f>
        <v>0.77800000000000002</v>
      </c>
      <c r="L141" s="156">
        <f>SUM(Data!K$54:K$55) + IF($I$1="Yes",L$300,0)</f>
        <v>1.954</v>
      </c>
      <c r="M141" s="156">
        <f>SUM(Data!L$54:L$55) + IF($I$1="Yes",M$300,0)</f>
        <v>3.1519999999999997</v>
      </c>
      <c r="N141" s="156">
        <f>SUM(Data!M$54:M$55) + IF($I$1="Yes",N$300,0)</f>
        <v>4.3439999999999994</v>
      </c>
      <c r="O141" s="281">
        <f ca="1">N$141+IF(O$2="Proj Yr1",OFFSET(Scenarios!$A$30,0,$C$1),(N$141-M$141)*(1+OFFSET(Scenarios!$A$35,0,$C$1)))</f>
        <v>5.6079999999999997</v>
      </c>
      <c r="P141" s="281">
        <f ca="1">O$141+IF(P$2="Proj Yr1",OFFSET(Scenarios!$A$30,0,$C$1),(O$141-N$141)*(1+OFFSET(Scenarios!$A$35,0,$C$1)))</f>
        <v>6.8972800000000003</v>
      </c>
      <c r="Q141" s="281">
        <f ca="1">P$141+IF(Q$2="Proj Yr1",OFFSET(Scenarios!$A$30,0,$C$1),(P$141-O$141)*(1+OFFSET(Scenarios!$A$35,0,$C$1)))</f>
        <v>8.2123456000000008</v>
      </c>
      <c r="R141" s="281">
        <f ca="1">Q$141+IF(R$2="Proj Yr1",OFFSET(Scenarios!$A$30,0,$C$1),(Q$141-P$141)*(1+OFFSET(Scenarios!$A$35,0,$C$1)))</f>
        <v>9.5537125120000006</v>
      </c>
      <c r="S141" s="281">
        <f ca="1">R$141+IF(S$2="Proj Yr1",OFFSET(Scenarios!$A$30,0,$C$1),(R$141-Q$141)*(1+OFFSET(Scenarios!$A$35,0,$C$1)))</f>
        <v>10.921906762240001</v>
      </c>
      <c r="T141" s="281">
        <f ca="1">S$141+IF(T$2="Proj Yr1",OFFSET(Scenarios!$A$30,0,$C$1),(S$141-R$141)*(1+OFFSET(Scenarios!$A$35,0,$C$1)))</f>
        <v>12.3174648974848</v>
      </c>
      <c r="U141" s="281">
        <f ca="1">T$141+IF(U$2="Proj Yr1",OFFSET(Scenarios!$A$30,0,$C$1),(T$141-S$141)*(1+OFFSET(Scenarios!$A$35,0,$C$1)))</f>
        <v>13.740934195434496</v>
      </c>
      <c r="V141" s="281">
        <f ca="1">U$141+IF(V$2="Proj Yr1",OFFSET(Scenarios!$A$30,0,$C$1),(U$141-T$141)*(1+OFFSET(Scenarios!$A$35,0,$C$1)))</f>
        <v>15.192872879343186</v>
      </c>
      <c r="W141" s="281">
        <f ca="1">V$141+IF(W$2="Proj Yr1",OFFSET(Scenarios!$A$30,0,$C$1),(V$141-U$141)*(1+OFFSET(Scenarios!$A$35,0,$C$1)))</f>
        <v>16.673850336930052</v>
      </c>
      <c r="X141" s="281">
        <f ca="1">W$141+IF(X$2="Proj Yr1",OFFSET(Scenarios!$A$30,0,$C$1),(W$141-V$141)*(1+OFFSET(Scenarios!$A$35,0,$C$1)))</f>
        <v>18.184447343668655</v>
      </c>
    </row>
    <row r="142" spans="1:24" x14ac:dyDescent="0.2">
      <c r="A142" s="31"/>
      <c r="B142" s="69"/>
      <c r="C142" s="69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</row>
    <row r="143" spans="1:24" x14ac:dyDescent="0.2">
      <c r="A143" s="108" t="s">
        <v>619</v>
      </c>
      <c r="B143" s="69"/>
      <c r="C143" s="69"/>
      <c r="D143" s="177"/>
      <c r="E143" s="177"/>
      <c r="F143" s="177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</row>
    <row r="144" spans="1:24" x14ac:dyDescent="0.2">
      <c r="A144" s="27" t="s">
        <v>310</v>
      </c>
      <c r="B144" s="233"/>
      <c r="C144" s="69"/>
      <c r="D144" s="101">
        <f>Data!C$110</f>
        <v>1.1180000000000001</v>
      </c>
      <c r="E144" s="101">
        <f>Data!D$110</f>
        <v>0.872</v>
      </c>
      <c r="F144" s="101">
        <f>Data!E$110</f>
        <v>3.375</v>
      </c>
      <c r="G144" s="101">
        <f>Data!F$110</f>
        <v>4.9729999999999999</v>
      </c>
      <c r="H144" s="101">
        <f>Data!G$110</f>
        <v>6.0869999999999997</v>
      </c>
      <c r="I144" s="101">
        <f>Data!H$110</f>
        <v>6.7560000000000002</v>
      </c>
      <c r="J144" s="131">
        <f>Data!I$110</f>
        <v>9.1620000000000008</v>
      </c>
      <c r="K144" s="131">
        <f>Data!J$110</f>
        <v>9.1690000000000005</v>
      </c>
      <c r="L144" s="131">
        <f>Data!K$110</f>
        <v>9.1630000000000003</v>
      </c>
      <c r="M144" s="131">
        <f>Data!L$110</f>
        <v>9.1199999999999992</v>
      </c>
      <c r="N144" s="131">
        <f>Data!M$110</f>
        <v>9.0429999999999993</v>
      </c>
      <c r="O144" s="102">
        <f t="shared" ref="O144:X144" ca="1" si="63">N$144*(1+O$236)</f>
        <v>9.225233620253162</v>
      </c>
      <c r="P144" s="102">
        <f t="shared" ca="1" si="63"/>
        <v>9.4097382926582256</v>
      </c>
      <c r="Q144" s="102">
        <f t="shared" ca="1" si="63"/>
        <v>9.5979330585113907</v>
      </c>
      <c r="R144" s="102">
        <f t="shared" ca="1" si="63"/>
        <v>9.7898917196816182</v>
      </c>
      <c r="S144" s="102">
        <f t="shared" ca="1" si="63"/>
        <v>9.9856895540752504</v>
      </c>
      <c r="T144" s="102">
        <f t="shared" ca="1" si="63"/>
        <v>10.185403345156756</v>
      </c>
      <c r="U144" s="102">
        <f t="shared" ca="1" si="63"/>
        <v>10.389111412059892</v>
      </c>
      <c r="V144" s="102">
        <f t="shared" ca="1" si="63"/>
        <v>10.59689364030109</v>
      </c>
      <c r="W144" s="102">
        <f t="shared" ca="1" si="63"/>
        <v>10.808831513107112</v>
      </c>
      <c r="X144" s="102">
        <f t="shared" ca="1" si="63"/>
        <v>11.025008143369254</v>
      </c>
    </row>
    <row r="145" spans="1:24" x14ac:dyDescent="0.2">
      <c r="A145" s="27" t="s">
        <v>620</v>
      </c>
      <c r="B145" s="233"/>
      <c r="C145" s="69"/>
      <c r="D145" s="101">
        <f>Data!C$58</f>
        <v>4.1630000000000003</v>
      </c>
      <c r="E145" s="101">
        <f>Data!D$58</f>
        <v>3.8039999999999998</v>
      </c>
      <c r="F145" s="101">
        <f>Data!E$58</f>
        <v>6.2679999999999998</v>
      </c>
      <c r="G145" s="101">
        <f>Data!F$58</f>
        <v>7.774</v>
      </c>
      <c r="H145" s="101">
        <f>Data!G$58</f>
        <v>9.8010000000000002</v>
      </c>
      <c r="I145" s="101">
        <f>Data!H$58</f>
        <v>10.686</v>
      </c>
      <c r="J145" s="131">
        <f>Data!I$58</f>
        <v>13.952</v>
      </c>
      <c r="K145" s="131">
        <f>Data!J$58</f>
        <v>13.366</v>
      </c>
      <c r="L145" s="131">
        <f>Data!K$58</f>
        <v>12.933999999999999</v>
      </c>
      <c r="M145" s="131">
        <f>Data!L$58</f>
        <v>12.772</v>
      </c>
      <c r="N145" s="131">
        <f>Data!M$58</f>
        <v>12.477</v>
      </c>
      <c r="O145" s="42">
        <f t="shared" ref="O145:X145" ca="1" si="64">N$145*(1+O$236)</f>
        <v>12.728435240506329</v>
      </c>
      <c r="P145" s="42">
        <f t="shared" ca="1" si="64"/>
        <v>12.983003945316456</v>
      </c>
      <c r="Q145" s="42">
        <f t="shared" ca="1" si="64"/>
        <v>13.242664024222785</v>
      </c>
      <c r="R145" s="42">
        <f t="shared" ca="1" si="64"/>
        <v>13.507517304707241</v>
      </c>
      <c r="S145" s="42">
        <f t="shared" ca="1" si="64"/>
        <v>13.777667650801385</v>
      </c>
      <c r="T145" s="42">
        <f t="shared" ca="1" si="64"/>
        <v>14.053221003817413</v>
      </c>
      <c r="U145" s="42">
        <f t="shared" ca="1" si="64"/>
        <v>14.33428542389376</v>
      </c>
      <c r="V145" s="42">
        <f t="shared" ca="1" si="64"/>
        <v>14.620971132371636</v>
      </c>
      <c r="W145" s="42">
        <f t="shared" ca="1" si="64"/>
        <v>14.913390555019069</v>
      </c>
      <c r="X145" s="42">
        <f t="shared" ca="1" si="64"/>
        <v>15.211658366119451</v>
      </c>
    </row>
    <row r="146" spans="1:24" x14ac:dyDescent="0.2">
      <c r="A146" s="27" t="s">
        <v>311</v>
      </c>
      <c r="B146" s="233"/>
      <c r="C146" s="69"/>
      <c r="D146" s="101">
        <f>Data!C$111</f>
        <v>7.59</v>
      </c>
      <c r="E146" s="101">
        <f>Data!D$111</f>
        <v>9.0310000000000006</v>
      </c>
      <c r="F146" s="101">
        <f>Data!E$111</f>
        <v>10.243</v>
      </c>
      <c r="G146" s="101">
        <f>Data!F$111</f>
        <v>8.7759999999999998</v>
      </c>
      <c r="H146" s="101">
        <f>Data!G$111</f>
        <v>11.375999999999999</v>
      </c>
      <c r="I146" s="101">
        <f>Data!H$111</f>
        <v>10.974</v>
      </c>
      <c r="J146" s="131">
        <f>Data!I$111</f>
        <v>10.564</v>
      </c>
      <c r="K146" s="131">
        <f>Data!J$111</f>
        <v>9.7050000000000001</v>
      </c>
      <c r="L146" s="131">
        <f>Data!K$111</f>
        <v>9.7260000000000009</v>
      </c>
      <c r="M146" s="131">
        <f>Data!L$111</f>
        <v>9.7029999999999994</v>
      </c>
      <c r="N146" s="131">
        <f>Data!M$111</f>
        <v>9.7110000000000003</v>
      </c>
      <c r="O146" s="42">
        <f t="shared" ref="O146:X146" ca="1" si="65">N$146*(1+O$236)</f>
        <v>9.9066950886075951</v>
      </c>
      <c r="P146" s="42">
        <f t="shared" ca="1" si="65"/>
        <v>10.104828990379747</v>
      </c>
      <c r="Q146" s="42">
        <f t="shared" ca="1" si="65"/>
        <v>10.306925570187342</v>
      </c>
      <c r="R146" s="42">
        <f t="shared" ca="1" si="65"/>
        <v>10.513064081591089</v>
      </c>
      <c r="S146" s="42">
        <f t="shared" ca="1" si="65"/>
        <v>10.723325363222912</v>
      </c>
      <c r="T146" s="42">
        <f t="shared" ca="1" si="65"/>
        <v>10.93779187048737</v>
      </c>
      <c r="U146" s="42">
        <f t="shared" ca="1" si="65"/>
        <v>11.156547707897118</v>
      </c>
      <c r="V146" s="42">
        <f t="shared" ca="1" si="65"/>
        <v>11.379678662055062</v>
      </c>
      <c r="W146" s="42">
        <f t="shared" ca="1" si="65"/>
        <v>11.607272235296163</v>
      </c>
      <c r="X146" s="42">
        <f t="shared" ca="1" si="65"/>
        <v>11.839417680002086</v>
      </c>
    </row>
    <row r="147" spans="1:24" x14ac:dyDescent="0.2">
      <c r="A147" s="27" t="s">
        <v>313</v>
      </c>
      <c r="B147" s="233"/>
      <c r="C147" s="69"/>
      <c r="D147" s="101">
        <f>Data!C$59</f>
        <v>12.058</v>
      </c>
      <c r="E147" s="101">
        <f>Data!D$59</f>
        <v>14.157999999999999</v>
      </c>
      <c r="F147" s="101">
        <f>Data!E$59</f>
        <v>14.619</v>
      </c>
      <c r="G147" s="101">
        <f>Data!F$59</f>
        <v>13.884</v>
      </c>
      <c r="H147" s="101">
        <f>Data!G$59</f>
        <v>21.69</v>
      </c>
      <c r="I147" s="101">
        <f>Data!H$59</f>
        <v>20.956</v>
      </c>
      <c r="J147" s="131">
        <f>Data!I$59</f>
        <v>17.626999999999999</v>
      </c>
      <c r="K147" s="131">
        <f>Data!J$59</f>
        <v>15.994</v>
      </c>
      <c r="L147" s="131">
        <f>Data!K$59</f>
        <v>15.372</v>
      </c>
      <c r="M147" s="131">
        <f>Data!L$59</f>
        <v>15.052</v>
      </c>
      <c r="N147" s="131">
        <f>Data!M$59</f>
        <v>15.146000000000001</v>
      </c>
      <c r="O147" s="42">
        <f t="shared" ref="O147:X147" ca="1" si="66">N$147*(1+O$236)</f>
        <v>15.451220658227847</v>
      </c>
      <c r="P147" s="42">
        <f t="shared" ca="1" si="66"/>
        <v>15.760245071392404</v>
      </c>
      <c r="Q147" s="42">
        <f t="shared" ca="1" si="66"/>
        <v>16.075449972820252</v>
      </c>
      <c r="R147" s="42">
        <f t="shared" ca="1" si="66"/>
        <v>16.396958972276657</v>
      </c>
      <c r="S147" s="42">
        <f t="shared" ca="1" si="66"/>
        <v>16.72489815172219</v>
      </c>
      <c r="T147" s="42">
        <f t="shared" ca="1" si="66"/>
        <v>17.059396114756634</v>
      </c>
      <c r="U147" s="42">
        <f t="shared" ca="1" si="66"/>
        <v>17.400584037051768</v>
      </c>
      <c r="V147" s="42">
        <f t="shared" ca="1" si="66"/>
        <v>17.748595717792803</v>
      </c>
      <c r="W147" s="42">
        <f t="shared" ca="1" si="66"/>
        <v>18.10356763214866</v>
      </c>
      <c r="X147" s="42">
        <f t="shared" ca="1" si="66"/>
        <v>18.465638984791635</v>
      </c>
    </row>
    <row r="148" spans="1:24" x14ac:dyDescent="0.2">
      <c r="A148" s="27"/>
      <c r="B148" s="69"/>
      <c r="C148" s="69"/>
      <c r="D148" s="101"/>
      <c r="E148" s="101"/>
      <c r="F148" s="101"/>
      <c r="G148" s="10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</row>
    <row r="149" spans="1:24" x14ac:dyDescent="0.2">
      <c r="A149" s="108" t="s">
        <v>623</v>
      </c>
      <c r="B149" s="69"/>
      <c r="C149" s="69"/>
      <c r="D149" s="101"/>
      <c r="E149" s="101"/>
      <c r="F149" s="101"/>
      <c r="G149" s="10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</row>
    <row r="150" spans="1:24" x14ac:dyDescent="0.2">
      <c r="A150" s="31" t="s">
        <v>770</v>
      </c>
      <c r="B150" s="233"/>
      <c r="C150" s="69"/>
      <c r="D150" s="69">
        <f>ROUND(D$154*(Data!C$168-Data!C$172*2/3)/(SUM(Data!C$168:C$171)-SUM(Data!C$111,Data!C$172,Data!C$189)),3)</f>
        <v>9.0779999999999994</v>
      </c>
      <c r="E150" s="69">
        <f>ROUND(E$154*(Data!D$168-Data!D$172*2/3)/(SUM(Data!D$168:D$171)-SUM(Data!D$111,Data!D$172,Data!D$189)),3)</f>
        <v>12.641</v>
      </c>
      <c r="F150" s="69">
        <f>ROUND(F$154*(Data!E$168-Data!E$172*2/3)/(SUM(Data!E$168:E$171)-SUM(Data!E$111,Data!E$172,Data!E$189)),3)</f>
        <v>13.839</v>
      </c>
      <c r="G150" s="69">
        <f>ROUND(G$154*(Data!F$168-Data!F$172*2/3)/(SUM(Data!F$168:F$171)-SUM(Data!F$111,Data!F$172,Data!F$189)),3)</f>
        <v>14.26</v>
      </c>
      <c r="H150" s="69">
        <f>ROUND(H$154*(Data!G$168-Data!G$172*2/3)/(SUM(Data!G$168:G$171)-SUM(Data!G$111,Data!G$172,Data!G$189)),3)</f>
        <v>19.242000000000001</v>
      </c>
      <c r="I150" s="69">
        <f>ROUND(I$154*(Data!H$168-Data!H$172*2/3)/(SUM(Data!H$168:H$171)-SUM(Data!H$111,Data!H$172,Data!H$189)),3)</f>
        <v>16.286999999999999</v>
      </c>
      <c r="J150" s="105">
        <f>ROUND((J$154 - IF($I$1="Yes",J$305,0) - IF($L$1="Yes",J$339,0))*(Data!I$168-Data!I$172*2/3)/(SUM(Data!I$168:I$171)-SUM(Data!I$111,Data!I$172,Data!I$189)),3) + IF($I$1="Yes",J$305,0)</f>
        <v>8.68</v>
      </c>
      <c r="K150" s="105">
        <f>ROUND((K$154 - IF($I$1="Yes",K$305,0) - IF($L$1="Yes",K$339,0))*(Data!J$168-Data!J$172*2/3)/(SUM(Data!J$168:J$171)-SUM(Data!J$111,Data!J$172,Data!J$189)),3) + IF($I$1="Yes",K$305,0)</f>
        <v>10.289</v>
      </c>
      <c r="L150" s="105">
        <f>ROUND((L$154 - IF($I$1="Yes",L$305,0) - IF($L$1="Yes",L$339,0))*(Data!K$168-Data!K$172*2/3)/(SUM(Data!K$168:K$171)-SUM(Data!K$111,Data!K$172,Data!K$189)),3) + IF($I$1="Yes",L$305,0)</f>
        <v>6.0810000000000004</v>
      </c>
      <c r="M150" s="105">
        <f>ROUND((M$154 - IF($I$1="Yes",M$305,0) - IF($L$1="Yes",M$339,0))*(Data!L$168-Data!L$172*2/3)/(SUM(Data!L$168:L$171)-SUM(Data!L$111,Data!L$172,Data!L$189)),3) + IF($I$1="Yes",M$305,0)</f>
        <v>7.1269999999999998</v>
      </c>
      <c r="N150" s="105">
        <f>ROUND((N$154 - IF($I$1="Yes",N$305,0) - IF($L$1="Yes",N$339,0))*(Data!M$168-Data!M$172*2/3)/(SUM(Data!M$168:M$171)-SUM(Data!M$111,Data!M$172,Data!M$189)),3) + IF($I$1="Yes",N$305,0)</f>
        <v>9.6430000000000007</v>
      </c>
      <c r="O150" s="73">
        <f t="shared" ref="O150:X150" ca="1" si="67">N$150*(1+O$236)</f>
        <v>9.8373247594936704</v>
      </c>
      <c r="P150" s="73">
        <f t="shared" ca="1" si="67"/>
        <v>10.034071254683544</v>
      </c>
      <c r="Q150" s="73">
        <f t="shared" ca="1" si="67"/>
        <v>10.234752679777216</v>
      </c>
      <c r="R150" s="73">
        <f t="shared" ca="1" si="67"/>
        <v>10.439447733372761</v>
      </c>
      <c r="S150" s="73">
        <f t="shared" ca="1" si="67"/>
        <v>10.648236688040216</v>
      </c>
      <c r="T150" s="73">
        <f t="shared" ca="1" si="67"/>
        <v>10.86120142180102</v>
      </c>
      <c r="U150" s="73">
        <f t="shared" ca="1" si="67"/>
        <v>11.078425450237042</v>
      </c>
      <c r="V150" s="73">
        <f t="shared" ca="1" si="67"/>
        <v>11.299993959241784</v>
      </c>
      <c r="W150" s="73">
        <f t="shared" ca="1" si="67"/>
        <v>11.525993838426619</v>
      </c>
      <c r="X150" s="73">
        <f t="shared" ca="1" si="67"/>
        <v>11.756513715195151</v>
      </c>
    </row>
    <row r="151" spans="1:24" x14ac:dyDescent="0.2">
      <c r="A151" s="31" t="s">
        <v>766</v>
      </c>
      <c r="B151" s="233"/>
      <c r="C151" s="69"/>
      <c r="D151" s="69">
        <f>ROUND(D$154*(Data!C$169-Data!C$172*1/3)/(SUM(Data!C$168:C$171)-SUM(Data!C$111,Data!C$172,Data!C$189)),3)</f>
        <v>12.757</v>
      </c>
      <c r="E151" s="69">
        <f>ROUND(E$154*(Data!D$169-Data!D$172*1/3)/(SUM(Data!D$168:D$171)-SUM(Data!D$111,Data!D$172,Data!D$189)),3)</f>
        <v>13.375</v>
      </c>
      <c r="F151" s="69">
        <f>ROUND(F$154*(Data!E$169-Data!E$172*1/3)/(SUM(Data!E$168:E$171)-SUM(Data!E$111,Data!E$172,Data!E$189)),3)</f>
        <v>16.248999999999999</v>
      </c>
      <c r="G151" s="69">
        <f>ROUND(G$154*(Data!F$169-Data!F$172*1/3)/(SUM(Data!F$168:F$171)-SUM(Data!F$111,Data!F$172,Data!F$189)),3)</f>
        <v>13.423999999999999</v>
      </c>
      <c r="H151" s="69">
        <f>ROUND(H$154*(Data!G$169-Data!G$172*1/3)/(SUM(Data!G$168:G$171)-SUM(Data!G$111,Data!G$172,Data!G$189)),3)</f>
        <v>12</v>
      </c>
      <c r="I151" s="69">
        <f>ROUND(I$154*(Data!H$169-Data!H$172*1/3)/(SUM(Data!H$168:H$171)-SUM(Data!H$111,Data!H$172,Data!H$189)),3)</f>
        <v>11.704000000000001</v>
      </c>
      <c r="J151" s="105">
        <f>ROUND((J$154 - IF($I$1="Yes",J$305,0) - IF($L$1="Yes",J$339,0))*(Data!I$169-Data!I$172*1/3)/(SUM(Data!I$168:I$171)-SUM(Data!I$111,Data!I$172,Data!I$189)),3) + IF($I$1="Yes",J$305,0)</f>
        <v>11.262</v>
      </c>
      <c r="K151" s="105">
        <f>ROUND((K$154 - IF($I$1="Yes",K$305,0) - IF($L$1="Yes",K$339,0))*(Data!J$169-Data!J$172*1/3)/(SUM(Data!J$168:J$171)-SUM(Data!J$111,Data!J$172,Data!J$189)),3) + IF($I$1="Yes",K$305,0)</f>
        <v>11.638</v>
      </c>
      <c r="L151" s="105">
        <f>ROUND((L$154 - IF($I$1="Yes",L$305,0) - IF($L$1="Yes",L$339,0))*(Data!K$169-Data!K$172*1/3)/(SUM(Data!K$168:K$171)-SUM(Data!K$111,Data!K$172,Data!K$189)),3) + IF($I$1="Yes",L$305,0)</f>
        <v>11.225</v>
      </c>
      <c r="M151" s="105">
        <f>ROUND((M$154 - IF($I$1="Yes",M$305,0) - IF($L$1="Yes",M$339,0))*(Data!L$169-Data!L$172*1/3)/(SUM(Data!L$168:L$171)-SUM(Data!L$111,Data!L$172,Data!L$189)),3) + IF($I$1="Yes",M$305,0)</f>
        <v>11.641999999999999</v>
      </c>
      <c r="N151" s="105">
        <f>ROUND((N$154 - IF($I$1="Yes",N$305,0) - IF($L$1="Yes",N$339,0))*(Data!M$169-Data!M$172*1/3)/(SUM(Data!M$168:M$171)-SUM(Data!M$111,Data!M$172,Data!M$189)),3) + IF($I$1="Yes",N$305,0)</f>
        <v>12.295999999999999</v>
      </c>
      <c r="O151" s="73">
        <f t="shared" ref="O151:X151" ca="1" si="68">N$151*(1+O$236)</f>
        <v>12.543787746835442</v>
      </c>
      <c r="P151" s="73">
        <f t="shared" ca="1" si="68"/>
        <v>12.794663501772151</v>
      </c>
      <c r="Q151" s="73">
        <f t="shared" ca="1" si="68"/>
        <v>13.050556771807594</v>
      </c>
      <c r="R151" s="73">
        <f t="shared" ca="1" si="68"/>
        <v>13.311567907243747</v>
      </c>
      <c r="S151" s="73">
        <f t="shared" ca="1" si="68"/>
        <v>13.577799265388622</v>
      </c>
      <c r="T151" s="73">
        <f t="shared" ca="1" si="68"/>
        <v>13.849355250696394</v>
      </c>
      <c r="U151" s="73">
        <f t="shared" ca="1" si="68"/>
        <v>14.126342355710323</v>
      </c>
      <c r="V151" s="73">
        <f t="shared" ca="1" si="68"/>
        <v>14.40886920282453</v>
      </c>
      <c r="W151" s="73">
        <f t="shared" ca="1" si="68"/>
        <v>14.697046586881021</v>
      </c>
      <c r="X151" s="73">
        <f t="shared" ca="1" si="68"/>
        <v>14.990987518618642</v>
      </c>
    </row>
    <row r="152" spans="1:24" x14ac:dyDescent="0.2">
      <c r="A152" s="31" t="s">
        <v>318</v>
      </c>
      <c r="B152" s="233"/>
      <c r="C152" s="69"/>
      <c r="D152" s="69">
        <f>ROUND(D$154*Data!C$170/(SUM(Data!C$168:C$171)-SUM(Data!C$111,Data!C$172,Data!C$189)),3)</f>
        <v>11.206</v>
      </c>
      <c r="E152" s="69">
        <f>ROUND(E$154*Data!D$170/(SUM(Data!D$168:D$171)-SUM(Data!D$111,Data!D$172,Data!D$189)),3)</f>
        <v>12.33</v>
      </c>
      <c r="F152" s="69">
        <f>ROUND(F$154*Data!E$170/(SUM(Data!E$168:E$171)-SUM(Data!E$111,Data!E$172,Data!E$189)),3)</f>
        <v>10.964</v>
      </c>
      <c r="G152" s="69">
        <f>ROUND(G$154*Data!F$170/(SUM(Data!F$168:F$171)-SUM(Data!F$111,Data!F$172,Data!F$189)),3)</f>
        <v>12.693</v>
      </c>
      <c r="H152" s="69">
        <f>ROUND(H$154*Data!G$170/(SUM(Data!G$168:G$171)-SUM(Data!G$111,Data!G$172,Data!G$189)),3)</f>
        <v>15.097</v>
      </c>
      <c r="I152" s="69">
        <f>ROUND(I$154*Data!H$170/(SUM(Data!H$168:H$171)-SUM(Data!H$111,Data!H$172,Data!H$189)),3)</f>
        <v>14.747</v>
      </c>
      <c r="J152" s="105">
        <f>ROUND((J$154 - IF($I$1="Yes",J$305,0) - IF($L$1="Yes",J$339,0))*Data!I$170/(SUM(Data!I$168:I$171)-SUM(Data!I$111,Data!I$172,Data!I$189)),3) + IF($L$1="Yes",J$339,0)</f>
        <v>15.301</v>
      </c>
      <c r="K152" s="105">
        <f>ROUND((K$154 - IF($I$1="Yes",K$305,0) - IF($L$1="Yes",K$339,0))*Data!J$170/(SUM(Data!J$168:J$171)-SUM(Data!J$111,Data!J$172,Data!J$189)),3) + IF($L$1="Yes",K$339,0)</f>
        <v>16.364999999999998</v>
      </c>
      <c r="L152" s="105">
        <f>ROUND((L$154 - IF($I$1="Yes",L$305,0) - IF($L$1="Yes",L$339,0))*Data!K$170/(SUM(Data!K$168:K$171)-SUM(Data!K$111,Data!K$172,Data!K$189)),3) + IF($L$1="Yes",L$339,0)</f>
        <v>16.805</v>
      </c>
      <c r="M152" s="105">
        <f>ROUND((M$154 - IF($I$1="Yes",M$305,0) - IF($L$1="Yes",M$339,0))*Data!L$170/(SUM(Data!L$168:L$171)-SUM(Data!L$111,Data!L$172,Data!L$189)),3) + IF($L$1="Yes",M$339,0)</f>
        <v>18.254000000000001</v>
      </c>
      <c r="N152" s="105">
        <f>ROUND((N$154 - IF($I$1="Yes",N$305,0) - IF($L$1="Yes",N$339,0))*Data!M$170/(SUM(Data!M$168:M$171)-SUM(Data!M$111,Data!M$172,Data!M$189)),3) + IF($L$1="Yes",N$339,0)</f>
        <v>20.352</v>
      </c>
      <c r="O152" s="73">
        <f t="shared" ref="O152:X152" si="69">N$152*O$167/N$167</f>
        <v>21.718395190336025</v>
      </c>
      <c r="P152" s="73">
        <f t="shared" si="69"/>
        <v>24.809014537149171</v>
      </c>
      <c r="Q152" s="73">
        <f t="shared" si="69"/>
        <v>28.14262112921341</v>
      </c>
      <c r="R152" s="73">
        <f t="shared" si="69"/>
        <v>31.643720572417678</v>
      </c>
      <c r="S152" s="73">
        <f t="shared" si="69"/>
        <v>35.319700539998117</v>
      </c>
      <c r="T152" s="73">
        <f t="shared" si="69"/>
        <v>39.166100753124283</v>
      </c>
      <c r="U152" s="73">
        <f t="shared" si="69"/>
        <v>43.108726778447853</v>
      </c>
      <c r="V152" s="73">
        <f t="shared" si="69"/>
        <v>47.130894136994009</v>
      </c>
      <c r="W152" s="73">
        <f t="shared" si="69"/>
        <v>51.194739271835651</v>
      </c>
      <c r="X152" s="73">
        <f t="shared" si="69"/>
        <v>55.273743477645866</v>
      </c>
    </row>
    <row r="153" spans="1:24" x14ac:dyDescent="0.2">
      <c r="A153" s="31" t="s">
        <v>535</v>
      </c>
      <c r="B153" s="233"/>
      <c r="C153" s="69"/>
      <c r="D153" s="176">
        <f>ROUND(D$154*(Data!C$171-SUM(Data!C$111,Data!C$189))/(SUM(Data!C$168:C$171)-SUM(Data!C$111,Data!C$172,Data!C$189)),3)</f>
        <v>1.2490000000000001</v>
      </c>
      <c r="E153" s="176">
        <f>ROUND(E$154*(Data!D$171-SUM(Data!D$111,Data!D$189))/(SUM(Data!D$168:D$171)-SUM(Data!D$111,Data!D$172,Data!D$189)),3)</f>
        <v>1.103</v>
      </c>
      <c r="F153" s="176">
        <f>ROUND(F$154*(Data!E$171-SUM(Data!E$111,Data!E$189))/(SUM(Data!E$168:E$171)-SUM(Data!E$111,Data!E$172,Data!E$189)),3)</f>
        <v>0.51300000000000001</v>
      </c>
      <c r="G153" s="176">
        <f>ROUND(G$154*(Data!F$171-SUM(Data!F$111,Data!F$189))/(SUM(Data!F$168:F$171)-SUM(Data!F$111,Data!F$172,Data!F$189)),3)</f>
        <v>0.76900000000000002</v>
      </c>
      <c r="H153" s="176">
        <f>ROUND(H$154*(Data!G$171-SUM(Data!G$111,Data!G$189))/(SUM(Data!G$168:G$171)-SUM(Data!G$111,Data!G$172,Data!G$189)),3)</f>
        <v>0.22600000000000001</v>
      </c>
      <c r="I153" s="176">
        <f>ROUND(I$154*(Data!H$171-SUM(Data!H$111,Data!H$189))/(SUM(Data!H$168:H$171)-SUM(Data!H$111,Data!H$172,Data!H$189)),3)</f>
        <v>0.93300000000000005</v>
      </c>
      <c r="J153" s="130">
        <f>ROUND((J$154 - IF($I$1="Yes",J$305,0) - IF($L$1="Yes",J$339,0))*(Data!I$171-SUM(Data!I$111,Data!I$189))/(SUM(Data!I$168:I$171)-SUM(Data!I$111,Data!I$172,Data!I$189)),3)</f>
        <v>0.61199999999999999</v>
      </c>
      <c r="K153" s="130">
        <f>ROUND((K$154 - IF($I$1="Yes",K$305,0) - IF($L$1="Yes",K$339,0))*(Data!J$171-SUM(Data!J$111,Data!J$189))/(SUM(Data!J$168:J$171)-SUM(Data!J$111,Data!J$172,Data!J$189)),3)</f>
        <v>0.69099999999999995</v>
      </c>
      <c r="L153" s="130">
        <f>ROUND((L$154 - IF($I$1="Yes",L$305,0) - IF($L$1="Yes",L$339,0))*(Data!K$171-SUM(Data!K$111,Data!K$189))/(SUM(Data!K$168:K$171)-SUM(Data!K$111,Data!K$172,Data!K$189)),3)</f>
        <v>0.41799999999999998</v>
      </c>
      <c r="M153" s="130">
        <f>ROUND((M$154 - IF($I$1="Yes",M$305,0) - IF($L$1="Yes",M$339,0))*(Data!L$171-SUM(Data!L$111,Data!L$189))/(SUM(Data!L$168:L$171)-SUM(Data!L$111,Data!L$172,Data!L$189)),3)</f>
        <v>0.40600000000000003</v>
      </c>
      <c r="N153" s="130">
        <f>ROUND((N$154 - IF($I$1="Yes",N$305,0) - IF($L$1="Yes",N$339,0))*(Data!M$171-SUM(Data!M$111,Data!M$189))/(SUM(Data!M$168:M$171)-SUM(Data!M$111,Data!M$172,Data!M$189)),3)</f>
        <v>0.497</v>
      </c>
      <c r="O153" s="81">
        <f t="shared" ref="O153:X153" ca="1" si="70">N$153*(1+O$236)</f>
        <v>0.50701549367088605</v>
      </c>
      <c r="P153" s="81">
        <f t="shared" ca="1" si="70"/>
        <v>0.51715580354430379</v>
      </c>
      <c r="Q153" s="81">
        <f t="shared" ca="1" si="70"/>
        <v>0.52749891961518991</v>
      </c>
      <c r="R153" s="81">
        <f t="shared" ca="1" si="70"/>
        <v>0.53804889800749367</v>
      </c>
      <c r="S153" s="81">
        <f t="shared" ca="1" si="70"/>
        <v>0.54880987596764352</v>
      </c>
      <c r="T153" s="81">
        <f t="shared" ca="1" si="70"/>
        <v>0.55978607348699638</v>
      </c>
      <c r="U153" s="81">
        <f t="shared" ca="1" si="70"/>
        <v>0.57098179495673629</v>
      </c>
      <c r="V153" s="81">
        <f t="shared" ca="1" si="70"/>
        <v>0.58240143085587104</v>
      </c>
      <c r="W153" s="81">
        <f t="shared" ca="1" si="70"/>
        <v>0.59404945947298848</v>
      </c>
      <c r="X153" s="81">
        <f t="shared" ca="1" si="70"/>
        <v>0.60593044866244827</v>
      </c>
    </row>
    <row r="154" spans="1:24" x14ac:dyDescent="0.2">
      <c r="A154" s="27" t="s">
        <v>317</v>
      </c>
      <c r="B154" s="233"/>
      <c r="C154" s="69"/>
      <c r="D154" s="71">
        <f>Data!C$112-SUM(Data!C$92,Data!C$203)</f>
        <v>34.290000000000006</v>
      </c>
      <c r="E154" s="71">
        <f>Data!D$112-SUM(Data!D$92,Data!D$203)</f>
        <v>39.448999999999998</v>
      </c>
      <c r="F154" s="71">
        <f>Data!E$112-SUM(Data!E$92,Data!E$203)</f>
        <v>41.565999999999995</v>
      </c>
      <c r="G154" s="71">
        <f>Data!F$112-SUM(Data!F$92,Data!F$203)</f>
        <v>41.144999999999996</v>
      </c>
      <c r="H154" s="71">
        <f>Data!G$112-SUM(Data!G$92,Data!G$203)</f>
        <v>46.564999999999998</v>
      </c>
      <c r="I154" s="71">
        <f>Data!H$112-SUM(Data!H$92,Data!H$203)</f>
        <v>43.670999999999999</v>
      </c>
      <c r="J154" s="131">
        <f>Data!I$112-SUM(Data!I$92,Data!I$203) + IF($I$1="Yes",J$305,0) + IF($L$1="Yes",J$339,0)</f>
        <v>35.855395999999999</v>
      </c>
      <c r="K154" s="131">
        <f>Data!J$112-SUM(Data!J$92,Data!J$203) + IF($I$1="Yes",K$305,0) + IF($L$1="Yes",K$339,0)</f>
        <v>38.983395999999999</v>
      </c>
      <c r="L154" s="131">
        <f>Data!K$112-SUM(Data!K$92,Data!K$203) + IF($I$1="Yes",L$305,0) + IF($L$1="Yes",L$339,0)</f>
        <v>34.528396000000001</v>
      </c>
      <c r="M154" s="131">
        <f>Data!L$112-SUM(Data!L$92,Data!L$203) + IF($I$1="Yes",M$305,0) + IF($L$1="Yes",M$339,0)</f>
        <v>37.429395999999997</v>
      </c>
      <c r="N154" s="131">
        <f>Data!M$112-SUM(Data!M$92,Data!M$203) + IF($I$1="Yes",N$305,0) + IF($L$1="Yes",N$339,0)</f>
        <v>42.787396000000001</v>
      </c>
      <c r="O154" s="42">
        <f t="shared" ref="O154:X154" ca="1" si="71">SUM(O$150:O$153)</f>
        <v>44.60652319033602</v>
      </c>
      <c r="P154" s="42">
        <f t="shared" ca="1" si="71"/>
        <v>48.154905097149175</v>
      </c>
      <c r="Q154" s="42">
        <f t="shared" ca="1" si="71"/>
        <v>51.955429500413409</v>
      </c>
      <c r="R154" s="42">
        <f t="shared" ca="1" si="71"/>
        <v>55.932785111041682</v>
      </c>
      <c r="S154" s="42">
        <f t="shared" ca="1" si="71"/>
        <v>60.0945463693946</v>
      </c>
      <c r="T154" s="42">
        <f t="shared" ca="1" si="71"/>
        <v>64.436443499108691</v>
      </c>
      <c r="U154" s="42">
        <f t="shared" ca="1" si="71"/>
        <v>68.884476379351952</v>
      </c>
      <c r="V154" s="42">
        <f t="shared" ca="1" si="71"/>
        <v>73.422158729916191</v>
      </c>
      <c r="W154" s="42">
        <f t="shared" ca="1" si="71"/>
        <v>78.011829156616272</v>
      </c>
      <c r="X154" s="42">
        <f t="shared" ca="1" si="71"/>
        <v>82.627175160122107</v>
      </c>
    </row>
    <row r="155" spans="1:24" x14ac:dyDescent="0.2">
      <c r="A155" s="155" t="s">
        <v>628</v>
      </c>
      <c r="B155" s="233"/>
      <c r="C155" s="69"/>
      <c r="D155" s="69">
        <f>ROUND((D$157-D$154)*SUM(Data!C$173:C$175,-Data!C$176,-Data!C$178*2/3)/SUM(Data!C$173:C$175,-Data!C$176,Data!C$177,-Data!C$178),3)</f>
        <v>8.43</v>
      </c>
      <c r="E155" s="69">
        <f>ROUND((E$157-E$154)*SUM(Data!D$173:D$175,-Data!D$176,-Data!D$178*2/3)/SUM(Data!D$173:D$175,-Data!D$176,Data!D$177,-Data!D$178),3)</f>
        <v>9.89</v>
      </c>
      <c r="F155" s="69">
        <f>ROUND((F$157-F$154)*SUM(Data!E$173:E$175,-Data!E$176,-Data!E$178*2/3)/SUM(Data!E$173:E$175,-Data!E$176,Data!E$177,-Data!E$178),3)</f>
        <v>9.452</v>
      </c>
      <c r="G155" s="69">
        <f>ROUND((G$157-G$154)*SUM(Data!F$173:F$175,-Data!F$176,-Data!F$178*2/3)/SUM(Data!F$173:F$175,-Data!F$176,Data!F$177,-Data!F$178),3)</f>
        <v>9.1609999999999996</v>
      </c>
      <c r="H155" s="69">
        <f>ROUND((H$157-H$154)*SUM(Data!G$173:G$175,-Data!G$176,-Data!G$178*2/3)/SUM(Data!G$173:G$175,-Data!G$176,Data!G$177,-Data!G$178),3)</f>
        <v>10.571999999999999</v>
      </c>
      <c r="I155" s="69">
        <f>ROUND((I$157-I$154)*SUM(Data!H$173:H$175,-Data!H$176,-Data!H$178*2/3)/SUM(Data!H$173:H$175,-Data!H$176,Data!H$177,-Data!H$178),3)</f>
        <v>12.996</v>
      </c>
      <c r="J155" s="105">
        <f>ROUND((J$157-J$154)*SUM(Data!I$173:I$175,-Data!I$176,-Data!I$178*2/3)/SUM(Data!I$173:I$175,-Data!I$176,Data!I$177,-Data!I$178),3)</f>
        <v>13.071999999999999</v>
      </c>
      <c r="K155" s="105">
        <f>ROUND((K$157-K$154)*SUM(Data!J$173:J$175,-Data!J$176,-Data!J$178*2/3)/SUM(Data!J$173:J$175,-Data!J$176,Data!J$177,-Data!J$178),3)</f>
        <v>13.851000000000001</v>
      </c>
      <c r="L155" s="105">
        <f>ROUND((L$157-L$154)*SUM(Data!K$173:K$175,-Data!K$176,-Data!K$178*2/3)/SUM(Data!K$173:K$175,-Data!K$176,Data!K$177,-Data!K$178),3)</f>
        <v>14.618</v>
      </c>
      <c r="M155" s="105">
        <f>ROUND((M$157-M$154)*SUM(Data!L$173:L$175,-Data!L$176,-Data!L$178*2/3)/SUM(Data!L$173:L$175,-Data!L$176,Data!L$177,-Data!L$178),3)</f>
        <v>15.404999999999999</v>
      </c>
      <c r="N155" s="105">
        <f>ROUND((N$157-N$154)*SUM(Data!M$173:M$175,-Data!M$176,-Data!M$178*2/3)/SUM(Data!M$173:M$175,-Data!M$176,Data!M$177,-Data!M$178),3)</f>
        <v>16.332999999999998</v>
      </c>
      <c r="O155" s="73">
        <f t="shared" ref="O155:X155" ca="1" si="72">N$155*(1+O$234)</f>
        <v>17.061985740689384</v>
      </c>
      <c r="P155" s="73">
        <f t="shared" ca="1" si="72"/>
        <v>17.829649584831611</v>
      </c>
      <c r="Q155" s="73">
        <f t="shared" ca="1" si="72"/>
        <v>18.652332066465032</v>
      </c>
      <c r="R155" s="73">
        <f t="shared" ca="1" si="72"/>
        <v>19.503506373972485</v>
      </c>
      <c r="S155" s="73">
        <f t="shared" ca="1" si="72"/>
        <v>20.400409589789895</v>
      </c>
      <c r="T155" s="73">
        <f t="shared" ca="1" si="72"/>
        <v>21.33712964026461</v>
      </c>
      <c r="U155" s="73">
        <f t="shared" ca="1" si="72"/>
        <v>22.296890351334334</v>
      </c>
      <c r="V155" s="73">
        <f t="shared" ca="1" si="72"/>
        <v>23.282058514943234</v>
      </c>
      <c r="W155" s="73">
        <f t="shared" ca="1" si="72"/>
        <v>24.297940773447607</v>
      </c>
      <c r="X155" s="73">
        <f t="shared" ca="1" si="72"/>
        <v>25.342474253925033</v>
      </c>
    </row>
    <row r="156" spans="1:24" x14ac:dyDescent="0.2">
      <c r="A156" s="155" t="s">
        <v>629</v>
      </c>
      <c r="B156" s="233"/>
      <c r="C156" s="69"/>
      <c r="D156" s="176">
        <f>ROUND((D$157-D$154)*SUM(Data!C$177,-Data!C$178*1/3)/SUM(Data!C$173:C$175,-Data!C$176,Data!C$177,-Data!C$178),3)</f>
        <v>2.9860000000000002</v>
      </c>
      <c r="E156" s="176">
        <f>ROUND((E$157-E$154)*SUM(Data!D$177,-Data!D$178*1/3)/SUM(Data!D$173:D$175,-Data!D$176,Data!D$177,-Data!D$178),3)</f>
        <v>4.8140000000000001</v>
      </c>
      <c r="F156" s="176">
        <f>ROUND((F$157-F$154)*SUM(Data!E$177,-Data!E$178*1/3)/SUM(Data!E$173:E$175,-Data!E$176,Data!E$177,-Data!E$178),3)</f>
        <v>5.85</v>
      </c>
      <c r="G156" s="176">
        <f>ROUND((G$157-G$154)*SUM(Data!F$177,-Data!F$178*1/3)/SUM(Data!F$173:F$175,-Data!F$176,Data!F$177,-Data!F$178),3)</f>
        <v>5.56</v>
      </c>
      <c r="H156" s="176">
        <f>ROUND((H$157-H$154)*SUM(Data!G$177,-Data!G$178*1/3)/SUM(Data!G$173:G$175,-Data!G$176,Data!G$177,-Data!G$178),3)</f>
        <v>6.1669999999999998</v>
      </c>
      <c r="I156" s="176">
        <f>ROUND((I$157-I$154)*SUM(Data!H$177,-Data!H$178*1/3)/SUM(Data!H$173:H$175,-Data!H$176,Data!H$177,-Data!H$178),3)</f>
        <v>6.1029999999999998</v>
      </c>
      <c r="J156" s="130">
        <f>ROUND((J$157-J$154)*SUM(Data!I$177,-Data!I$178*1/3)/SUM(Data!I$173:I$175,-Data!I$176,Data!I$177,-Data!I$178),3)</f>
        <v>6.774</v>
      </c>
      <c r="K156" s="130">
        <f>ROUND((K$157-K$154)*SUM(Data!J$177,-Data!J$178*1/3)/SUM(Data!J$173:J$175,-Data!J$176,Data!J$177,-Data!J$178),3)</f>
        <v>8.1329999999999991</v>
      </c>
      <c r="L156" s="130">
        <f>ROUND((L$157-L$154)*SUM(Data!K$177,-Data!K$178*1/3)/SUM(Data!K$173:K$175,-Data!K$176,Data!K$177,-Data!K$178),3)</f>
        <v>9.4090000000000007</v>
      </c>
      <c r="M156" s="130">
        <f>ROUND((M$157-M$154)*SUM(Data!L$177,-Data!L$178*1/3)/SUM(Data!L$173:L$175,-Data!L$176,Data!L$177,-Data!L$178),3)</f>
        <v>10.734999999999999</v>
      </c>
      <c r="N156" s="130">
        <f>ROUND((N$157-N$154)*SUM(Data!M$177,-Data!M$178*1/3)/SUM(Data!M$173:M$175,-Data!M$176,Data!M$177,-Data!M$178),3)</f>
        <v>12.041</v>
      </c>
      <c r="O156" s="81">
        <f t="shared" ref="O156:X156" ca="1" si="73">N$156*(1+O$234)</f>
        <v>12.578422231288858</v>
      </c>
      <c r="P156" s="81">
        <f t="shared" ca="1" si="73"/>
        <v>13.144358700236177</v>
      </c>
      <c r="Q156" s="81">
        <f t="shared" ca="1" si="73"/>
        <v>13.750855961079134</v>
      </c>
      <c r="R156" s="81">
        <f t="shared" ca="1" si="73"/>
        <v>14.378357940917329</v>
      </c>
      <c r="S156" s="81">
        <f t="shared" ca="1" si="73"/>
        <v>15.039572146614839</v>
      </c>
      <c r="T156" s="81">
        <f t="shared" ca="1" si="73"/>
        <v>15.730140084395165</v>
      </c>
      <c r="U156" s="81">
        <f t="shared" ca="1" si="73"/>
        <v>16.437694037863025</v>
      </c>
      <c r="V156" s="81">
        <f t="shared" ca="1" si="73"/>
        <v>17.163978851309103</v>
      </c>
      <c r="W156" s="81">
        <f t="shared" ca="1" si="73"/>
        <v>17.912906682978189</v>
      </c>
      <c r="X156" s="81">
        <f t="shared" ca="1" si="73"/>
        <v>18.682956743495467</v>
      </c>
    </row>
    <row r="157" spans="1:24" x14ac:dyDescent="0.2">
      <c r="A157" s="27" t="s">
        <v>319</v>
      </c>
      <c r="B157" s="233"/>
      <c r="C157" s="69"/>
      <c r="D157" s="71">
        <f>SUM(Data!C$60:C$61)</f>
        <v>45.706000000000003</v>
      </c>
      <c r="E157" s="71">
        <f>SUM(Data!D$60:D$61)</f>
        <v>54.152999999999999</v>
      </c>
      <c r="F157" s="71">
        <f>SUM(Data!E$60:E$61)</f>
        <v>56.867999999999995</v>
      </c>
      <c r="G157" s="71">
        <f>SUM(Data!F$60:F$61)</f>
        <v>55.866</v>
      </c>
      <c r="H157" s="71">
        <f>SUM(Data!G$60:G$61)</f>
        <v>63.303999999999995</v>
      </c>
      <c r="I157" s="71">
        <f>SUM(Data!H$60:H$61)</f>
        <v>62.769999999999996</v>
      </c>
      <c r="J157" s="131">
        <f>SUM(Data!I$60:I$61) + IF($I$1="Yes",SUM(J$305,J$306),0) + IF($L$1="Yes",J$339,0)</f>
        <v>55.701000000000001</v>
      </c>
      <c r="K157" s="131">
        <f>SUM(Data!J$60:J$61) + IF($I$1="Yes",SUM(K$305,K$306),0) + IF($L$1="Yes",K$339,0)</f>
        <v>60.966999999999999</v>
      </c>
      <c r="L157" s="131">
        <f>SUM(Data!K$60:K$61) + IF($I$1="Yes",SUM(L$305,L$306),0) + IF($L$1="Yes",L$339,0)</f>
        <v>58.555</v>
      </c>
      <c r="M157" s="131">
        <f>SUM(Data!L$60:L$61) + IF($I$1="Yes",SUM(M$305,M$306),0) + IF($L$1="Yes",M$339,0)</f>
        <v>63.570000000000007</v>
      </c>
      <c r="N157" s="131">
        <f>SUM(Data!M$60:M$61) + IF($I$1="Yes",SUM(N$305,N$306),0) + IF($L$1="Yes",N$339,0)</f>
        <v>71.162000000000006</v>
      </c>
      <c r="O157" s="42">
        <f t="shared" ref="O157:X157" ca="1" si="74">SUM(O$154:O$156)</f>
        <v>74.246931162314254</v>
      </c>
      <c r="P157" s="42">
        <f t="shared" ca="1" si="74"/>
        <v>79.128913382216965</v>
      </c>
      <c r="Q157" s="42">
        <f t="shared" ca="1" si="74"/>
        <v>84.358617527957577</v>
      </c>
      <c r="R157" s="42">
        <f t="shared" ca="1" si="74"/>
        <v>89.814649425931492</v>
      </c>
      <c r="S157" s="42">
        <f t="shared" ca="1" si="74"/>
        <v>95.534528105799339</v>
      </c>
      <c r="T157" s="42">
        <f t="shared" ca="1" si="74"/>
        <v>101.50371322376846</v>
      </c>
      <c r="U157" s="42">
        <f t="shared" ca="1" si="74"/>
        <v>107.6190607685493</v>
      </c>
      <c r="V157" s="42">
        <f t="shared" ca="1" si="74"/>
        <v>113.86819609616853</v>
      </c>
      <c r="W157" s="42">
        <f t="shared" ca="1" si="74"/>
        <v>120.22267661304207</v>
      </c>
      <c r="X157" s="42">
        <f t="shared" ca="1" si="74"/>
        <v>126.65260615754261</v>
      </c>
    </row>
    <row r="158" spans="1:24" x14ac:dyDescent="0.2">
      <c r="A158" s="27"/>
      <c r="B158" s="102"/>
      <c r="C158" s="69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</row>
    <row r="159" spans="1:24" x14ac:dyDescent="0.2">
      <c r="A159" s="108" t="s">
        <v>642</v>
      </c>
      <c r="B159" s="42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</row>
    <row r="160" spans="1:24" x14ac:dyDescent="0.2">
      <c r="A160" s="30" t="s">
        <v>134</v>
      </c>
      <c r="B160" s="36"/>
      <c r="C160" s="69"/>
      <c r="D160" s="126">
        <f>Data!C$196</f>
        <v>9.8550000000000004</v>
      </c>
      <c r="E160" s="69">
        <f t="shared" ref="E160:X160" si="75">D$167</f>
        <v>12.973000000000001</v>
      </c>
      <c r="F160" s="69">
        <f t="shared" si="75"/>
        <v>14.212000000000002</v>
      </c>
      <c r="G160" s="69">
        <f t="shared" si="75"/>
        <v>13.688000000000001</v>
      </c>
      <c r="H160" s="69">
        <f t="shared" si="75"/>
        <v>15.656000000000004</v>
      </c>
      <c r="I160" s="69">
        <f t="shared" si="75"/>
        <v>18.652000000000005</v>
      </c>
      <c r="J160" s="105">
        <f t="shared" si="75"/>
        <v>18.703000000000003</v>
      </c>
      <c r="K160" s="105">
        <f t="shared" si="75"/>
        <v>20.69</v>
      </c>
      <c r="L160" s="105">
        <f t="shared" si="75"/>
        <v>22.151000000000003</v>
      </c>
      <c r="M160" s="105">
        <f t="shared" si="75"/>
        <v>23.716000000000005</v>
      </c>
      <c r="N160" s="105">
        <f t="shared" si="75"/>
        <v>25.403000000000006</v>
      </c>
      <c r="O160" s="73">
        <f t="shared" si="75"/>
        <v>27.222000000000008</v>
      </c>
      <c r="P160" s="73">
        <f t="shared" si="75"/>
        <v>29.04963413282859</v>
      </c>
      <c r="Q160" s="73">
        <f t="shared" si="75"/>
        <v>33.183519739105492</v>
      </c>
      <c r="R160" s="73">
        <f t="shared" si="75"/>
        <v>37.642415112983869</v>
      </c>
      <c r="S160" s="73">
        <f t="shared" si="75"/>
        <v>42.325342051019767</v>
      </c>
      <c r="T160" s="73">
        <f t="shared" si="75"/>
        <v>47.242182001760462</v>
      </c>
      <c r="U160" s="73">
        <f t="shared" si="75"/>
        <v>52.386969079282103</v>
      </c>
      <c r="V160" s="73">
        <f t="shared" si="75"/>
        <v>57.660463854309533</v>
      </c>
      <c r="W160" s="73">
        <f t="shared" si="75"/>
        <v>63.040349852459279</v>
      </c>
      <c r="X160" s="73">
        <f t="shared" si="75"/>
        <v>68.475982333820284</v>
      </c>
    </row>
    <row r="161" spans="1:24" x14ac:dyDescent="0.2">
      <c r="A161" s="155" t="s">
        <v>316</v>
      </c>
      <c r="B161" s="233"/>
      <c r="C161" s="69"/>
      <c r="D161" s="69">
        <f>Data!C$197</f>
        <v>2.0490000000000004</v>
      </c>
      <c r="E161" s="69">
        <f>Data!D$197</f>
        <v>2.1040000000000001</v>
      </c>
      <c r="F161" s="69">
        <f>Data!E$197</f>
        <v>2.2429999999999999</v>
      </c>
      <c r="G161" s="69">
        <f>Data!F$197</f>
        <v>0.25</v>
      </c>
      <c r="H161" s="69">
        <f>Data!G$197</f>
        <v>0</v>
      </c>
      <c r="I161" s="69">
        <f>Data!H$197</f>
        <v>0</v>
      </c>
      <c r="J161" s="105">
        <f>Data!I$197 + IF($L$1="Yes",J$337,0)</f>
        <v>0</v>
      </c>
      <c r="K161" s="105">
        <f>Data!J$197 + IF($L$1="Yes",K$337,0)</f>
        <v>0</v>
      </c>
      <c r="L161" s="105">
        <f>Data!K$197 + IF($L$1="Yes",L$337,0)</f>
        <v>0</v>
      </c>
      <c r="M161" s="105">
        <f>Data!L$197 + IF($L$1="Yes",M$337,0)</f>
        <v>0</v>
      </c>
      <c r="N161" s="105">
        <f>Data!M$197 + IF($L$1="Yes",N$337,0)</f>
        <v>0</v>
      </c>
      <c r="O161" s="73">
        <f>IF($L$1="Yes",IF('Forecast Adjuster'!R$72=0,'Forecast Adjuster'!S$72,N$161*'Forecast Adjuster'!S$72/'Forecast Adjuster'!R$72),IF(Tracks!R$5=0,Tracks!S$5,N$161*Tracks!S$5/Tracks!R$5))</f>
        <v>0</v>
      </c>
      <c r="P161" s="73">
        <f>IF($L$1="Yes",IF('Forecast Adjuster'!S$72=0,'Forecast Adjuster'!T$72,O$161*'Forecast Adjuster'!T$72/'Forecast Adjuster'!S$72),IF(Tracks!S$5=0,Tracks!T$5,O$161*Tracks!T$5/Tracks!S$5))</f>
        <v>2.1160000000000001</v>
      </c>
      <c r="Q161" s="73">
        <f>IF($L$1="Yes",IF('Forecast Adjuster'!T$72=0,'Forecast Adjuster'!U$72,P$161*'Forecast Adjuster'!U$72/'Forecast Adjuster'!T$72),IF(Tracks!T$5=0,Tracks!U$5,P$161*Tracks!U$5/Tracks!T$5))</f>
        <v>2.1619999999999999</v>
      </c>
      <c r="R161" s="73">
        <f>IF($L$1="Yes",IF('Forecast Adjuster'!U$72=0,'Forecast Adjuster'!V$72,Q$161*'Forecast Adjuster'!V$72/'Forecast Adjuster'!U$72),IF(Tracks!U$5=0,Tracks!V$5,Q$161*Tracks!V$5/Tracks!U$5))</f>
        <v>2.089</v>
      </c>
      <c r="S161" s="73">
        <f>IF($L$1="Yes",IF('Forecast Adjuster'!V$72=0,'Forecast Adjuster'!W$72,R$161*'Forecast Adjuster'!W$72/'Forecast Adjuster'!V$72),IF(Tracks!V$5=0,Tracks!W$5,R$161*Tracks!W$5/Tracks!V$5))</f>
        <v>2.0110000000000001</v>
      </c>
      <c r="T161" s="73">
        <f>IF($L$1="Yes",IF('Forecast Adjuster'!W$72=0,'Forecast Adjuster'!X$72,S$161*'Forecast Adjuster'!X$72/'Forecast Adjuster'!W$72),IF(Tracks!W$5=0,Tracks!X$5,S$161*Tracks!X$5/Tracks!W$5))</f>
        <v>1.9119999999999999</v>
      </c>
      <c r="U161" s="73">
        <f>IF($L$1="Yes",IF('Forecast Adjuster'!X$72=0,'Forecast Adjuster'!Y$72,T$161*'Forecast Adjuster'!Y$72/'Forecast Adjuster'!X$72),IF(Tracks!X$5=0,Tracks!Y$5,T$161*Tracks!Y$5/Tracks!X$5))</f>
        <v>1.702</v>
      </c>
      <c r="V161" s="73">
        <f>IF($L$1="Yes",IF('Forecast Adjuster'!Y$72=0,'Forecast Adjuster'!Z$72,U$161*'Forecast Adjuster'!Z$72/'Forecast Adjuster'!Y$72),IF(Tracks!Y$5=0,Tracks!Z$5,U$161*Tracks!Z$5/Tracks!Y$5))</f>
        <v>1.462</v>
      </c>
      <c r="W161" s="73">
        <f>IF($L$1="Yes",IF('Forecast Adjuster'!Z$72=0,'Forecast Adjuster'!AA$72,V$161*'Forecast Adjuster'!AA$72/'Forecast Adjuster'!Z$72),IF(Tracks!Z$5=0,Tracks!AA$5,V$161*Tracks!AA$5/Tracks!Z$5))</f>
        <v>1.1659999999999999</v>
      </c>
      <c r="X161" s="73">
        <f>IF($L$1="Yes",IF('Forecast Adjuster'!AA$72=0,'Forecast Adjuster'!AB$72,W$161*'Forecast Adjuster'!AB$72/'Forecast Adjuster'!AA$72),IF(Tracks!AA$5=0,Tracks!AB$5,W$161*Tracks!AB$5/Tracks!AA$5))</f>
        <v>0.83199999999999996</v>
      </c>
    </row>
    <row r="162" spans="1:24" x14ac:dyDescent="0.2">
      <c r="A162" s="155" t="s">
        <v>637</v>
      </c>
      <c r="B162" s="233"/>
      <c r="C162" s="69"/>
      <c r="D162" s="69">
        <f>Data!C$192</f>
        <v>0.436</v>
      </c>
      <c r="E162" s="69">
        <f>Data!D$192</f>
        <v>0.38500000000000001</v>
      </c>
      <c r="F162" s="69">
        <f>Data!E$192</f>
        <v>0.38300000000000001</v>
      </c>
      <c r="G162" s="69">
        <f>Data!F$192</f>
        <v>0.433</v>
      </c>
      <c r="H162" s="69">
        <f>Data!G$192</f>
        <v>0.51800000000000002</v>
      </c>
      <c r="I162" s="69">
        <f>Data!H$192</f>
        <v>0.53900000000000003</v>
      </c>
      <c r="J162" s="105">
        <f>Data!I$192 + IF($L$1="Yes",J$330,0)</f>
        <v>0.64200000000000002</v>
      </c>
      <c r="K162" s="105">
        <f>Data!J$192 + IF($L$1="Yes",K$330,0)</f>
        <v>0.66500000000000004</v>
      </c>
      <c r="L162" s="105">
        <f>Data!K$192 + IF($L$1="Yes",L$330,0)</f>
        <v>0.69299999999999995</v>
      </c>
      <c r="M162" s="105">
        <f>Data!L$192 + IF($L$1="Yes",M$330,0)</f>
        <v>0.73799999999999999</v>
      </c>
      <c r="N162" s="105">
        <f>Data!M$192 + IF($L$1="Yes",N$330,0)</f>
        <v>0.78600000000000003</v>
      </c>
      <c r="O162" s="73">
        <f>IF($L$1="Yes",IF('Forecast Adjuster'!R$73=0,(N$162/SUM(N$162,N$163,-N$164,N$166))*'Forecast Adjuster'!S$73,N$162*'Forecast Adjuster'!S$73/'Forecast Adjuster'!R$73),N$162*Tracks!S$6/Tracks!R$6)</f>
        <v>0.78723800850701842</v>
      </c>
      <c r="P162" s="73">
        <f>IF($L$1="Yes",IF('Forecast Adjuster'!S$73=0,(O$162/SUM(O$162,O$163,-O$164,O$166))*'Forecast Adjuster'!T$73,O$162*'Forecast Adjuster'!T$73/'Forecast Adjuster'!S$73),O$162*Tracks!T$6/Tracks!S$6)</f>
        <v>0.86918722820186856</v>
      </c>
      <c r="Q162" s="73">
        <f>IF($L$1="Yes",IF('Forecast Adjuster'!T$73=0,(P$162/SUM(P$162,P$163,-P$164,P$166))*'Forecast Adjuster'!U$73,P$162*'Forecast Adjuster'!U$73/'Forecast Adjuster'!T$73),P$162*Tracks!U$6/Tracks!T$6)</f>
        <v>0.98936833548982239</v>
      </c>
      <c r="R162" s="73">
        <f>IF($L$1="Yes",IF('Forecast Adjuster'!U$73=0,(Q$162/SUM(Q$162,Q$163,-Q$164,Q$166))*'Forecast Adjuster'!V$73,Q$162*'Forecast Adjuster'!V$73/'Forecast Adjuster'!U$73),Q$162*Tracks!V$6/Tracks!U$6)</f>
        <v>1.1173121798462347</v>
      </c>
      <c r="S162" s="73">
        <f>IF($L$1="Yes",IF('Forecast Adjuster'!V$73=0,(R$162/SUM(R$162,R$163,-R$164,R$166))*'Forecast Adjuster'!W$73,R$162*'Forecast Adjuster'!W$73/'Forecast Adjuster'!V$73),R$162*Tracks!W$6/Tracks!V$6)</f>
        <v>1.251666082817567</v>
      </c>
      <c r="T162" s="73">
        <f>IF($L$1="Yes",IF('Forecast Adjuster'!W$73=0,(S$162/SUM(S$162,S$163,-S$164,S$166))*'Forecast Adjuster'!X$73,S$162*'Forecast Adjuster'!X$73/'Forecast Adjuster'!W$73),S$162*Tracks!X$6/Tracks!W$6)</f>
        <v>1.3924958037944746</v>
      </c>
      <c r="U162" s="73">
        <f>IF($L$1="Yes",IF('Forecast Adjuster'!X$73=0,(T$162/SUM(T$162,T$163,-T$164,T$166))*'Forecast Adjuster'!Y$73,T$162*'Forecast Adjuster'!Y$73/'Forecast Adjuster'!X$73),T$162*Tracks!Y$6/Tracks!X$6)</f>
        <v>1.5383912915515279</v>
      </c>
      <c r="V162" s="73">
        <f>IF($L$1="Yes",IF('Forecast Adjuster'!Y$73=0,(U$162/SUM(U$162,U$163,-U$164,U$166))*'Forecast Adjuster'!Z$73,U$162*'Forecast Adjuster'!Z$73/'Forecast Adjuster'!Y$73),U$162*Tracks!Z$6/Tracks!Y$6)</f>
        <v>1.6875963932493525</v>
      </c>
      <c r="W162" s="73">
        <f>IF($L$1="Yes",IF('Forecast Adjuster'!Z$73=0,(V$162/SUM(V$162,V$163,-V$164,V$166))*'Forecast Adjuster'!AA$73,V$162*'Forecast Adjuster'!AA$73/'Forecast Adjuster'!Z$73),V$162*Tracks!AA$6/Tracks!Z$6)</f>
        <v>1.8391082281230104</v>
      </c>
      <c r="X162" s="73">
        <f>IF($L$1="Yes",IF('Forecast Adjuster'!AA$73=0,(W$162/SUM(W$162,W$163,-W$164,W$166))*'Forecast Adjuster'!AB$73,W$162*'Forecast Adjuster'!AB$73/'Forecast Adjuster'!AA$73),W$162*Tracks!AB$6/Tracks!AA$6)</f>
        <v>1.9917096961898439</v>
      </c>
    </row>
    <row r="163" spans="1:24" x14ac:dyDescent="0.2">
      <c r="A163" s="155" t="s">
        <v>641</v>
      </c>
      <c r="B163" s="233"/>
      <c r="C163" s="69"/>
      <c r="D163" s="69">
        <f>Data!C$195</f>
        <v>1.3129999999999999</v>
      </c>
      <c r="E163" s="69">
        <f>Data!D$195</f>
        <v>-0.995</v>
      </c>
      <c r="F163" s="69">
        <f>Data!E$195</f>
        <v>-3.4950000000000001</v>
      </c>
      <c r="G163" s="69">
        <f>Data!F$195</f>
        <v>1.75</v>
      </c>
      <c r="H163" s="69">
        <f>Data!G$195</f>
        <v>3.5179999999999998</v>
      </c>
      <c r="I163" s="69">
        <f>Data!H$195</f>
        <v>-0.20399999999999999</v>
      </c>
      <c r="J163" s="105">
        <f>Data!I$195 + IF($L$1="Yes",J$331,0)</f>
        <v>2.11</v>
      </c>
      <c r="K163" s="105">
        <f>Data!J$195 + IF($L$1="Yes",K$331,0)</f>
        <v>1.3819999999999999</v>
      </c>
      <c r="L163" s="105">
        <f>Data!K$195 + IF($L$1="Yes",L$331,0)</f>
        <v>1.4950000000000001</v>
      </c>
      <c r="M163" s="105">
        <f>Data!L$195 + IF($L$1="Yes",M$331,0)</f>
        <v>1.62</v>
      </c>
      <c r="N163" s="105">
        <f>Data!M$195 + IF($L$1="Yes",N$331,0)</f>
        <v>1.7569999999999999</v>
      </c>
      <c r="O163" s="73">
        <f>IF($L$1="Yes",IF('Forecast Adjuster'!R$73=0,(N$163/SUM(N$162,N$163,-N$164,N$166))*'Forecast Adjuster'!S$73,N$163*'Forecast Adjuster'!S$73/'Forecast Adjuster'!R$73),N$163*Tracks!S$6/Tracks!R$6)</f>
        <v>1.7597674057847725</v>
      </c>
      <c r="P163" s="73">
        <f>IF($L$1="Yes",IF('Forecast Adjuster'!S$73=0,(O$163/SUM(O$162,O$163,-O$164,O$166))*'Forecast Adjuster'!T$73,O$163*'Forecast Adjuster'!T$73/'Forecast Adjuster'!S$73),O$163*Tracks!T$6/Tracks!S$6)</f>
        <v>1.9429541475199528</v>
      </c>
      <c r="Q163" s="73">
        <f>IF($L$1="Yes",IF('Forecast Adjuster'!T$73=0,(P$163/SUM(P$162,P$163,-P$164,P$166))*'Forecast Adjuster'!U$73,P$163*'Forecast Adjuster'!U$73/'Forecast Adjuster'!T$73),P$163*Tracks!U$6/Tracks!T$6)</f>
        <v>2.2116032639384451</v>
      </c>
      <c r="R163" s="73">
        <f>IF($L$1="Yes",IF('Forecast Adjuster'!U$73=0,(Q$163/SUM(Q$162,Q$163,-Q$164,Q$166))*'Forecast Adjuster'!V$73,Q$163*'Forecast Adjuster'!V$73/'Forecast Adjuster'!U$73),Q$163*Tracks!V$6/Tracks!U$6)</f>
        <v>2.4976049618191274</v>
      </c>
      <c r="S163" s="73">
        <f>IF($L$1="Yes",IF('Forecast Adjuster'!V$73=0,(R$163/SUM(R$162,R$163,-R$164,R$166))*'Forecast Adjuster'!W$73,R$163*'Forecast Adjuster'!W$73/'Forecast Adjuster'!V$73),R$163*Tracks!W$6/Tracks!V$6)</f>
        <v>2.7979355057385051</v>
      </c>
      <c r="T163" s="73">
        <f>IF($L$1="Yes",IF('Forecast Adjuster'!W$73=0,(S$163/SUM(S$162,S$163,-S$164,S$166))*'Forecast Adjuster'!X$73,S$163*'Forecast Adjuster'!X$73/'Forecast Adjuster'!W$73),S$163*Tracks!X$6/Tracks!W$6)</f>
        <v>3.1127418921970631</v>
      </c>
      <c r="U163" s="73">
        <f>IF($L$1="Yes",IF('Forecast Adjuster'!X$73=0,(T$163/SUM(T$162,T$163,-T$164,T$166))*'Forecast Adjuster'!Y$73,T$163*'Forecast Adjuster'!Y$73/'Forecast Adjuster'!X$73),T$163*Tracks!Y$6/Tracks!X$6)</f>
        <v>3.438872136458059</v>
      </c>
      <c r="V163" s="73">
        <f>IF($L$1="Yes",IF('Forecast Adjuster'!Y$73=0,(U$163/SUM(U$162,U$163,-U$164,U$166))*'Forecast Adjuster'!Z$73,U$163*'Forecast Adjuster'!Z$73/'Forecast Adjuster'!Y$73),U$163*Tracks!Z$6/Tracks!Y$6)</f>
        <v>3.7724005889810592</v>
      </c>
      <c r="W163" s="73">
        <f>IF($L$1="Yes",IF('Forecast Adjuster'!Z$73=0,(V$163/SUM(V$162,V$163,-V$164,V$166))*'Forecast Adjuster'!AA$73,V$163*'Forecast Adjuster'!AA$73/'Forecast Adjuster'!Z$73),V$163*Tracks!AA$6/Tracks!Z$6)</f>
        <v>4.1110854412368063</v>
      </c>
      <c r="X163" s="73">
        <f>IF($L$1="Yes",IF('Forecast Adjuster'!AA$73=0,(W$163/SUM(W$162,W$163,-W$164,W$166))*'Forecast Adjuster'!AB$73,W$163*'Forecast Adjuster'!AB$73/'Forecast Adjuster'!AA$73),W$163*Tracks!AB$6/Tracks!AA$6)</f>
        <v>4.4522060257068148</v>
      </c>
    </row>
    <row r="164" spans="1:24" x14ac:dyDescent="0.2">
      <c r="A164" s="161" t="s">
        <v>639</v>
      </c>
      <c r="B164" s="233"/>
      <c r="C164" s="69"/>
      <c r="D164" s="69">
        <f>Data!C$193</f>
        <v>-5.1999999999999998E-2</v>
      </c>
      <c r="E164" s="69">
        <f>Data!D$193</f>
        <v>3.4000000000000002E-2</v>
      </c>
      <c r="F164" s="69">
        <f>Data!E$193</f>
        <v>-0.32300000000000001</v>
      </c>
      <c r="G164" s="69">
        <f>Data!F$193</f>
        <v>0.502</v>
      </c>
      <c r="H164" s="69">
        <f>Data!G$193</f>
        <v>0.16900000000000001</v>
      </c>
      <c r="I164" s="69">
        <f>Data!H$193</f>
        <v>0.13200000000000001</v>
      </c>
      <c r="J164" s="105">
        <f>Data!I$193 + IF($L$1="Yes",J$332,0)</f>
        <v>0.182</v>
      </c>
      <c r="K164" s="105">
        <f>Data!J$193 + IF($L$1="Yes",K$332,0)</f>
        <v>0.16</v>
      </c>
      <c r="L164" s="105">
        <f>Data!K$193 + IF($L$1="Yes",L$332,0)</f>
        <v>0.16400000000000001</v>
      </c>
      <c r="M164" s="105">
        <f>Data!L$193 + IF($L$1="Yes",M$332,0)</f>
        <v>0.17799999999999999</v>
      </c>
      <c r="N164" s="105">
        <f>Data!M$193 + IF($L$1="Yes",N$332,0)</f>
        <v>0.192</v>
      </c>
      <c r="O164" s="73">
        <f>IF($L$1="Yes",IF('Forecast Adjuster'!R$73=0,-(-N$164/SUM(N$162,N$163,-N$164,N$166))*'Forecast Adjuster'!S$73,N$164*'Forecast Adjuster'!S$73/'Forecast Adjuster'!R$73),N$164*Tracks!S$6/Tracks!R$6)</f>
        <v>0.19230241429179074</v>
      </c>
      <c r="P164" s="73">
        <f>IF($L$1="Yes",IF('Forecast Adjuster'!S$73=0,-(-O$164/SUM(O$162,O$163,-O$164,O$166))*'Forecast Adjuster'!T$73,O$164*'Forecast Adjuster'!T$73/'Forecast Adjuster'!S$73),O$164*Tracks!T$6/Tracks!S$6)</f>
        <v>0.21232054429358618</v>
      </c>
      <c r="Q164" s="73">
        <f>IF($L$1="Yes",IF('Forecast Adjuster'!T$73=0,-(-P$164/SUM(P$162,P$163,-P$164,P$166))*'Forecast Adjuster'!U$73,P$164*'Forecast Adjuster'!U$73/'Forecast Adjuster'!T$73),P$164*Tracks!U$6/Tracks!T$6)</f>
        <v>0.24167776134102528</v>
      </c>
      <c r="R164" s="73">
        <f>IF($L$1="Yes",IF('Forecast Adjuster'!U$73=0,-(-Q$164/SUM(Q$162,Q$163,-Q$164,Q$166))*'Forecast Adjuster'!V$73,Q$164*'Forecast Adjuster'!V$73/'Forecast Adjuster'!U$73),Q$164*Tracks!V$6/Tracks!U$6)</f>
        <v>0.27293121950442367</v>
      </c>
      <c r="S164" s="73">
        <f>IF($L$1="Yes",IF('Forecast Adjuster'!V$73=0,-(-R$164/SUM(R$162,R$163,-R$164,R$166))*'Forecast Adjuster'!W$73,R$164*'Forecast Adjuster'!W$73/'Forecast Adjuster'!V$73),R$164*Tracks!W$6/Tracks!V$6)</f>
        <v>0.30575049351268802</v>
      </c>
      <c r="T164" s="73">
        <f>IF($L$1="Yes",IF('Forecast Adjuster'!W$73=0,-(-S$164/SUM(S$162,S$163,-S$164,S$166))*'Forecast Adjuster'!X$73,S$164*'Forecast Adjuster'!X$73/'Forecast Adjuster'!W$73),S$164*Tracks!X$6/Tracks!W$6)</f>
        <v>0.34015164672842113</v>
      </c>
      <c r="U164" s="73">
        <f>IF($L$1="Yes",IF('Forecast Adjuster'!X$73=0,-(-T$164/SUM(T$162,T$163,-T$164,T$166))*'Forecast Adjuster'!Y$73,T$164*'Forecast Adjuster'!Y$73/'Forecast Adjuster'!X$73),T$164*Tracks!Y$6/Tracks!X$6)</f>
        <v>0.37579023915762499</v>
      </c>
      <c r="V164" s="73">
        <f>IF($L$1="Yes",IF('Forecast Adjuster'!Y$73=0,-(-U$164/SUM(U$162,U$163,-U$164,U$166))*'Forecast Adjuster'!Z$73,U$164*'Forecast Adjuster'!Z$73/'Forecast Adjuster'!Y$73),U$164*Tracks!Z$6/Tracks!Y$6)</f>
        <v>0.41223728690060502</v>
      </c>
      <c r="W164" s="73">
        <f>IF($L$1="Yes",IF('Forecast Adjuster'!Z$73=0,-(-V$164/SUM(V$162,V$163,-V$164,V$166))*'Forecast Adjuster'!AA$73,V$164*'Forecast Adjuster'!AA$73/'Forecast Adjuster'!Z$73),V$164*Tracks!AA$6/Tracks!Z$6)</f>
        <v>0.44924781144989551</v>
      </c>
      <c r="X164" s="73">
        <f>IF($L$1="Yes",IF('Forecast Adjuster'!AA$73=0,-(-W$164/SUM(W$162,W$163,-W$164,W$166))*'Forecast Adjuster'!AB$73,W$164*'Forecast Adjuster'!AB$73/'Forecast Adjuster'!AA$73),W$164*Tracks!AB$6/Tracks!AA$6)</f>
        <v>0.48652450593950375</v>
      </c>
    </row>
    <row r="165" spans="1:24" x14ac:dyDescent="0.2">
      <c r="A165" s="161" t="s">
        <v>638</v>
      </c>
      <c r="B165" s="233"/>
      <c r="C165" s="69"/>
      <c r="D165" s="69">
        <f>Data!C$194</f>
        <v>0.70699999999999996</v>
      </c>
      <c r="E165" s="69">
        <f>Data!D$194</f>
        <v>0.23699999999999999</v>
      </c>
      <c r="F165" s="69">
        <f>Data!E$194</f>
        <v>4.0000000000000001E-3</v>
      </c>
      <c r="G165" s="69">
        <f>Data!F$194</f>
        <v>-2.7E-2</v>
      </c>
      <c r="H165" s="69">
        <f>Data!G$194</f>
        <v>0.872</v>
      </c>
      <c r="I165" s="69">
        <f>Data!H$194</f>
        <v>0.16</v>
      </c>
      <c r="J165" s="105">
        <f>Data!I$194 + IF($L$1="Yes",J$329,0)</f>
        <v>0.60199999999999998</v>
      </c>
      <c r="K165" s="105">
        <f>Data!J$194 + IF($L$1="Yes",K$329,0)</f>
        <v>0.45600000000000002</v>
      </c>
      <c r="L165" s="105">
        <f>Data!K$194 + IF($L$1="Yes",L$329,0)</f>
        <v>0.49</v>
      </c>
      <c r="M165" s="105">
        <f>Data!L$194 + IF($L$1="Yes",M$329,0)</f>
        <v>0.52800000000000002</v>
      </c>
      <c r="N165" s="105">
        <f>Data!M$194 + IF($L$1="Yes",N$329,0)</f>
        <v>0.56999999999999995</v>
      </c>
      <c r="O165" s="73">
        <f>IF($L$1="Yes",IF('Forecast Adjuster'!R$74=0,'Forecast Adjuster'!S$74,N$165*'Forecast Adjuster'!S$74/'Forecast Adjuster'!R$74),N$165*Tracks!S$7/Tracks!R$7)</f>
        <v>0.56512872000000003</v>
      </c>
      <c r="P165" s="73">
        <f>IF($L$1="Yes",IF('Forecast Adjuster'!S$74=0,'Forecast Adjuster'!T$74,O$165*'Forecast Adjuster'!T$74/'Forecast Adjuster'!S$74),O$165*Tracks!T$7/Tracks!S$7)</f>
        <v>0.62395699954277639</v>
      </c>
      <c r="Q165" s="73">
        <f>IF($L$1="Yes",IF('Forecast Adjuster'!T$74=0,'Forecast Adjuster'!U$74,P$165*'Forecast Adjuster'!U$74/'Forecast Adjuster'!T$74),P$165*Tracks!U$7/Tracks!T$7)</f>
        <v>0.7102305211409381</v>
      </c>
      <c r="R165" s="73">
        <f>IF($L$1="Yes",IF('Forecast Adjuster'!U$74=0,'Forecast Adjuster'!V$74,Q$165*'Forecast Adjuster'!V$74/'Forecast Adjuster'!U$74),Q$165*Tracks!V$7/Tracks!U$7)</f>
        <v>0.80207662131862512</v>
      </c>
      <c r="S165" s="73">
        <f>IF($L$1="Yes",IF('Forecast Adjuster'!V$74=0,'Forecast Adjuster'!W$74,R$165*'Forecast Adjuster'!W$74/'Forecast Adjuster'!V$74),R$165*Tracks!W$7/Tracks!V$7)</f>
        <v>0.89852426281041209</v>
      </c>
      <c r="T165" s="73">
        <f>IF($L$1="Yes",IF('Forecast Adjuster'!W$74=0,'Forecast Adjuster'!X$74,S$165*'Forecast Adjuster'!X$74/'Forecast Adjuster'!W$74),S$165*Tracks!X$7/Tracks!W$7)</f>
        <v>0.99962065182314763</v>
      </c>
      <c r="U165" s="73">
        <f>IF($L$1="Yes",IF('Forecast Adjuster'!X$74=0,'Forecast Adjuster'!Y$74,T$165*'Forecast Adjuster'!Y$74/'Forecast Adjuster'!X$74),T$165*Tracks!Y$7/Tracks!X$7)</f>
        <v>1.1043535653244705</v>
      </c>
      <c r="V165" s="73">
        <f>IF($L$1="Yes",IF('Forecast Adjuster'!Y$74=0,'Forecast Adjuster'!Z$74,U$165*'Forecast Adjuster'!Z$74/'Forecast Adjuster'!Y$74),U$165*Tracks!Z$7/Tracks!Y$7)</f>
        <v>1.2114623268791531</v>
      </c>
      <c r="W165" s="73">
        <f>IF($L$1="Yes",IF('Forecast Adjuster'!Z$74=0,'Forecast Adjuster'!AA$74,V$165*'Forecast Adjuster'!AA$74/'Forecast Adjuster'!Z$74),V$165*Tracks!AA$7/Tracks!Z$7)</f>
        <v>1.3202270058983805</v>
      </c>
      <c r="X165" s="73">
        <f>IF($L$1="Yes",IF('Forecast Adjuster'!AA$74=0,'Forecast Adjuster'!AB$74,W$165*'Forecast Adjuster'!AB$74/'Forecast Adjuster'!AA$74),W$165*Tracks!AB$7/Tracks!AA$7)</f>
        <v>1.4297738918297167</v>
      </c>
    </row>
    <row r="166" spans="1:24" x14ac:dyDescent="0.2">
      <c r="A166" s="155" t="s">
        <v>640</v>
      </c>
      <c r="B166" s="233"/>
      <c r="C166" s="69"/>
      <c r="D166" s="176">
        <f>Data!C$198</f>
        <v>-2.5000000000000001E-2</v>
      </c>
      <c r="E166" s="176">
        <f>Data!D$198</f>
        <v>1.6E-2</v>
      </c>
      <c r="F166" s="176">
        <f>Data!E$198</f>
        <v>2.5999999999999999E-2</v>
      </c>
      <c r="G166" s="176">
        <f>Data!F$198</f>
        <v>0.01</v>
      </c>
      <c r="H166" s="176">
        <f>Data!G$198</f>
        <v>1E-3</v>
      </c>
      <c r="I166" s="176">
        <f>Data!H$198</f>
        <v>8.0000000000000002E-3</v>
      </c>
      <c r="J166" s="130">
        <f>Data!I$198 + IF($L$1="Yes",J$338,0)</f>
        <v>1.9E-2</v>
      </c>
      <c r="K166" s="130">
        <f>Data!J$198 + IF($L$1="Yes",K$338,0)</f>
        <v>0.03</v>
      </c>
      <c r="L166" s="130">
        <f>Data!K$198 + IF($L$1="Yes",L$338,0)</f>
        <v>3.1E-2</v>
      </c>
      <c r="M166" s="130">
        <f>Data!L$198 + IF($L$1="Yes",M$338,0)</f>
        <v>3.5000000000000003E-2</v>
      </c>
      <c r="N166" s="130">
        <f>Data!M$198 + IF($L$1="Yes",N$338,0)</f>
        <v>3.7999999999999999E-2</v>
      </c>
      <c r="O166" s="278">
        <f>IF($L$1="Yes",IF('Forecast Adjuster'!R$75=0,'Forecast Adjuster'!S$75,N$166*'Forecast Adjuster'!S$75/'Forecast Adjuster'!R$75),N$166*Tracks!S$8/Tracks!R$8)</f>
        <v>3.8059852828583582E-2</v>
      </c>
      <c r="P166" s="278">
        <f>IF($L$1="Yes",IF('Forecast Adjuster'!S$75=0,'Forecast Adjuster'!T$75,O$166*'Forecast Adjuster'!T$75/'Forecast Adjuster'!S$75),O$166*Tracks!T$8/Tracks!S$8)</f>
        <v>4.2021774391438928E-2</v>
      </c>
      <c r="Q166" s="278">
        <f>IF($L$1="Yes",IF('Forecast Adjuster'!T$75=0,'Forecast Adjuster'!U$75,P$166*'Forecast Adjuster'!U$75/'Forecast Adjuster'!T$75),P$166*Tracks!U$8/Tracks!T$8)</f>
        <v>4.783205693207792E-2</v>
      </c>
      <c r="R166" s="278">
        <f>IF($L$1="Yes",IF('Forecast Adjuster'!U$75=0,'Forecast Adjuster'!V$75,Q$166*'Forecast Adjuster'!V$75/'Forecast Adjuster'!U$75),Q$166*Tracks!V$8/Tracks!U$8)</f>
        <v>5.4017637193583858E-2</v>
      </c>
      <c r="S166" s="278">
        <f>IF($L$1="Yes",IF('Forecast Adjuster'!V$75=0,'Forecast Adjuster'!W$75,R$166*'Forecast Adjuster'!W$75/'Forecast Adjuster'!V$75),R$166*Tracks!W$8/Tracks!V$8)</f>
        <v>6.0513118507719517E-2</v>
      </c>
      <c r="T166" s="278">
        <f>IF($L$1="Yes",IF('Forecast Adjuster'!W$75=0,'Forecast Adjuster'!X$75,S$166*'Forecast Adjuster'!X$75/'Forecast Adjuster'!W$75),S$166*Tracks!X$8/Tracks!W$8)</f>
        <v>6.7321680081666696E-2</v>
      </c>
      <c r="U166" s="278">
        <f>IF($L$1="Yes",IF('Forecast Adjuster'!X$75=0,'Forecast Adjuster'!Y$75,T$166*'Forecast Adjuster'!Y$75/'Forecast Adjuster'!X$75),T$166*Tracks!Y$8/Tracks!X$8)</f>
        <v>7.4375151499946626E-2</v>
      </c>
      <c r="V166" s="278">
        <f>IF($L$1="Yes",IF('Forecast Adjuster'!Y$75=0,'Forecast Adjuster'!Z$75,U$166*'Forecast Adjuster'!Z$75/'Forecast Adjuster'!Y$75),U$166*Tracks!Z$8/Tracks!Y$8)</f>
        <v>8.1588629699078097E-2</v>
      </c>
      <c r="W166" s="278">
        <f>IF($L$1="Yes",IF('Forecast Adjuster'!Z$75=0,'Forecast Adjuster'!AA$75,V$166*'Forecast Adjuster'!AA$75/'Forecast Adjuster'!Z$75),V$166*Tracks!AA$8/Tracks!Z$8)</f>
        <v>8.8913629349458512E-2</v>
      </c>
      <c r="X166" s="278">
        <f>IF($L$1="Yes",IF('Forecast Adjuster'!AA$75=0,'Forecast Adjuster'!AB$75,W$166*'Forecast Adjuster'!AB$75/'Forecast Adjuster'!AA$75),W$166*Tracks!AB$8/Tracks!AA$8)</f>
        <v>9.629130846719347E-2</v>
      </c>
    </row>
    <row r="167" spans="1:24" x14ac:dyDescent="0.2">
      <c r="A167" s="27" t="s">
        <v>135</v>
      </c>
      <c r="B167" s="36"/>
      <c r="C167" s="69"/>
      <c r="D167" s="71">
        <f t="shared" ref="D167:I167" si="76">SUM(D$160:D$163,D$166)-SUM(D$164:D$165)</f>
        <v>12.973000000000001</v>
      </c>
      <c r="E167" s="71">
        <f t="shared" si="76"/>
        <v>14.212000000000002</v>
      </c>
      <c r="F167" s="71">
        <f t="shared" si="76"/>
        <v>13.688000000000001</v>
      </c>
      <c r="G167" s="71">
        <f t="shared" si="76"/>
        <v>15.656000000000004</v>
      </c>
      <c r="H167" s="71">
        <f t="shared" si="76"/>
        <v>18.652000000000005</v>
      </c>
      <c r="I167" s="71">
        <f t="shared" si="76"/>
        <v>18.703000000000003</v>
      </c>
      <c r="J167" s="131">
        <f t="shared" ref="J167:X167" si="77">SUM(J$160:J$163,J$166)-SUM(J$164:J$165)</f>
        <v>20.69</v>
      </c>
      <c r="K167" s="131">
        <f t="shared" si="77"/>
        <v>22.151000000000003</v>
      </c>
      <c r="L167" s="131">
        <f t="shared" si="77"/>
        <v>23.716000000000005</v>
      </c>
      <c r="M167" s="131">
        <f t="shared" si="77"/>
        <v>25.403000000000006</v>
      </c>
      <c r="N167" s="131">
        <f t="shared" si="77"/>
        <v>27.222000000000008</v>
      </c>
      <c r="O167" s="75">
        <f t="shared" si="77"/>
        <v>29.04963413282859</v>
      </c>
      <c r="P167" s="75">
        <f t="shared" si="77"/>
        <v>33.183519739105492</v>
      </c>
      <c r="Q167" s="75">
        <f t="shared" si="77"/>
        <v>37.642415112983869</v>
      </c>
      <c r="R167" s="75">
        <f t="shared" si="77"/>
        <v>42.325342051019767</v>
      </c>
      <c r="S167" s="75">
        <f t="shared" si="77"/>
        <v>47.242182001760462</v>
      </c>
      <c r="T167" s="75">
        <f t="shared" si="77"/>
        <v>52.386969079282103</v>
      </c>
      <c r="U167" s="75">
        <f t="shared" si="77"/>
        <v>57.660463854309533</v>
      </c>
      <c r="V167" s="75">
        <f t="shared" si="77"/>
        <v>63.040349852459279</v>
      </c>
      <c r="W167" s="75">
        <f t="shared" si="77"/>
        <v>68.475982333820284</v>
      </c>
      <c r="X167" s="75">
        <f t="shared" si="77"/>
        <v>73.931890966414898</v>
      </c>
    </row>
    <row r="168" spans="1:24" x14ac:dyDescent="0.2">
      <c r="A168" s="108" t="s">
        <v>663</v>
      </c>
      <c r="B168" s="42"/>
      <c r="C168" s="69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">
      <c r="A169" s="225" t="s">
        <v>698</v>
      </c>
      <c r="B169" s="233"/>
      <c r="C169" s="69"/>
      <c r="D169" s="69">
        <f>Data!C$201</f>
        <v>0.11899999999999999</v>
      </c>
      <c r="E169" s="69">
        <f>Data!D$201</f>
        <v>9.7000000000000003E-2</v>
      </c>
      <c r="F169" s="69">
        <f>Data!E$201</f>
        <v>7.6999999999999999E-2</v>
      </c>
      <c r="G169" s="69">
        <f>Data!F$201</f>
        <v>8.1000000000000003E-2</v>
      </c>
      <c r="H169" s="69">
        <f>Data!G$201</f>
        <v>0.111</v>
      </c>
      <c r="I169" s="69">
        <f>Data!H$201</f>
        <v>7.6999999999999999E-2</v>
      </c>
      <c r="J169" s="105">
        <f>Data!I$201 + IF($L$1="Yes",J$332,0)</f>
        <v>0.14099999999999999</v>
      </c>
      <c r="K169" s="105">
        <f>Data!J$201 + IF($L$1="Yes",K$332,0)</f>
        <v>0.12</v>
      </c>
      <c r="L169" s="105">
        <f>Data!K$201 + IF($L$1="Yes",L$332,0)</f>
        <v>0.125</v>
      </c>
      <c r="M169" s="105">
        <f>Data!L$201 + IF($L$1="Yes",M$332,0)</f>
        <v>0.13700000000000001</v>
      </c>
      <c r="N169" s="105">
        <f>Data!M$201 + IF($L$1="Yes",N$332,0)</f>
        <v>0.15</v>
      </c>
      <c r="O169" s="73">
        <f t="shared" ref="O169:X169" si="78">N$169*O$164/N$164</f>
        <v>0.15023626116546149</v>
      </c>
      <c r="P169" s="73">
        <f t="shared" si="78"/>
        <v>0.16587542522936419</v>
      </c>
      <c r="Q169" s="73">
        <f t="shared" si="78"/>
        <v>0.18881075104767597</v>
      </c>
      <c r="R169" s="73">
        <f t="shared" si="78"/>
        <v>0.21322751523783098</v>
      </c>
      <c r="S169" s="73">
        <f t="shared" si="78"/>
        <v>0.23886757305678749</v>
      </c>
      <c r="T169" s="73">
        <f t="shared" si="78"/>
        <v>0.26574347400657899</v>
      </c>
      <c r="U169" s="73">
        <f t="shared" si="78"/>
        <v>0.29358612434189452</v>
      </c>
      <c r="V169" s="73">
        <f t="shared" si="78"/>
        <v>0.32206038039109763</v>
      </c>
      <c r="W169" s="73">
        <f t="shared" si="78"/>
        <v>0.35097485269523088</v>
      </c>
      <c r="X169" s="73">
        <f t="shared" si="78"/>
        <v>0.38009727026523732</v>
      </c>
    </row>
    <row r="170" spans="1:24" x14ac:dyDescent="0.2">
      <c r="A170" s="225" t="s">
        <v>662</v>
      </c>
      <c r="B170" s="233"/>
      <c r="C170" s="69"/>
      <c r="D170" s="69">
        <f>Data!C$90</f>
        <v>11.576000000000001</v>
      </c>
      <c r="E170" s="69">
        <f>Data!D$90</f>
        <v>12.933999999999999</v>
      </c>
      <c r="F170" s="69">
        <f>Data!E$90</f>
        <v>11.486000000000001</v>
      </c>
      <c r="G170" s="69">
        <f>Data!F$90</f>
        <v>14.189</v>
      </c>
      <c r="H170" s="69">
        <f>Data!G$90</f>
        <v>16.158999999999999</v>
      </c>
      <c r="I170" s="69">
        <f>Data!H$90</f>
        <v>17.196000000000002</v>
      </c>
      <c r="J170" s="105">
        <f>Data!I$90 + IF($L$1="Yes",J$339,0)</f>
        <v>19.666</v>
      </c>
      <c r="K170" s="105">
        <f>Data!J$90 + IF($L$1="Yes",K$339,0)</f>
        <v>21.294</v>
      </c>
      <c r="L170" s="105">
        <f>Data!K$90 + IF($L$1="Yes",L$339,0)</f>
        <v>22.972999999999999</v>
      </c>
      <c r="M170" s="105">
        <f>Data!L$90 + IF($L$1="Yes",M$339,0)</f>
        <v>24.82</v>
      </c>
      <c r="N170" s="105">
        <f>Data!M$90 + IF($L$1="Yes",N$339,0)</f>
        <v>26.693000000000001</v>
      </c>
      <c r="O170" s="73">
        <f t="shared" ref="O170:X170" si="79">IF(O$2="Proj Yr1",N$170+N$226,N$170)*O$167/N$167</f>
        <v>27.299527602160783</v>
      </c>
      <c r="P170" s="73">
        <f t="shared" si="79"/>
        <v>31.184365658871371</v>
      </c>
      <c r="Q170" s="73">
        <f t="shared" si="79"/>
        <v>35.374633143059036</v>
      </c>
      <c r="R170" s="73">
        <f t="shared" si="79"/>
        <v>39.775435322503391</v>
      </c>
      <c r="S170" s="73">
        <f t="shared" si="79"/>
        <v>44.39605833403261</v>
      </c>
      <c r="T170" s="73">
        <f t="shared" si="79"/>
        <v>49.230895708845573</v>
      </c>
      <c r="U170" s="73">
        <f t="shared" si="79"/>
        <v>54.186686735763203</v>
      </c>
      <c r="V170" s="73">
        <f t="shared" si="79"/>
        <v>59.242459405099282</v>
      </c>
      <c r="W170" s="73">
        <f t="shared" si="79"/>
        <v>64.350620089037903</v>
      </c>
      <c r="X170" s="73">
        <f t="shared" si="79"/>
        <v>69.477835379576263</v>
      </c>
    </row>
    <row r="171" spans="1:24" x14ac:dyDescent="0.2">
      <c r="A171" s="31"/>
      <c r="B171" s="36"/>
      <c r="C171" s="69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1:24" x14ac:dyDescent="0.2">
      <c r="A172" s="108" t="s">
        <v>656</v>
      </c>
      <c r="B172" s="36"/>
      <c r="C172" s="69"/>
      <c r="D172" s="69"/>
      <c r="E172" s="69"/>
      <c r="F172" s="69"/>
      <c r="G172" s="105"/>
      <c r="H172" s="105"/>
      <c r="I172" s="105"/>
      <c r="J172" s="105"/>
      <c r="K172" s="105"/>
      <c r="L172" s="105"/>
    </row>
    <row r="173" spans="1:24" x14ac:dyDescent="0.2">
      <c r="A173" s="280" t="s">
        <v>833</v>
      </c>
      <c r="B173" s="273"/>
      <c r="C173" s="69"/>
      <c r="D173" s="271">
        <f>Data!C$92-D$175</f>
        <v>3.0759999999999996</v>
      </c>
      <c r="E173" s="271">
        <f>Data!D$92-E$175</f>
        <v>3.5359999999999996</v>
      </c>
      <c r="F173" s="271">
        <f>Data!E$92-F$175</f>
        <v>3.8760000000000003</v>
      </c>
      <c r="G173" s="271">
        <f>Data!F$92-G$175</f>
        <v>4.0770000000000035</v>
      </c>
      <c r="H173" s="271">
        <f>Data!G$92-H$175</f>
        <v>4.6190000000000033</v>
      </c>
      <c r="I173" s="271">
        <f>Data!H$92-I$175</f>
        <v>5.033000000000003</v>
      </c>
      <c r="J173" s="105">
        <f>Data!I$92-J$175</f>
        <v>5.0850000000000026</v>
      </c>
      <c r="K173" s="105">
        <f>Data!J$92-K$175</f>
        <v>5.2900000000000027</v>
      </c>
      <c r="L173" s="105">
        <f>Data!K$92-L$175</f>
        <v>5.6330000000000027</v>
      </c>
      <c r="M173" s="105">
        <f>Data!L$92-M$175</f>
        <v>6.1490000000000027</v>
      </c>
      <c r="N173" s="105">
        <f>Data!M$92-N$175</f>
        <v>6.0560000000000027</v>
      </c>
      <c r="O173" s="267">
        <f t="shared" ref="O173:X173" ca="1" si="80">N$173*(1+O$236)</f>
        <v>6.1780398987341796</v>
      </c>
      <c r="P173" s="267">
        <f t="shared" ca="1" si="80"/>
        <v>6.3016006967088636</v>
      </c>
      <c r="Q173" s="267">
        <f t="shared" ca="1" si="80"/>
        <v>6.4276327106430413</v>
      </c>
      <c r="R173" s="267">
        <f t="shared" ca="1" si="80"/>
        <v>6.5561853648559021</v>
      </c>
      <c r="S173" s="267">
        <f t="shared" ca="1" si="80"/>
        <v>6.6873090721530204</v>
      </c>
      <c r="T173" s="267">
        <f t="shared" ca="1" si="80"/>
        <v>6.8210552535960813</v>
      </c>
      <c r="U173" s="267">
        <f t="shared" ca="1" si="80"/>
        <v>6.9574763586680035</v>
      </c>
      <c r="V173" s="267">
        <f t="shared" ca="1" si="80"/>
        <v>7.0966258858413633</v>
      </c>
      <c r="W173" s="267">
        <f t="shared" ca="1" si="80"/>
        <v>7.2385584035581907</v>
      </c>
      <c r="X173" s="267">
        <f t="shared" ca="1" si="80"/>
        <v>7.3833295716293543</v>
      </c>
    </row>
    <row r="174" spans="1:24" x14ac:dyDescent="0.2">
      <c r="A174" s="280" t="s">
        <v>834</v>
      </c>
      <c r="B174" s="273"/>
      <c r="C174" s="69"/>
      <c r="D174" s="271">
        <f>Data!C$203</f>
        <v>0</v>
      </c>
      <c r="E174" s="271">
        <f>Data!D$203</f>
        <v>0</v>
      </c>
      <c r="F174" s="271">
        <f>Data!E$203</f>
        <v>0</v>
      </c>
      <c r="G174" s="271">
        <f>Data!F$203</f>
        <v>0.22</v>
      </c>
      <c r="H174" s="271">
        <f>Data!G$203</f>
        <v>0.36799999999999999</v>
      </c>
      <c r="I174" s="271">
        <f>Data!H$203</f>
        <v>0.25600000000000001</v>
      </c>
      <c r="J174" s="105">
        <f>Data!I$203</f>
        <v>0.259604</v>
      </c>
      <c r="K174" s="105">
        <f>Data!J$203</f>
        <v>0.259604</v>
      </c>
      <c r="L174" s="105">
        <f>Data!K$203</f>
        <v>0.259604</v>
      </c>
      <c r="M174" s="105">
        <f>Data!L$203</f>
        <v>0.259604</v>
      </c>
      <c r="N174" s="105">
        <f>Data!M$203</f>
        <v>0.259604</v>
      </c>
      <c r="O174" s="267">
        <f t="shared" ref="O174:X174" si="81">N$174*O$167/N$167</f>
        <v>0.27703332669968522</v>
      </c>
      <c r="P174" s="267">
        <f t="shared" si="81"/>
        <v>0.3164563389299368</v>
      </c>
      <c r="Q174" s="267">
        <f t="shared" si="81"/>
        <v>0.35897882348802662</v>
      </c>
      <c r="R174" s="267">
        <f t="shared" si="81"/>
        <v>0.40363779655473264</v>
      </c>
      <c r="S174" s="267">
        <f t="shared" si="81"/>
        <v>0.45052749307122986</v>
      </c>
      <c r="T174" s="267">
        <f t="shared" si="81"/>
        <v>0.49959101906024339</v>
      </c>
      <c r="U174" s="267">
        <f t="shared" si="81"/>
        <v>0.54988197261164373</v>
      </c>
      <c r="V174" s="267">
        <f t="shared" si="81"/>
        <v>0.60118753152221838</v>
      </c>
      <c r="W174" s="267">
        <f t="shared" si="81"/>
        <v>0.65302471963077913</v>
      </c>
      <c r="X174" s="267">
        <f t="shared" si="81"/>
        <v>0.70505527229612663</v>
      </c>
    </row>
    <row r="175" spans="1:24" x14ac:dyDescent="0.2">
      <c r="A175" s="280" t="s">
        <v>657</v>
      </c>
      <c r="B175" s="274"/>
      <c r="C175" s="69"/>
      <c r="D175" s="277">
        <f>D$187</f>
        <v>6.0110000000000001</v>
      </c>
      <c r="E175" s="277">
        <f t="shared" ref="E175:X175" si="82">E$187</f>
        <v>6.7409999999999997</v>
      </c>
      <c r="F175" s="277">
        <f t="shared" si="82"/>
        <v>6.5529999999999999</v>
      </c>
      <c r="G175" s="277">
        <f t="shared" si="82"/>
        <v>6.7899999999999974</v>
      </c>
      <c r="H175" s="277">
        <f t="shared" si="82"/>
        <v>7.4599999999999973</v>
      </c>
      <c r="I175" s="277">
        <f t="shared" si="82"/>
        <v>8.2909999999999968</v>
      </c>
      <c r="J175" s="130">
        <f t="shared" si="82"/>
        <v>8.8129999999999971</v>
      </c>
      <c r="K175" s="130">
        <f t="shared" si="82"/>
        <v>9.2679999999999971</v>
      </c>
      <c r="L175" s="130">
        <f t="shared" si="82"/>
        <v>9.7199999999999971</v>
      </c>
      <c r="M175" s="130">
        <f t="shared" si="82"/>
        <v>10.195999999999996</v>
      </c>
      <c r="N175" s="130">
        <f t="shared" si="82"/>
        <v>10.692999999999996</v>
      </c>
      <c r="O175" s="278">
        <f t="shared" ca="1" si="82"/>
        <v>11.118044676289218</v>
      </c>
      <c r="P175" s="278">
        <f t="shared" ca="1" si="82"/>
        <v>11.51829048547711</v>
      </c>
      <c r="Q175" s="278">
        <f t="shared" ca="1" si="82"/>
        <v>11.905323565512713</v>
      </c>
      <c r="R175" s="278">
        <f t="shared" ca="1" si="82"/>
        <v>12.289150486927204</v>
      </c>
      <c r="S175" s="278">
        <f t="shared" ca="1" si="82"/>
        <v>12.674593563717877</v>
      </c>
      <c r="T175" s="278">
        <f t="shared" ca="1" si="82"/>
        <v>13.062586877125076</v>
      </c>
      <c r="U175" s="278">
        <f t="shared" ca="1" si="82"/>
        <v>13.45582013604783</v>
      </c>
      <c r="V175" s="278">
        <f t="shared" ca="1" si="82"/>
        <v>13.852597487052909</v>
      </c>
      <c r="W175" s="278">
        <f t="shared" ca="1" si="82"/>
        <v>14.277222201641703</v>
      </c>
      <c r="X175" s="278">
        <f t="shared" ca="1" si="82"/>
        <v>14.731559975647624</v>
      </c>
    </row>
    <row r="176" spans="1:24" x14ac:dyDescent="0.2">
      <c r="A176" s="269" t="s">
        <v>658</v>
      </c>
      <c r="B176" s="271"/>
      <c r="C176" s="69"/>
      <c r="D176" s="276">
        <f>SUM(D$173:D$175)</f>
        <v>9.0869999999999997</v>
      </c>
      <c r="E176" s="276">
        <f t="shared" ref="E176:X176" si="83">SUM(E$173:E$175)</f>
        <v>10.276999999999999</v>
      </c>
      <c r="F176" s="276">
        <f t="shared" si="83"/>
        <v>10.429</v>
      </c>
      <c r="G176" s="276">
        <f t="shared" si="83"/>
        <v>11.087</v>
      </c>
      <c r="H176" s="276">
        <f t="shared" si="83"/>
        <v>12.447000000000001</v>
      </c>
      <c r="I176" s="276">
        <f t="shared" si="83"/>
        <v>13.58</v>
      </c>
      <c r="J176" s="131">
        <f t="shared" si="83"/>
        <v>14.157603999999999</v>
      </c>
      <c r="K176" s="131">
        <f t="shared" si="83"/>
        <v>14.817603999999999</v>
      </c>
      <c r="L176" s="131">
        <f t="shared" si="83"/>
        <v>15.612604000000001</v>
      </c>
      <c r="M176" s="131">
        <f t="shared" si="83"/>
        <v>16.604603999999998</v>
      </c>
      <c r="N176" s="131">
        <f t="shared" si="83"/>
        <v>17.008603999999998</v>
      </c>
      <c r="O176" s="279">
        <f t="shared" ca="1" si="83"/>
        <v>17.573117901723084</v>
      </c>
      <c r="P176" s="279">
        <f t="shared" ca="1" si="83"/>
        <v>18.136347521115908</v>
      </c>
      <c r="Q176" s="279">
        <f t="shared" ca="1" si="83"/>
        <v>18.691935099643782</v>
      </c>
      <c r="R176" s="279">
        <f t="shared" ca="1" si="83"/>
        <v>19.248973648337838</v>
      </c>
      <c r="S176" s="279">
        <f t="shared" ca="1" si="83"/>
        <v>19.812430128942129</v>
      </c>
      <c r="T176" s="279">
        <f t="shared" ca="1" si="83"/>
        <v>20.3832331497814</v>
      </c>
      <c r="U176" s="279">
        <f t="shared" ca="1" si="83"/>
        <v>20.963178467327477</v>
      </c>
      <c r="V176" s="279">
        <f t="shared" ca="1" si="83"/>
        <v>21.550410904416491</v>
      </c>
      <c r="W176" s="279">
        <f t="shared" ca="1" si="83"/>
        <v>22.168805324830672</v>
      </c>
      <c r="X176" s="279">
        <f t="shared" ca="1" si="83"/>
        <v>22.819944819573102</v>
      </c>
    </row>
    <row r="177" spans="1:24" x14ac:dyDescent="0.2">
      <c r="A177" s="269" t="s">
        <v>661</v>
      </c>
      <c r="B177" s="273"/>
      <c r="C177" s="69"/>
      <c r="D177" s="276">
        <f>Data!C$62</f>
        <v>11.792999999999999</v>
      </c>
      <c r="E177" s="276">
        <f>Data!D$62</f>
        <v>12.948</v>
      </c>
      <c r="F177" s="276">
        <f>Data!E$62</f>
        <v>15.603999999999999</v>
      </c>
      <c r="G177" s="276">
        <f>Data!F$62</f>
        <v>18.446999999999999</v>
      </c>
      <c r="H177" s="276">
        <f>Data!G$62</f>
        <v>20.567</v>
      </c>
      <c r="I177" s="276">
        <f>Data!H$62</f>
        <v>21.765999999999998</v>
      </c>
      <c r="J177" s="131">
        <f>Data!I$62</f>
        <v>23.398</v>
      </c>
      <c r="K177" s="131">
        <f>Data!J$62</f>
        <v>25.295000000000002</v>
      </c>
      <c r="L177" s="131">
        <f>Data!K$62</f>
        <v>27.606999999999999</v>
      </c>
      <c r="M177" s="131">
        <f>Data!L$62</f>
        <v>30.632999999999999</v>
      </c>
      <c r="N177" s="131">
        <f>Data!M$62</f>
        <v>34.136000000000003</v>
      </c>
      <c r="O177" s="279">
        <f t="shared" ref="O177:X177" ca="1" si="84">SUM(O$176,(N$177-N$176)*(1+O$236))</f>
        <v>35.045663451495237</v>
      </c>
      <c r="P177" s="279">
        <f t="shared" ca="1" si="84"/>
        <v>35.958343981883502</v>
      </c>
      <c r="Q177" s="279">
        <f t="shared" ca="1" si="84"/>
        <v>36.870371489626727</v>
      </c>
      <c r="R177" s="279">
        <f t="shared" ca="1" si="84"/>
        <v>37.790978766120446</v>
      </c>
      <c r="S177" s="279">
        <f t="shared" ca="1" si="84"/>
        <v>38.725275349080391</v>
      </c>
      <c r="T177" s="279">
        <f t="shared" ca="1" si="84"/>
        <v>39.674335274322431</v>
      </c>
      <c r="U177" s="279">
        <f t="shared" ca="1" si="84"/>
        <v>40.64010263435933</v>
      </c>
      <c r="V177" s="279">
        <f t="shared" ca="1" si="84"/>
        <v>41.620873554788986</v>
      </c>
      <c r="W177" s="279">
        <f t="shared" ca="1" si="84"/>
        <v>42.64067722821062</v>
      </c>
      <c r="X177" s="279">
        <f t="shared" ca="1" si="84"/>
        <v>43.70125416102065</v>
      </c>
    </row>
    <row r="178" spans="1:24" x14ac:dyDescent="0.2">
      <c r="A178" s="27"/>
      <c r="B178" s="36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</row>
    <row r="179" spans="1:24" x14ac:dyDescent="0.2">
      <c r="A179" s="108" t="s">
        <v>395</v>
      </c>
      <c r="B179" s="36"/>
      <c r="C179" s="69"/>
      <c r="D179" s="73"/>
      <c r="E179" s="73"/>
      <c r="F179" s="73"/>
      <c r="G179" s="73"/>
      <c r="H179" s="73"/>
      <c r="I179" s="73"/>
      <c r="J179" s="73"/>
    </row>
    <row r="180" spans="1:24" x14ac:dyDescent="0.2">
      <c r="A180" s="30" t="s">
        <v>554</v>
      </c>
      <c r="B180" s="36"/>
      <c r="C180" s="69"/>
      <c r="D180" s="126">
        <f>Data!C$182</f>
        <v>5.569</v>
      </c>
      <c r="E180" s="69">
        <f>D$187</f>
        <v>6.0110000000000001</v>
      </c>
      <c r="F180" s="69">
        <f>E$187</f>
        <v>6.7409999999999997</v>
      </c>
      <c r="G180" s="69">
        <f>F$187</f>
        <v>6.5529999999999999</v>
      </c>
      <c r="H180" s="69">
        <f>G$187</f>
        <v>6.7899999999999974</v>
      </c>
      <c r="I180" s="69">
        <f>H$187</f>
        <v>7.4599999999999973</v>
      </c>
      <c r="J180" s="105">
        <f t="shared" ref="J180:X180" si="85">I$187</f>
        <v>8.2909999999999968</v>
      </c>
      <c r="K180" s="105">
        <f t="shared" si="85"/>
        <v>8.8129999999999971</v>
      </c>
      <c r="L180" s="105">
        <f t="shared" si="85"/>
        <v>9.2679999999999971</v>
      </c>
      <c r="M180" s="105">
        <f t="shared" si="85"/>
        <v>9.7199999999999971</v>
      </c>
      <c r="N180" s="105">
        <f t="shared" si="85"/>
        <v>10.195999999999996</v>
      </c>
      <c r="O180" s="73">
        <f t="shared" si="85"/>
        <v>10.692999999999996</v>
      </c>
      <c r="P180" s="73">
        <f t="shared" ca="1" si="85"/>
        <v>11.118044676289218</v>
      </c>
      <c r="Q180" s="73">
        <f t="shared" ca="1" si="85"/>
        <v>11.51829048547711</v>
      </c>
      <c r="R180" s="73">
        <f t="shared" ca="1" si="85"/>
        <v>11.905323565512713</v>
      </c>
      <c r="S180" s="73">
        <f t="shared" ca="1" si="85"/>
        <v>12.289150486927204</v>
      </c>
      <c r="T180" s="73">
        <f t="shared" ca="1" si="85"/>
        <v>12.674593563717877</v>
      </c>
      <c r="U180" s="73">
        <f t="shared" ca="1" si="85"/>
        <v>13.062586877125076</v>
      </c>
      <c r="V180" s="73">
        <f t="shared" ca="1" si="85"/>
        <v>13.45582013604783</v>
      </c>
      <c r="W180" s="73">
        <f t="shared" ca="1" si="85"/>
        <v>13.852597487052909</v>
      </c>
      <c r="X180" s="73">
        <f t="shared" ca="1" si="85"/>
        <v>14.277222201641703</v>
      </c>
    </row>
    <row r="181" spans="1:24" x14ac:dyDescent="0.2">
      <c r="A181" s="31" t="s">
        <v>644</v>
      </c>
      <c r="B181" s="233"/>
      <c r="C181" s="69"/>
      <c r="D181" s="69">
        <f>Data!C$183</f>
        <v>1.1759999999999999</v>
      </c>
      <c r="E181" s="69">
        <f>Data!D$183</f>
        <v>1.2010000000000001</v>
      </c>
      <c r="F181" s="69">
        <f>Data!E$183</f>
        <v>1.35</v>
      </c>
      <c r="G181" s="69">
        <f>Data!F$183</f>
        <v>1.5249999999999999</v>
      </c>
      <c r="H181" s="69">
        <f>Data!G$183</f>
        <v>1.5640000000000001</v>
      </c>
      <c r="I181" s="69">
        <f>Data!H$183</f>
        <v>1.5860000000000001</v>
      </c>
      <c r="J181" s="105">
        <f>Data!I$183</f>
        <v>1.607</v>
      </c>
      <c r="K181" s="105">
        <f>Data!J$183</f>
        <v>1.6679999999999999</v>
      </c>
      <c r="L181" s="105">
        <f>Data!K$183</f>
        <v>1.6890000000000001</v>
      </c>
      <c r="M181" s="105">
        <f>Data!L$183</f>
        <v>1.7370000000000001</v>
      </c>
      <c r="N181" s="105">
        <f>Data!M$183</f>
        <v>1.786</v>
      </c>
      <c r="O181" s="73">
        <f>N$181*Tracks!S$18/Tracks!R$18</f>
        <v>1.8083916417910448</v>
      </c>
      <c r="P181" s="73">
        <f>O$181*Tracks!T$18/Tracks!S$18</f>
        <v>1.85744</v>
      </c>
      <c r="Q181" s="73">
        <f>P$181*Tracks!U$18/Tracks!T$18</f>
        <v>1.9214161194029851</v>
      </c>
      <c r="R181" s="73">
        <f>Q$181*Tracks!V$18/Tracks!U$18</f>
        <v>1.9736632835820895</v>
      </c>
      <c r="S181" s="73">
        <f>R$181*Tracks!W$18/Tracks!V$18</f>
        <v>2.0333743283582089</v>
      </c>
      <c r="T181" s="73">
        <f>S$181*Tracks!X$18/Tracks!W$18</f>
        <v>2.1026817910447759</v>
      </c>
      <c r="U181" s="73">
        <f>T$181*Tracks!Y$18/Tracks!X$18</f>
        <v>2.1613265671641786</v>
      </c>
      <c r="V181" s="73">
        <f>U$181*Tracks!Z$18/Tracks!Y$18</f>
        <v>2.2242364179104475</v>
      </c>
      <c r="W181" s="73">
        <f>V$181*Tracks!AA$18/Tracks!Z$18</f>
        <v>2.3042065671641785</v>
      </c>
      <c r="X181" s="73">
        <f>W$181*Tracks!AB$18/Tracks!AA$18</f>
        <v>2.3927068656716415</v>
      </c>
    </row>
    <row r="182" spans="1:24" x14ac:dyDescent="0.2">
      <c r="A182" s="31" t="s">
        <v>645</v>
      </c>
      <c r="B182" s="233"/>
      <c r="C182" s="69"/>
      <c r="D182" s="69">
        <f>Data!C$184</f>
        <v>0.48799999999999999</v>
      </c>
      <c r="E182" s="69">
        <f>Data!D$184</f>
        <v>0.48699999999999999</v>
      </c>
      <c r="F182" s="69">
        <f>Data!E$184</f>
        <v>0.53200000000000003</v>
      </c>
      <c r="G182" s="69">
        <f>Data!F$184</f>
        <v>0.72799999999999998</v>
      </c>
      <c r="H182" s="69">
        <f>Data!G$184</f>
        <v>0.71299999999999997</v>
      </c>
      <c r="I182" s="69">
        <f>Data!H$184</f>
        <v>0.70099999999999996</v>
      </c>
      <c r="J182" s="105">
        <f>Data!I$184</f>
        <v>0.58599999999999997</v>
      </c>
      <c r="K182" s="105">
        <f>Data!J$184</f>
        <v>0.61</v>
      </c>
      <c r="L182" s="105">
        <f>Data!K$184</f>
        <v>0.61699999999999999</v>
      </c>
      <c r="M182" s="105">
        <f>Data!L$184</f>
        <v>0.63500000000000001</v>
      </c>
      <c r="N182" s="105">
        <f>Data!M$184</f>
        <v>0.65300000000000002</v>
      </c>
      <c r="O182" s="73">
        <f>N$182*Tracks!S$19/Tracks!R$19</f>
        <v>0.67275936599423636</v>
      </c>
      <c r="P182" s="73">
        <f>O$182*Tracks!T$19/Tracks!S$19</f>
        <v>0.70380979827089341</v>
      </c>
      <c r="Q182" s="73">
        <f>P$182*Tracks!U$19/Tracks!T$19</f>
        <v>0.74144668587896256</v>
      </c>
      <c r="R182" s="73">
        <f>Q$182*Tracks!V$19/Tracks!U$19</f>
        <v>0.77437896253602312</v>
      </c>
      <c r="S182" s="73">
        <f>R$182*Tracks!W$19/Tracks!V$19</f>
        <v>0.81107492795389058</v>
      </c>
      <c r="T182" s="73">
        <f>S$182*Tracks!X$19/Tracks!W$19</f>
        <v>0.85341642651296834</v>
      </c>
      <c r="U182" s="73">
        <f>T$182*Tracks!Y$19/Tracks!X$19</f>
        <v>0.88352593659942358</v>
      </c>
      <c r="V182" s="73">
        <f>U$182*Tracks!Z$19/Tracks!Y$19</f>
        <v>0.91551729106628232</v>
      </c>
      <c r="W182" s="73">
        <f>V$182*Tracks!AA$19/Tracks!Z$19</f>
        <v>0.95315417867435148</v>
      </c>
      <c r="X182" s="73">
        <f>W$182*Tracks!AB$19/Tracks!AA$19</f>
        <v>0.99549567723342924</v>
      </c>
    </row>
    <row r="183" spans="1:24" x14ac:dyDescent="0.2">
      <c r="A183" s="31" t="s">
        <v>646</v>
      </c>
      <c r="B183" s="233"/>
      <c r="C183" s="69"/>
      <c r="D183" s="69">
        <f>Data!C$185</f>
        <v>0.55500000000000005</v>
      </c>
      <c r="E183" s="69">
        <f>Data!D$185</f>
        <v>0.629</v>
      </c>
      <c r="F183" s="69">
        <f>Data!E$185</f>
        <v>0.71</v>
      </c>
      <c r="G183" s="69">
        <f>Data!F$185</f>
        <v>0.754</v>
      </c>
      <c r="H183" s="69">
        <f>Data!G$185</f>
        <v>0.80200000000000005</v>
      </c>
      <c r="I183" s="69">
        <f>Data!H$185</f>
        <v>0.877</v>
      </c>
      <c r="J183" s="105">
        <f>Data!I$185</f>
        <v>1.004</v>
      </c>
      <c r="K183" s="105">
        <f>Data!J$185</f>
        <v>1.1399999999999999</v>
      </c>
      <c r="L183" s="105">
        <f>Data!K$185</f>
        <v>1.1930000000000001</v>
      </c>
      <c r="M183" s="105">
        <f>Data!L$185</f>
        <v>1.2330000000000001</v>
      </c>
      <c r="N183" s="105">
        <f>Data!M$185</f>
        <v>1.2789999999999999</v>
      </c>
      <c r="O183" s="73">
        <f>N$183*Tracks!S$20/Tracks!R$20</f>
        <v>1.3702056384742951</v>
      </c>
      <c r="P183" s="73">
        <f>O$183*Tracks!T$20/Tracks!S$20</f>
        <v>1.4295953565505803</v>
      </c>
      <c r="Q183" s="73">
        <f>P$183*Tracks!U$20/Tracks!T$20</f>
        <v>1.4868640132669984</v>
      </c>
      <c r="R183" s="73">
        <f>Q$183*Tracks!V$20/Tracks!U$20</f>
        <v>1.5282247097844113</v>
      </c>
      <c r="S183" s="73">
        <f>R$183*Tracks!W$20/Tracks!V$20</f>
        <v>1.5695854063018242</v>
      </c>
      <c r="T183" s="73">
        <f>S$183*Tracks!X$20/Tracks!W$20</f>
        <v>1.6162487562189054</v>
      </c>
      <c r="U183" s="73">
        <f>T$183*Tracks!Y$20/Tracks!X$20</f>
        <v>1.6629121061359866</v>
      </c>
      <c r="V183" s="73">
        <f>U$183*Tracks!Z$20/Tracks!Y$20</f>
        <v>1.7159386401326697</v>
      </c>
      <c r="W183" s="73">
        <f>V$183*Tracks!AA$20/Tracks!Z$20</f>
        <v>1.7583598673300163</v>
      </c>
      <c r="X183" s="73">
        <f>W$183*Tracks!AB$20/Tracks!AA$20</f>
        <v>1.8050232172470975</v>
      </c>
    </row>
    <row r="184" spans="1:24" x14ac:dyDescent="0.2">
      <c r="A184" s="31" t="s">
        <v>647</v>
      </c>
      <c r="B184" s="233"/>
      <c r="C184" s="69"/>
      <c r="D184" s="69">
        <f>Data!C$186</f>
        <v>0.36</v>
      </c>
      <c r="E184" s="69">
        <f>Data!D$186</f>
        <v>0.40699999999999997</v>
      </c>
      <c r="F184" s="69">
        <f>Data!E$186</f>
        <v>0.46500000000000002</v>
      </c>
      <c r="G184" s="69">
        <f>Data!F$186</f>
        <v>0.46300000000000002</v>
      </c>
      <c r="H184" s="69">
        <f>Data!G$186</f>
        <v>0.48399999999999999</v>
      </c>
      <c r="I184" s="69">
        <f>Data!H$186</f>
        <v>0.52600000000000002</v>
      </c>
      <c r="J184" s="105">
        <f>Data!I$186</f>
        <v>0.60299999999999998</v>
      </c>
      <c r="K184" s="105">
        <f>Data!J$186</f>
        <v>0.63700000000000001</v>
      </c>
      <c r="L184" s="105">
        <f>Data!K$186</f>
        <v>0.67100000000000004</v>
      </c>
      <c r="M184" s="105">
        <f>Data!L$186</f>
        <v>0.70599999999999996</v>
      </c>
      <c r="N184" s="105">
        <f>Data!M$186</f>
        <v>0.74299999999999999</v>
      </c>
      <c r="O184" s="73">
        <f>N$184*Tracks!S$21/Tracks!R$21</f>
        <v>0.7616332288401253</v>
      </c>
      <c r="P184" s="73">
        <f>O$184*Tracks!T$21/Tracks!S$21</f>
        <v>0.7802664576802506</v>
      </c>
      <c r="Q184" s="73">
        <f>P$184*Tracks!U$21/Tracks!T$21</f>
        <v>0.80006426332288394</v>
      </c>
      <c r="R184" s="73">
        <f>Q$184*Tracks!V$21/Tracks!U$21</f>
        <v>0.82102664576802498</v>
      </c>
      <c r="S184" s="73">
        <f>R$184*Tracks!W$21/Tracks!V$21</f>
        <v>0.84315360501567393</v>
      </c>
      <c r="T184" s="73">
        <f>S$184*Tracks!X$21/Tracks!W$21</f>
        <v>0.86760971786833851</v>
      </c>
      <c r="U184" s="73">
        <f>T$184*Tracks!Y$21/Tracks!X$21</f>
        <v>0.89323040752351091</v>
      </c>
      <c r="V184" s="73">
        <f>U$184*Tracks!Z$21/Tracks!Y$21</f>
        <v>0.92118025078369903</v>
      </c>
      <c r="W184" s="73">
        <f>V$184*Tracks!AA$21/Tracks!Z$21</f>
        <v>0.95145924764890288</v>
      </c>
      <c r="X184" s="73">
        <f>W$184*Tracks!AB$21/Tracks!AA$21</f>
        <v>0.98406739811912236</v>
      </c>
    </row>
    <row r="185" spans="1:24" x14ac:dyDescent="0.2">
      <c r="A185" s="31" t="s">
        <v>648</v>
      </c>
      <c r="B185" s="233"/>
      <c r="C185" s="69"/>
      <c r="D185" s="69">
        <f>Data!C$187</f>
        <v>0.151</v>
      </c>
      <c r="E185" s="69">
        <f>Data!D$187</f>
        <v>-0.23100000000000001</v>
      </c>
      <c r="F185" s="69">
        <f>Data!E$187</f>
        <v>0.77900000000000003</v>
      </c>
      <c r="G185" s="69">
        <f>Data!F$187</f>
        <v>0.28000000000000003</v>
      </c>
      <c r="H185" s="69">
        <f>Data!G$187</f>
        <v>-0.125</v>
      </c>
      <c r="I185" s="69">
        <f>Data!H$187</f>
        <v>-0.28599999999999998</v>
      </c>
      <c r="J185" s="105">
        <f>Data!I$187</f>
        <v>0.11</v>
      </c>
      <c r="K185" s="105">
        <f>Data!J$187</f>
        <v>0.11</v>
      </c>
      <c r="L185" s="105">
        <f>Data!K$187</f>
        <v>0.11</v>
      </c>
      <c r="M185" s="105">
        <f>Data!L$187</f>
        <v>0.11</v>
      </c>
      <c r="N185" s="105">
        <f>Data!M$187</f>
        <v>0.11</v>
      </c>
      <c r="O185" s="73">
        <f t="shared" ref="O185:X185" ca="1" si="86">N$185*(1+O$236)</f>
        <v>0.11221670886075948</v>
      </c>
      <c r="P185" s="73">
        <f t="shared" ca="1" si="86"/>
        <v>0.11446104303797466</v>
      </c>
      <c r="Q185" s="73">
        <f t="shared" ca="1" si="86"/>
        <v>0.11675026389873416</v>
      </c>
      <c r="R185" s="73">
        <f t="shared" ca="1" si="86"/>
        <v>0.11908526917670885</v>
      </c>
      <c r="S185" s="73">
        <f t="shared" ca="1" si="86"/>
        <v>0.12146697456024302</v>
      </c>
      <c r="T185" s="73">
        <f t="shared" ca="1" si="86"/>
        <v>0.12389631405144788</v>
      </c>
      <c r="U185" s="73">
        <f t="shared" ca="1" si="86"/>
        <v>0.12637424033247685</v>
      </c>
      <c r="V185" s="73">
        <f t="shared" ca="1" si="86"/>
        <v>0.1289017251391264</v>
      </c>
      <c r="W185" s="73">
        <f t="shared" ca="1" si="86"/>
        <v>0.13147975964190892</v>
      </c>
      <c r="X185" s="73">
        <f t="shared" ca="1" si="86"/>
        <v>0.13410935483474709</v>
      </c>
    </row>
    <row r="186" spans="1:24" x14ac:dyDescent="0.2">
      <c r="A186" s="31" t="s">
        <v>649</v>
      </c>
      <c r="B186" s="233"/>
      <c r="C186" s="69"/>
      <c r="D186" s="176">
        <f>Data!C$188</f>
        <v>0.1</v>
      </c>
      <c r="E186" s="176">
        <f>Data!D$188</f>
        <v>7.0000000000000001E-3</v>
      </c>
      <c r="F186" s="176">
        <f>Data!E$188</f>
        <v>1.7999999999999999E-2</v>
      </c>
      <c r="G186" s="176">
        <f>Data!F$188</f>
        <v>1.0999999999999999E-2</v>
      </c>
      <c r="H186" s="176">
        <f>Data!G$188</f>
        <v>1.2E-2</v>
      </c>
      <c r="I186" s="176">
        <f>Data!H$188</f>
        <v>1.0999999999999999E-2</v>
      </c>
      <c r="J186" s="130">
        <f>Data!I$188</f>
        <v>1.2E-2</v>
      </c>
      <c r="K186" s="130">
        <f>Data!J$188</f>
        <v>0.01</v>
      </c>
      <c r="L186" s="130">
        <f>Data!K$188</f>
        <v>1.2E-2</v>
      </c>
      <c r="M186" s="130">
        <f>Data!L$188</f>
        <v>1.0999999999999999E-2</v>
      </c>
      <c r="N186" s="130">
        <f>Data!M$188</f>
        <v>0.01</v>
      </c>
      <c r="O186" s="81">
        <f t="shared" ref="O186:X186" ca="1" si="87">N$186*(1+O$236)</f>
        <v>1.0201518987341771E-2</v>
      </c>
      <c r="P186" s="81">
        <f t="shared" ca="1" si="87"/>
        <v>1.0405549367088606E-2</v>
      </c>
      <c r="Q186" s="81">
        <f t="shared" ca="1" si="87"/>
        <v>1.0613660354430378E-2</v>
      </c>
      <c r="R186" s="81">
        <f t="shared" ca="1" si="87"/>
        <v>1.0825933561518985E-2</v>
      </c>
      <c r="S186" s="81">
        <f t="shared" ca="1" si="87"/>
        <v>1.1042452232749364E-2</v>
      </c>
      <c r="T186" s="81">
        <f t="shared" ca="1" si="87"/>
        <v>1.1263301277404351E-2</v>
      </c>
      <c r="U186" s="81">
        <f t="shared" ca="1" si="87"/>
        <v>1.1488567302952439E-2</v>
      </c>
      <c r="V186" s="81">
        <f t="shared" ca="1" si="87"/>
        <v>1.1718338649011489E-2</v>
      </c>
      <c r="W186" s="81">
        <f t="shared" ca="1" si="87"/>
        <v>1.1952705421991719E-2</v>
      </c>
      <c r="X186" s="81">
        <f t="shared" ca="1" si="87"/>
        <v>1.2191759530431553E-2</v>
      </c>
    </row>
    <row r="187" spans="1:24" x14ac:dyDescent="0.2">
      <c r="A187" s="27" t="s">
        <v>631</v>
      </c>
      <c r="B187" s="36"/>
      <c r="C187" s="69"/>
      <c r="D187" s="71">
        <f t="shared" ref="D187:X187" si="88">SUM(D$180,D$181,D$184,D$186)-SUM(D$182,D$183,D$185)</f>
        <v>6.0110000000000001</v>
      </c>
      <c r="E187" s="71">
        <f t="shared" si="88"/>
        <v>6.7409999999999997</v>
      </c>
      <c r="F187" s="71">
        <f t="shared" si="88"/>
        <v>6.5529999999999999</v>
      </c>
      <c r="G187" s="71">
        <f t="shared" si="88"/>
        <v>6.7899999999999974</v>
      </c>
      <c r="H187" s="71">
        <f t="shared" si="88"/>
        <v>7.4599999999999973</v>
      </c>
      <c r="I187" s="71">
        <f t="shared" si="88"/>
        <v>8.2909999999999968</v>
      </c>
      <c r="J187" s="131">
        <f t="shared" si="88"/>
        <v>8.8129999999999971</v>
      </c>
      <c r="K187" s="131">
        <f t="shared" si="88"/>
        <v>9.2679999999999971</v>
      </c>
      <c r="L187" s="131">
        <f t="shared" si="88"/>
        <v>9.7199999999999971</v>
      </c>
      <c r="M187" s="131">
        <f t="shared" si="88"/>
        <v>10.195999999999996</v>
      </c>
      <c r="N187" s="131">
        <f t="shared" si="88"/>
        <v>10.692999999999996</v>
      </c>
      <c r="O187" s="75">
        <f t="shared" ca="1" si="88"/>
        <v>11.118044676289218</v>
      </c>
      <c r="P187" s="75">
        <f t="shared" ca="1" si="88"/>
        <v>11.51829048547711</v>
      </c>
      <c r="Q187" s="75">
        <f t="shared" ca="1" si="88"/>
        <v>11.905323565512713</v>
      </c>
      <c r="R187" s="75">
        <f t="shared" ca="1" si="88"/>
        <v>12.289150486927204</v>
      </c>
      <c r="S187" s="75">
        <f t="shared" ca="1" si="88"/>
        <v>12.674593563717877</v>
      </c>
      <c r="T187" s="75">
        <f t="shared" ca="1" si="88"/>
        <v>13.062586877125076</v>
      </c>
      <c r="U187" s="75">
        <f t="shared" ca="1" si="88"/>
        <v>13.45582013604783</v>
      </c>
      <c r="V187" s="75">
        <f t="shared" ca="1" si="88"/>
        <v>13.852597487052909</v>
      </c>
      <c r="W187" s="75">
        <f t="shared" ca="1" si="88"/>
        <v>14.277222201641703</v>
      </c>
      <c r="X187" s="75">
        <f t="shared" ca="1" si="88"/>
        <v>14.731559975647624</v>
      </c>
    </row>
    <row r="188" spans="1:24" x14ac:dyDescent="0.2">
      <c r="A188" s="26"/>
      <c r="B188" s="42"/>
      <c r="C188" s="6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x14ac:dyDescent="0.2">
      <c r="A189" s="108" t="s">
        <v>664</v>
      </c>
      <c r="B189" s="41"/>
      <c r="C189" s="69"/>
      <c r="D189" s="69"/>
      <c r="E189" s="69"/>
      <c r="F189" s="69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x14ac:dyDescent="0.2">
      <c r="A190" s="27" t="s">
        <v>1024</v>
      </c>
      <c r="B190" s="231"/>
      <c r="C190" s="69"/>
      <c r="D190" s="71">
        <f>Data!C$113</f>
        <v>26.213000000000001</v>
      </c>
      <c r="E190" s="71">
        <f>Data!D$113</f>
        <v>28.637</v>
      </c>
      <c r="F190" s="71">
        <f>Data!E$113</f>
        <v>30.486999999999998</v>
      </c>
      <c r="G190" s="71">
        <f>Data!F$113</f>
        <v>29.986000000000001</v>
      </c>
      <c r="H190" s="71">
        <f>Data!G$113</f>
        <v>29.548999999999999</v>
      </c>
      <c r="I190" s="71">
        <f>Data!H$113</f>
        <v>29.376999999999999</v>
      </c>
      <c r="J190" s="131">
        <f ca="1">Data!I$113 +IF(OFFSET(Scenarios!$A$75,0,$C$1)="Yes",J$195,0) + IF($L$1="Yes",J$340,0)</f>
        <v>29.994</v>
      </c>
      <c r="K190" s="131">
        <f ca="1">Data!J$113 +IF(OFFSET(Scenarios!$A$75,0,$C$1)="Yes",K$195,0) + IF($L$1="Yes",K$340,0)</f>
        <v>30.757000000000001</v>
      </c>
      <c r="L190" s="131">
        <f ca="1">Data!K$113 +IF(OFFSET(Scenarios!$A$75,0,$C$1)="Yes",L$195,0) + IF($L$1="Yes",L$340,0)</f>
        <v>31.341999999999999</v>
      </c>
      <c r="M190" s="131">
        <f ca="1">Data!L$113 +IF(OFFSET(Scenarios!$A$75,0,$C$1)="Yes",M$195,0) + IF($L$1="Yes",M$340,0)</f>
        <v>31.231999999999999</v>
      </c>
      <c r="N190" s="131">
        <f ca="1">Data!M$113 +IF(OFFSET(Scenarios!$A$75,0,$C$1)="Yes",N$195,0) + IF($L$1="Yes",N$340,0)</f>
        <v>31.123999999999999</v>
      </c>
      <c r="O190" s="42">
        <f ca="1">N$190 +(O$50-N$50)-(O$111-N$111) +IF(OFFSET(Scenarios!$A$75,0,$C$1)="Yes",(O$195-N$195),0)</f>
        <v>31.187306513687208</v>
      </c>
      <c r="P190" s="42">
        <f ca="1">O$190 +(P$50-O$50)-(P$111-O$111) +IF(OFFSET(Scenarios!$A$75,0,$C$1)="Yes",(P$195-O$195),0)</f>
        <v>31.257193880114002</v>
      </c>
      <c r="Q190" s="42">
        <f ca="1">P$190 +(Q$50-P$50)-(Q$111-P$111) +IF(OFFSET(Scenarios!$A$75,0,$C$1)="Yes",(Q$195-P$195),0)</f>
        <v>31.332090089549347</v>
      </c>
      <c r="R190" s="42">
        <f ca="1">Q$190 +(R$50-Q$50)-(R$111-Q$111) +IF(OFFSET(Scenarios!$A$75,0,$C$1)="Yes",(R$195-Q$195),0)</f>
        <v>31.40958016697811</v>
      </c>
      <c r="S190" s="42">
        <f ca="1">R$190 +(S$50-R$50)-(S$111-R$111) +IF(OFFSET(Scenarios!$A$75,0,$C$1)="Yes",(S$195-R$195),0)</f>
        <v>31.491233359546062</v>
      </c>
      <c r="T190" s="42">
        <f ca="1">S$190 +(T$50-S$50)-(T$111-S$111) +IF(OFFSET(Scenarios!$A$75,0,$C$1)="Yes",(T$195-S$195),0)</f>
        <v>31.576511437843472</v>
      </c>
      <c r="U190" s="42">
        <f ca="1">T$190 +(U$50-T$50)-(U$111-T$111) +IF(OFFSET(Scenarios!$A$75,0,$C$1)="Yes",(U$195-T$195),0)</f>
        <v>31.663887115372635</v>
      </c>
      <c r="V190" s="42">
        <f ca="1">U$190 +(V$50-U$50)-(V$111-U$111) +IF(OFFSET(Scenarios!$A$75,0,$C$1)="Yes",(V$195-U$195),0)</f>
        <v>31.753575862559991</v>
      </c>
      <c r="W190" s="42">
        <f ca="1">V$190 +(W$50-V$50)-(W$111-V$111) +IF(OFFSET(Scenarios!$A$75,0,$C$1)="Yes",(W$195-V$195),0)</f>
        <v>31.846060790941507</v>
      </c>
      <c r="X190" s="42">
        <f ca="1">W$190 +(X$50-W$50)-(X$111-W$111) +IF(OFFSET(Scenarios!$A$75,0,$C$1)="Yes",(X$195-W$195),0)</f>
        <v>31.941154098581585</v>
      </c>
    </row>
    <row r="191" spans="1:24" x14ac:dyDescent="0.2">
      <c r="A191" s="161" t="s">
        <v>396</v>
      </c>
      <c r="B191" s="69"/>
      <c r="C191" s="69"/>
      <c r="D191" s="176">
        <f>D$192-D$190</f>
        <v>69.384999999999991</v>
      </c>
      <c r="E191" s="176">
        <f t="shared" ref="E191:N191" si="89">E$192-E$190</f>
        <v>74.691999999999993</v>
      </c>
      <c r="F191" s="176">
        <f t="shared" si="89"/>
        <v>79.64800000000001</v>
      </c>
      <c r="G191" s="176">
        <f t="shared" si="89"/>
        <v>83.343999999999994</v>
      </c>
      <c r="H191" s="176">
        <f t="shared" si="89"/>
        <v>85.305000000000007</v>
      </c>
      <c r="I191" s="176">
        <f t="shared" si="89"/>
        <v>79.207000000000008</v>
      </c>
      <c r="J191" s="130">
        <f t="shared" ca="1" si="89"/>
        <v>81.724999999999994</v>
      </c>
      <c r="K191" s="130">
        <f t="shared" ca="1" si="89"/>
        <v>83.934999999999988</v>
      </c>
      <c r="L191" s="130">
        <f t="shared" ca="1" si="89"/>
        <v>85.301000000000002</v>
      </c>
      <c r="M191" s="130">
        <f t="shared" ca="1" si="89"/>
        <v>87.268000000000001</v>
      </c>
      <c r="N191" s="130">
        <f t="shared" ca="1" si="89"/>
        <v>89.350000000000009</v>
      </c>
      <c r="O191" s="81">
        <f t="shared" ref="O191:X191" ca="1" si="90">SUM(N$191,(O$29-O$34)-(N$29-N$34),(O$30-O$35)-(N$30-N$35),(O$15-O$24),-SUM(O$145-O$144,O$147-O$146,O$157-O$154,O$177-O$176,O$202-O$201)+SUM(N$145-N$144,N$147-N$146,N$157-N$154,N$177-N$176,N$202-N$201))</f>
        <v>93.98963964069651</v>
      </c>
      <c r="P191" s="81">
        <f t="shared" ca="1" si="90"/>
        <v>98.90497807240024</v>
      </c>
      <c r="Q191" s="81">
        <f t="shared" ca="1" si="90"/>
        <v>104.27132006353766</v>
      </c>
      <c r="R191" s="81">
        <f t="shared" ca="1" si="90"/>
        <v>109.99909644619962</v>
      </c>
      <c r="S191" s="81">
        <f t="shared" ca="1" si="90"/>
        <v>116.21697950908239</v>
      </c>
      <c r="T191" s="81">
        <f t="shared" ca="1" si="90"/>
        <v>122.89496091320618</v>
      </c>
      <c r="U191" s="81">
        <f t="shared" ca="1" si="90"/>
        <v>129.97540687851676</v>
      </c>
      <c r="V191" s="81">
        <f t="shared" ca="1" si="90"/>
        <v>137.47132173048519</v>
      </c>
      <c r="W191" s="81">
        <f t="shared" ca="1" si="90"/>
        <v>145.40326008011607</v>
      </c>
      <c r="X191" s="81">
        <f t="shared" ca="1" si="90"/>
        <v>153.77138613378779</v>
      </c>
    </row>
    <row r="192" spans="1:24" x14ac:dyDescent="0.2">
      <c r="A192" s="27" t="s">
        <v>1025</v>
      </c>
      <c r="B192" s="231"/>
      <c r="C192" s="69"/>
      <c r="D192" s="71">
        <f>Data!C$65</f>
        <v>95.597999999999999</v>
      </c>
      <c r="E192" s="71">
        <f>Data!D$65</f>
        <v>103.32899999999999</v>
      </c>
      <c r="F192" s="71">
        <f>Data!E$65</f>
        <v>110.13500000000001</v>
      </c>
      <c r="G192" s="71">
        <f>Data!F$65</f>
        <v>113.33</v>
      </c>
      <c r="H192" s="71">
        <f>Data!G$65</f>
        <v>114.854</v>
      </c>
      <c r="I192" s="71">
        <f>Data!H$65</f>
        <v>108.584</v>
      </c>
      <c r="J192" s="131">
        <f ca="1">Data!I$65 +IF(OFFSET(Scenarios!$A$75,0,$C$1)="Yes",J$195,0) + IF($L$1="Yes",J$340,0)</f>
        <v>111.71899999999999</v>
      </c>
      <c r="K192" s="131">
        <f ca="1">Data!J$65 +IF(OFFSET(Scenarios!$A$75,0,$C$1)="Yes",K$195,0) + IF($L$1="Yes",K$340,0)</f>
        <v>114.69199999999999</v>
      </c>
      <c r="L192" s="131">
        <f ca="1">Data!K$65 +IF(OFFSET(Scenarios!$A$75,0,$C$1)="Yes",L$195,0) + IF($L$1="Yes",L$340,0)</f>
        <v>116.643</v>
      </c>
      <c r="M192" s="131">
        <f ca="1">Data!L$65 +IF(OFFSET(Scenarios!$A$75,0,$C$1)="Yes",M$195,0) + IF($L$1="Yes",M$340,0)</f>
        <v>118.5</v>
      </c>
      <c r="N192" s="131">
        <f ca="1">Data!M$65 +IF(OFFSET(Scenarios!$A$75,0,$C$1)="Yes",N$195,0) + IF($L$1="Yes",N$340,0)</f>
        <v>120.474</v>
      </c>
      <c r="O192" s="75">
        <f t="shared" ref="O192:X192" ca="1" si="91">SUM(O$190,O$191)</f>
        <v>125.17694615438371</v>
      </c>
      <c r="P192" s="75">
        <f t="shared" ca="1" si="91"/>
        <v>130.16217195251426</v>
      </c>
      <c r="Q192" s="75">
        <f t="shared" ca="1" si="91"/>
        <v>135.603410153087</v>
      </c>
      <c r="R192" s="75">
        <f t="shared" ca="1" si="91"/>
        <v>141.40867661317773</v>
      </c>
      <c r="S192" s="75">
        <f t="shared" ca="1" si="91"/>
        <v>147.70821286862846</v>
      </c>
      <c r="T192" s="75">
        <f t="shared" ca="1" si="91"/>
        <v>154.47147235104964</v>
      </c>
      <c r="U192" s="75">
        <f t="shared" ca="1" si="91"/>
        <v>161.6392939938894</v>
      </c>
      <c r="V192" s="75">
        <f t="shared" ca="1" si="91"/>
        <v>169.22489759304517</v>
      </c>
      <c r="W192" s="75">
        <f t="shared" ca="1" si="91"/>
        <v>177.24932087105759</v>
      </c>
      <c r="X192" s="75">
        <f t="shared" ca="1" si="91"/>
        <v>185.71254023236938</v>
      </c>
    </row>
    <row r="193" spans="1:24" x14ac:dyDescent="0.2">
      <c r="A193" s="27"/>
      <c r="B193" s="41"/>
      <c r="C193" s="69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 spans="1:24" x14ac:dyDescent="0.2">
      <c r="A194" s="108" t="s">
        <v>1022</v>
      </c>
      <c r="B194" s="77"/>
      <c r="C194" s="69"/>
      <c r="D194" s="71">
        <f t="shared" ref="D194:I194" si="92">D$195-C$195</f>
        <v>0</v>
      </c>
      <c r="E194" s="71">
        <f t="shared" si="92"/>
        <v>0</v>
      </c>
      <c r="F194" s="71">
        <f t="shared" si="92"/>
        <v>0</v>
      </c>
      <c r="G194" s="71">
        <f t="shared" si="92"/>
        <v>0</v>
      </c>
      <c r="H194" s="71">
        <f t="shared" si="92"/>
        <v>0</v>
      </c>
      <c r="I194" s="71">
        <f t="shared" si="92"/>
        <v>0</v>
      </c>
      <c r="J194" s="131">
        <f ca="1">IF(OFFSET(Scenarios!$A$75,0,$C$1)="Yes",0,J$195-I$195)</f>
        <v>-0.22100000000000003</v>
      </c>
      <c r="K194" s="131">
        <f ca="1">IF(OFFSET(Scenarios!$A$75,0,$C$1)="Yes",0,K$195-J$195)</f>
        <v>0.62600000000000011</v>
      </c>
      <c r="L194" s="131">
        <f ca="1">IF(OFFSET(Scenarios!$A$75,0,$C$1)="Yes",0,L$195-K$195)</f>
        <v>0.72099999999999986</v>
      </c>
      <c r="M194" s="131">
        <f ca="1">IF(OFFSET(Scenarios!$A$75,0,$C$1)="Yes",0,M$195-L$195)</f>
        <v>0.75</v>
      </c>
      <c r="N194" s="131">
        <f ca="1">IF(OFFSET(Scenarios!$A$75,0,$C$1)="Yes",0,N$195-M$195)</f>
        <v>0.85999999999999988</v>
      </c>
      <c r="O194" s="279">
        <f ca="1">IF(OFFSET(Scenarios!$A$75,0,$C$1)="Yes",0,IF(OFFSET(Scenarios!$A$32,0,$C$1)&gt;=O$4,Tracks!S$111/1000,IF(OFFSET(Scenarios!$A$32,0,$C$1)+1=O$4,OFFSET(Scenarios!$A$31,0,$C$1)/5*(1-(1+OFFSET(Scenarios!$A$36,0,$C$1))^5)/-OFFSET(Scenarios!$A$36,0,$C$1),N$194*(1+OFFSET(Scenarios!$A$36,0,$C$1)))))</f>
        <v>0.95699999999999996</v>
      </c>
      <c r="P194" s="279">
        <f ca="1">IF(OFFSET(Scenarios!$A$75,0,$C$1)="Yes",0,IF(OFFSET(Scenarios!$A$32,0,$C$1)&gt;=P$4,Tracks!T$111/1000,IF(OFFSET(Scenarios!$A$32,0,$C$1)+1=P$4,OFFSET(Scenarios!$A$31,0,$C$1)/5*(1-(1+OFFSET(Scenarios!$A$36,0,$C$1))^5)/-OFFSET(Scenarios!$A$36,0,$C$1),O$194*(1+OFFSET(Scenarios!$A$36,0,$C$1)))))</f>
        <v>0.748</v>
      </c>
      <c r="Q194" s="279">
        <f ca="1">IF(OFFSET(Scenarios!$A$75,0,$C$1)="Yes",0,IF(OFFSET(Scenarios!$A$32,0,$C$1)&gt;=Q$4,Tracks!U$111/1000,IF(OFFSET(Scenarios!$A$32,0,$C$1)+1=Q$4,OFFSET(Scenarios!$A$31,0,$C$1)/5*(1-(1+OFFSET(Scenarios!$A$36,0,$C$1))^5)/-OFFSET(Scenarios!$A$36,0,$C$1),P$194*(1+OFFSET(Scenarios!$A$36,0,$C$1)))))</f>
        <v>0.78300000000000003</v>
      </c>
      <c r="R194" s="279">
        <f ca="1">IF(OFFSET(Scenarios!$A$75,0,$C$1)="Yes",0,IF(OFFSET(Scenarios!$A$32,0,$C$1)&gt;=R$4,Tracks!V$111/1000,IF(OFFSET(Scenarios!$A$32,0,$C$1)+1=R$4,OFFSET(Scenarios!$A$31,0,$C$1)/5*(1-(1+OFFSET(Scenarios!$A$36,0,$C$1))^5)/-OFFSET(Scenarios!$A$36,0,$C$1),Q$194*(1+OFFSET(Scenarios!$A$36,0,$C$1)))))</f>
        <v>0.97</v>
      </c>
      <c r="S194" s="279">
        <f ca="1">IF(OFFSET(Scenarios!$A$75,0,$C$1)="Yes",0,IF(OFFSET(Scenarios!$A$32,0,$C$1)&gt;=S$4,Tracks!W$111/1000,IF(OFFSET(Scenarios!$A$32,0,$C$1)+1=S$4,OFFSET(Scenarios!$A$31,0,$C$1)/5*(1-(1+OFFSET(Scenarios!$A$36,0,$C$1))^5)/-OFFSET(Scenarios!$A$36,0,$C$1),R$194*(1+OFFSET(Scenarios!$A$36,0,$C$1)))))</f>
        <v>0.97419631795200023</v>
      </c>
      <c r="T194" s="279">
        <f ca="1">IF(OFFSET(Scenarios!$A$75,0,$C$1)="Yes",0,IF(OFFSET(Scenarios!$A$32,0,$C$1)&gt;=T$4,Tracks!X$111/1000,IF(OFFSET(Scenarios!$A$32,0,$C$1)+1=T$4,OFFSET(Scenarios!$A$31,0,$C$1)/5*(1-(1+OFFSET(Scenarios!$A$36,0,$C$1))^5)/-OFFSET(Scenarios!$A$36,0,$C$1),S$194*(1+OFFSET(Scenarios!$A$36,0,$C$1)))))</f>
        <v>0.99368024431104029</v>
      </c>
      <c r="U194" s="279">
        <f ca="1">IF(OFFSET(Scenarios!$A$75,0,$C$1)="Yes",0,IF(OFFSET(Scenarios!$A$32,0,$C$1)&gt;=U$4,Tracks!Y$111/1000,IF(OFFSET(Scenarios!$A$32,0,$C$1)+1=U$4,OFFSET(Scenarios!$A$31,0,$C$1)/5*(1-(1+OFFSET(Scenarios!$A$36,0,$C$1))^5)/-OFFSET(Scenarios!$A$36,0,$C$1),T$194*(1+OFFSET(Scenarios!$A$36,0,$C$1)))))</f>
        <v>1.0135538491972611</v>
      </c>
      <c r="V194" s="279">
        <f ca="1">IF(OFFSET(Scenarios!$A$75,0,$C$1)="Yes",0,IF(OFFSET(Scenarios!$A$32,0,$C$1)&gt;=V$4,Tracks!Z$111/1000,IF(OFFSET(Scenarios!$A$32,0,$C$1)+1=V$4,OFFSET(Scenarios!$A$31,0,$C$1)/5*(1-(1+OFFSET(Scenarios!$A$36,0,$C$1))^5)/-OFFSET(Scenarios!$A$36,0,$C$1),U$194*(1+OFFSET(Scenarios!$A$36,0,$C$1)))))</f>
        <v>1.0338249261812062</v>
      </c>
      <c r="W194" s="279">
        <f ca="1">IF(OFFSET(Scenarios!$A$75,0,$C$1)="Yes",0,IF(OFFSET(Scenarios!$A$32,0,$C$1)&gt;=W$4,Tracks!AA$111/1000,IF(OFFSET(Scenarios!$A$32,0,$C$1)+1=W$4,OFFSET(Scenarios!$A$31,0,$C$1)/5*(1-(1+OFFSET(Scenarios!$A$36,0,$C$1))^5)/-OFFSET(Scenarios!$A$36,0,$C$1),V$194*(1+OFFSET(Scenarios!$A$36,0,$C$1)))))</f>
        <v>1.0545014247048303</v>
      </c>
      <c r="X194" s="279">
        <f ca="1">IF(OFFSET(Scenarios!$A$75,0,$C$1)="Yes",0,IF(OFFSET(Scenarios!$A$32,0,$C$1)&gt;=X$4,Tracks!AB$111/1000,IF(OFFSET(Scenarios!$A$32,0,$C$1)+1=X$4,OFFSET(Scenarios!$A$31,0,$C$1)/5*(1-(1+OFFSET(Scenarios!$A$36,0,$C$1))^5)/-OFFSET(Scenarios!$A$36,0,$C$1),W$194*(1+OFFSET(Scenarios!$A$36,0,$C$1)))))</f>
        <v>1.075591453198927</v>
      </c>
    </row>
    <row r="195" spans="1:24" x14ac:dyDescent="0.2">
      <c r="A195" s="225" t="s">
        <v>1023</v>
      </c>
      <c r="B195" s="231"/>
      <c r="C195" s="69"/>
      <c r="D195" s="69">
        <f>SUM(Data!C$68:C$69)</f>
        <v>0</v>
      </c>
      <c r="E195" s="69">
        <f>SUM(Data!D$68:D$69)</f>
        <v>0</v>
      </c>
      <c r="F195" s="69">
        <f>SUM(Data!E$68:E$69)</f>
        <v>0</v>
      </c>
      <c r="G195" s="69">
        <f>SUM(Data!F$68:F$69)</f>
        <v>0</v>
      </c>
      <c r="H195" s="69">
        <f>SUM(Data!G$68:G$69)</f>
        <v>0</v>
      </c>
      <c r="I195" s="69">
        <f>SUM(Data!H$68:H$69)</f>
        <v>0</v>
      </c>
      <c r="J195" s="105">
        <f>SUM(Data!I$68:I$69) + IF($I$1="Yes",J$307,0)</f>
        <v>-0.22100000000000003</v>
      </c>
      <c r="K195" s="105">
        <f>SUM(Data!J$68:J$69) + IF($I$1="Yes",K$307,0)</f>
        <v>0.40500000000000003</v>
      </c>
      <c r="L195" s="105">
        <f>SUM(Data!K$68:K$69) + IF($I$1="Yes",L$307,0)</f>
        <v>1.1259999999999999</v>
      </c>
      <c r="M195" s="105">
        <f>SUM(Data!L$68:L$69) + IF($I$1="Yes",M$307,0)</f>
        <v>1.8759999999999999</v>
      </c>
      <c r="N195" s="105">
        <f>SUM(Data!M$68:M$69) + IF($I$1="Yes",N$307,0)</f>
        <v>2.7359999999999998</v>
      </c>
      <c r="O195" s="100">
        <f ca="1">N$195+IF(OFFSET(Scenarios!$A$32,0,$C$1)&gt;=O$4,Tracks!S$111/1000,IF(OFFSET(Scenarios!$A$32,0,$C$1)+1=O$4,OFFSET(Scenarios!$A$31,0,$C$1)/5*(1-(1+OFFSET(Scenarios!$A$36,0,$C$1))^5)/-OFFSET(Scenarios!$A$36,0,$C$1),(N$195-M$195)*(1+OFFSET(Scenarios!$A$36,0,$C$1))))</f>
        <v>3.6929999999999996</v>
      </c>
      <c r="P195" s="100">
        <f ca="1">O$195+IF(OFFSET(Scenarios!$A$32,0,$C$1)&gt;=P$4,Tracks!T$111/1000,IF(OFFSET(Scenarios!$A$32,0,$C$1)+1=P$4,OFFSET(Scenarios!$A$31,0,$C$1)/5*(1-(1+OFFSET(Scenarios!$A$36,0,$C$1))^5)/-OFFSET(Scenarios!$A$36,0,$C$1),(O$195-N$195)*(1+OFFSET(Scenarios!$A$36,0,$C$1))))</f>
        <v>4.4409999999999998</v>
      </c>
      <c r="Q195" s="100">
        <f ca="1">P$195+IF(OFFSET(Scenarios!$A$32,0,$C$1)&gt;=Q$4,Tracks!U$111/1000,IF(OFFSET(Scenarios!$A$32,0,$C$1)+1=Q$4,OFFSET(Scenarios!$A$31,0,$C$1)/5*(1-(1+OFFSET(Scenarios!$A$36,0,$C$1))^5)/-OFFSET(Scenarios!$A$36,0,$C$1),(P$195-O$195)*(1+OFFSET(Scenarios!$A$36,0,$C$1))))</f>
        <v>5.2240000000000002</v>
      </c>
      <c r="R195" s="100">
        <f ca="1">Q$195+IF(OFFSET(Scenarios!$A$32,0,$C$1)&gt;=R$4,Tracks!V$111/1000,IF(OFFSET(Scenarios!$A$32,0,$C$1)+1=R$4,OFFSET(Scenarios!$A$31,0,$C$1)/5*(1-(1+OFFSET(Scenarios!$A$36,0,$C$1))^5)/-OFFSET(Scenarios!$A$36,0,$C$1),(Q$195-P$195)*(1+OFFSET(Scenarios!$A$36,0,$C$1))))</f>
        <v>6.194</v>
      </c>
      <c r="S195" s="100">
        <f ca="1">R$195+IF(OFFSET(Scenarios!$A$32,0,$C$1)&gt;=S$4,Tracks!W$111/1000,IF(OFFSET(Scenarios!$A$32,0,$C$1)+1=S$4,OFFSET(Scenarios!$A$31,0,$C$1)/5*(1-(1+OFFSET(Scenarios!$A$36,0,$C$1))^5)/-OFFSET(Scenarios!$A$36,0,$C$1),(R$195-Q$195)*(1+OFFSET(Scenarios!$A$36,0,$C$1))))</f>
        <v>7.1681963179519999</v>
      </c>
      <c r="T195" s="100">
        <f ca="1">S$195+IF(OFFSET(Scenarios!$A$32,0,$C$1)&gt;=T$4,Tracks!X$111/1000,IF(OFFSET(Scenarios!$A$32,0,$C$1)+1=T$4,OFFSET(Scenarios!$A$31,0,$C$1)/5*(1-(1+OFFSET(Scenarios!$A$36,0,$C$1))^5)/-OFFSET(Scenarios!$A$36,0,$C$1),(S$195-R$195)*(1+OFFSET(Scenarios!$A$36,0,$C$1))))</f>
        <v>8.1618765622630391</v>
      </c>
      <c r="U195" s="100">
        <f ca="1">T$195+IF(OFFSET(Scenarios!$A$32,0,$C$1)&gt;=U$4,Tracks!Y$111/1000,IF(OFFSET(Scenarios!$A$32,0,$C$1)+1=U$4,OFFSET(Scenarios!$A$31,0,$C$1)/5*(1-(1+OFFSET(Scenarios!$A$36,0,$C$1))^5)/-OFFSET(Scenarios!$A$36,0,$C$1),(T$195-S$195)*(1+OFFSET(Scenarios!$A$36,0,$C$1))))</f>
        <v>9.1754304114602991</v>
      </c>
      <c r="V195" s="100">
        <f ca="1">U$195+IF(OFFSET(Scenarios!$A$32,0,$C$1)&gt;=V$4,Tracks!Z$111/1000,IF(OFFSET(Scenarios!$A$32,0,$C$1)+1=V$4,OFFSET(Scenarios!$A$31,0,$C$1)/5*(1-(1+OFFSET(Scenarios!$A$36,0,$C$1))^5)/-OFFSET(Scenarios!$A$36,0,$C$1),(U$195-T$195)*(1+OFFSET(Scenarios!$A$36,0,$C$1))))</f>
        <v>10.209255337641505</v>
      </c>
      <c r="W195" s="100">
        <f ca="1">V$195+IF(OFFSET(Scenarios!$A$32,0,$C$1)&gt;=W$4,Tracks!AA$111/1000,IF(OFFSET(Scenarios!$A$32,0,$C$1)+1=W$4,OFFSET(Scenarios!$A$31,0,$C$1)/5*(1-(1+OFFSET(Scenarios!$A$36,0,$C$1))^5)/-OFFSET(Scenarios!$A$36,0,$C$1),(V$195-U$195)*(1+OFFSET(Scenarios!$A$36,0,$C$1))))</f>
        <v>11.263756762346334</v>
      </c>
      <c r="X195" s="100">
        <f ca="1">W$195+IF(OFFSET(Scenarios!$A$32,0,$C$1)&gt;=X$4,Tracks!AB$111/1000,IF(OFFSET(Scenarios!$A$32,0,$C$1)+1=X$4,OFFSET(Scenarios!$A$31,0,$C$1)/5*(1-(1+OFFSET(Scenarios!$A$36,0,$C$1))^5)/-OFFSET(Scenarios!$A$36,0,$C$1),(W$195-V$195)*(1+OFFSET(Scenarios!$A$36,0,$C$1))))</f>
        <v>12.339348215545261</v>
      </c>
    </row>
    <row r="196" spans="1:24" x14ac:dyDescent="0.2">
      <c r="A196" s="27"/>
      <c r="B196" s="77"/>
      <c r="C196" s="69"/>
      <c r="D196" s="101"/>
      <c r="E196" s="101"/>
      <c r="F196" s="101"/>
      <c r="G196" s="106"/>
      <c r="H196" s="106"/>
      <c r="I196" s="106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</row>
    <row r="197" spans="1:24" x14ac:dyDescent="0.2">
      <c r="A197" s="108" t="s">
        <v>665</v>
      </c>
      <c r="B197" s="77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 s="160" t="s">
        <v>312</v>
      </c>
      <c r="B198" s="231"/>
      <c r="C198" s="69"/>
      <c r="D198" s="69">
        <f>Data!C$114</f>
        <v>25.048999999999999</v>
      </c>
      <c r="E198" s="69">
        <f>Data!D$114</f>
        <v>25.696000000000002</v>
      </c>
      <c r="F198" s="69">
        <f>Data!E$114</f>
        <v>27.536000000000001</v>
      </c>
      <c r="G198" s="69">
        <f>Data!F$114</f>
        <v>28.663</v>
      </c>
      <c r="H198" s="69">
        <f>Data!G$114</f>
        <v>30.093</v>
      </c>
      <c r="I198" s="69">
        <f>Data!H$114</f>
        <v>31.308</v>
      </c>
      <c r="J198" s="105">
        <f>Data!I$114</f>
        <v>32.747</v>
      </c>
      <c r="K198" s="105">
        <f>Data!J$114</f>
        <v>33.755000000000003</v>
      </c>
      <c r="L198" s="105">
        <f>Data!K$114</f>
        <v>34.94</v>
      </c>
      <c r="M198" s="105">
        <f>Data!L$114</f>
        <v>36.347999999999999</v>
      </c>
      <c r="N198" s="105">
        <f>Data!M$114</f>
        <v>37.887</v>
      </c>
      <c r="O198" s="73">
        <f t="shared" ref="O198:X198" ca="1" si="93">N$198*(1+O$236)</f>
        <v>38.650494987341766</v>
      </c>
      <c r="P198" s="73">
        <f t="shared" ca="1" si="93"/>
        <v>39.423504887088605</v>
      </c>
      <c r="Q198" s="73">
        <f t="shared" ca="1" si="93"/>
        <v>40.211974984830377</v>
      </c>
      <c r="R198" s="73">
        <f t="shared" ca="1" si="93"/>
        <v>41.016214484526984</v>
      </c>
      <c r="S198" s="73">
        <f t="shared" ca="1" si="93"/>
        <v>41.836538774217523</v>
      </c>
      <c r="T198" s="73">
        <f t="shared" ca="1" si="93"/>
        <v>42.673269549701871</v>
      </c>
      <c r="U198" s="73">
        <f t="shared" ca="1" si="93"/>
        <v>43.52673494069591</v>
      </c>
      <c r="V198" s="73">
        <f t="shared" ca="1" si="93"/>
        <v>44.39726963950983</v>
      </c>
      <c r="W198" s="73">
        <f t="shared" ca="1" si="93"/>
        <v>45.28521503230003</v>
      </c>
      <c r="X198" s="73">
        <f t="shared" ca="1" si="93"/>
        <v>46.190919332946031</v>
      </c>
    </row>
    <row r="199" spans="1:24" x14ac:dyDescent="0.2">
      <c r="A199" s="160" t="s">
        <v>551</v>
      </c>
      <c r="B199" s="231"/>
      <c r="C199" s="69"/>
      <c r="D199" s="69">
        <f>Data!C$115</f>
        <v>0.80400000000000005</v>
      </c>
      <c r="E199" s="69">
        <f>Data!D$115</f>
        <v>0.84499999999999997</v>
      </c>
      <c r="F199" s="69">
        <f>Data!E$115</f>
        <v>1.135</v>
      </c>
      <c r="G199" s="69">
        <f>Data!F$115</f>
        <v>1.1220000000000001</v>
      </c>
      <c r="H199" s="69">
        <f>Data!G$115</f>
        <v>1.157</v>
      </c>
      <c r="I199" s="69">
        <f>Data!H$115</f>
        <v>1.111</v>
      </c>
      <c r="J199" s="105">
        <f>Data!I$115</f>
        <v>1.1759999999999999</v>
      </c>
      <c r="K199" s="105">
        <f>Data!J$115</f>
        <v>1.2869999999999999</v>
      </c>
      <c r="L199" s="105">
        <f>Data!K$115</f>
        <v>1.3180000000000001</v>
      </c>
      <c r="M199" s="105">
        <f>Data!L$115</f>
        <v>1.288</v>
      </c>
      <c r="N199" s="105">
        <f>Data!M$115</f>
        <v>1.2569999999999999</v>
      </c>
      <c r="O199" s="73">
        <f t="shared" ref="O199:X199" ca="1" si="94">N$199*(1+O$236)</f>
        <v>1.2823309367088604</v>
      </c>
      <c r="P199" s="73">
        <f t="shared" ca="1" si="94"/>
        <v>1.3079775554430377</v>
      </c>
      <c r="Q199" s="73">
        <f t="shared" ca="1" si="94"/>
        <v>1.3341371065518985</v>
      </c>
      <c r="R199" s="73">
        <f t="shared" ca="1" si="94"/>
        <v>1.3608198486829366</v>
      </c>
      <c r="S199" s="73">
        <f t="shared" ca="1" si="94"/>
        <v>1.3880362456565953</v>
      </c>
      <c r="T199" s="73">
        <f t="shared" ca="1" si="94"/>
        <v>1.4157969705697273</v>
      </c>
      <c r="U199" s="73">
        <f t="shared" ca="1" si="94"/>
        <v>1.4441129099811219</v>
      </c>
      <c r="V199" s="73">
        <f t="shared" ca="1" si="94"/>
        <v>1.4729951681807443</v>
      </c>
      <c r="W199" s="73">
        <f t="shared" ca="1" si="94"/>
        <v>1.5024550715443592</v>
      </c>
      <c r="X199" s="73">
        <f t="shared" ca="1" si="94"/>
        <v>1.5325041729752464</v>
      </c>
    </row>
    <row r="200" spans="1:24" x14ac:dyDescent="0.2">
      <c r="A200" s="160" t="s">
        <v>877</v>
      </c>
      <c r="B200" s="231"/>
      <c r="C200" s="69"/>
      <c r="D200" s="176">
        <f>Data!C$116</f>
        <v>1.0620000000000001</v>
      </c>
      <c r="E200" s="176">
        <f>Data!D$116</f>
        <v>1.375</v>
      </c>
      <c r="F200" s="176">
        <f>Data!E$116</f>
        <v>1.429</v>
      </c>
      <c r="G200" s="176">
        <f>Data!F$116</f>
        <v>1.4630000000000001</v>
      </c>
      <c r="H200" s="176">
        <f>Data!G$116</f>
        <v>1.6910000000000001</v>
      </c>
      <c r="I200" s="176">
        <f>Data!H$116</f>
        <v>1.6319999999999999</v>
      </c>
      <c r="J200" s="130">
        <f>Data!I$116</f>
        <v>1.532</v>
      </c>
      <c r="K200" s="130">
        <f>Data!J$116</f>
        <v>1.66</v>
      </c>
      <c r="L200" s="130">
        <f>Data!K$116</f>
        <v>1.4339999999999999</v>
      </c>
      <c r="M200" s="130">
        <f>Data!L$116</f>
        <v>1.454</v>
      </c>
      <c r="N200" s="130">
        <f>Data!M$116</f>
        <v>1.456</v>
      </c>
      <c r="O200" s="81">
        <f t="shared" ref="O200:X200" ca="1" si="95">N$200*(1+O$236)</f>
        <v>1.4853411645569619</v>
      </c>
      <c r="P200" s="81">
        <f t="shared" ca="1" si="95"/>
        <v>1.5150479878481011</v>
      </c>
      <c r="Q200" s="81">
        <f t="shared" ca="1" si="95"/>
        <v>1.5453489476050633</v>
      </c>
      <c r="R200" s="81">
        <f t="shared" ca="1" si="95"/>
        <v>1.5762559265571645</v>
      </c>
      <c r="S200" s="81">
        <f t="shared" ca="1" si="95"/>
        <v>1.6077810450883079</v>
      </c>
      <c r="T200" s="81">
        <f t="shared" ca="1" si="95"/>
        <v>1.639936665990074</v>
      </c>
      <c r="U200" s="81">
        <f t="shared" ca="1" si="95"/>
        <v>1.6727353993098755</v>
      </c>
      <c r="V200" s="81">
        <f t="shared" ca="1" si="95"/>
        <v>1.706190107296073</v>
      </c>
      <c r="W200" s="81">
        <f t="shared" ca="1" si="95"/>
        <v>1.7403139094419946</v>
      </c>
      <c r="X200" s="81">
        <f t="shared" ca="1" si="95"/>
        <v>1.7751201876308345</v>
      </c>
    </row>
    <row r="201" spans="1:24" x14ac:dyDescent="0.2">
      <c r="A201" s="27" t="s">
        <v>397</v>
      </c>
      <c r="B201" s="77"/>
      <c r="C201" s="69"/>
      <c r="D201" s="71">
        <f t="shared" ref="D201:X201" si="96">SUM(D$198:D$200)</f>
        <v>26.914999999999999</v>
      </c>
      <c r="E201" s="71">
        <f t="shared" si="96"/>
        <v>27.916</v>
      </c>
      <c r="F201" s="71">
        <f t="shared" si="96"/>
        <v>30.1</v>
      </c>
      <c r="G201" s="71">
        <f t="shared" si="96"/>
        <v>31.248000000000001</v>
      </c>
      <c r="H201" s="71">
        <f t="shared" si="96"/>
        <v>32.941000000000003</v>
      </c>
      <c r="I201" s="71">
        <f t="shared" si="96"/>
        <v>34.050999999999995</v>
      </c>
      <c r="J201" s="131">
        <f t="shared" si="96"/>
        <v>35.454999999999998</v>
      </c>
      <c r="K201" s="131">
        <f t="shared" si="96"/>
        <v>36.701999999999998</v>
      </c>
      <c r="L201" s="131">
        <f t="shared" si="96"/>
        <v>37.691999999999993</v>
      </c>
      <c r="M201" s="131">
        <f t="shared" si="96"/>
        <v>39.089999999999996</v>
      </c>
      <c r="N201" s="131">
        <f t="shared" si="96"/>
        <v>40.6</v>
      </c>
      <c r="O201" s="75">
        <f t="shared" ca="1" si="96"/>
        <v>41.418167088607589</v>
      </c>
      <c r="P201" s="75">
        <f t="shared" ca="1" si="96"/>
        <v>42.246530430379742</v>
      </c>
      <c r="Q201" s="75">
        <f t="shared" ca="1" si="96"/>
        <v>43.09146103898734</v>
      </c>
      <c r="R201" s="75">
        <f t="shared" ca="1" si="96"/>
        <v>43.953290259767087</v>
      </c>
      <c r="S201" s="75">
        <f t="shared" ca="1" si="96"/>
        <v>44.832356064962426</v>
      </c>
      <c r="T201" s="75">
        <f t="shared" ca="1" si="96"/>
        <v>45.729003186261671</v>
      </c>
      <c r="U201" s="75">
        <f t="shared" ca="1" si="96"/>
        <v>46.643583249986911</v>
      </c>
      <c r="V201" s="75">
        <f t="shared" ca="1" si="96"/>
        <v>47.576454914986648</v>
      </c>
      <c r="W201" s="75">
        <f t="shared" ca="1" si="96"/>
        <v>48.527984013286385</v>
      </c>
      <c r="X201" s="75">
        <f t="shared" ca="1" si="96"/>
        <v>49.498543693552108</v>
      </c>
    </row>
    <row r="202" spans="1:24" x14ac:dyDescent="0.2">
      <c r="A202" s="27" t="s">
        <v>398</v>
      </c>
      <c r="B202" s="231"/>
      <c r="C202" s="69"/>
      <c r="D202" s="71">
        <f>SUM(Data!C$63:C$64,Data!C$66:C$67)</f>
        <v>11.030999999999999</v>
      </c>
      <c r="E202" s="71">
        <f>SUM(Data!D$63:D$64,Data!D$66:D$67)</f>
        <v>12.443</v>
      </c>
      <c r="F202" s="71">
        <f>SUM(Data!E$63:E$64,Data!E$66:E$67)</f>
        <v>13.657</v>
      </c>
      <c r="G202" s="71">
        <f>SUM(Data!F$63:F$64,Data!F$66:F$67)</f>
        <v>14.053999999999998</v>
      </c>
      <c r="H202" s="71">
        <f>SUM(Data!G$63:G$64,Data!G$66:G$67)</f>
        <v>14.999000000000001</v>
      </c>
      <c r="I202" s="71">
        <f>SUM(Data!H$63:H$64,Data!H$66:H$67)</f>
        <v>15.556000000000001</v>
      </c>
      <c r="J202" s="131">
        <f>SUM(Data!I$63:I$64,Data!I$66:I$67)</f>
        <v>15.644</v>
      </c>
      <c r="K202" s="131">
        <f>SUM(Data!J$63:J$64,Data!J$66:J$67)</f>
        <v>16.042000000000002</v>
      </c>
      <c r="L202" s="131">
        <f>SUM(Data!K$63:K$64,Data!K$66:K$67)</f>
        <v>15.949000000000002</v>
      </c>
      <c r="M202" s="131">
        <f>SUM(Data!L$63:L$64,Data!L$66:L$67)</f>
        <v>16.056999999999999</v>
      </c>
      <c r="N202" s="131">
        <f>SUM(Data!M$63:M$64,Data!M$66:M$67)</f>
        <v>16.106999999999999</v>
      </c>
      <c r="O202" s="75">
        <f t="shared" ref="O202:X202" ca="1" si="97">N$202*(1+O$236)</f>
        <v>16.43158663291139</v>
      </c>
      <c r="P202" s="75">
        <f t="shared" ca="1" si="97"/>
        <v>16.760218365569617</v>
      </c>
      <c r="Q202" s="75">
        <f t="shared" ca="1" si="97"/>
        <v>17.095422732881008</v>
      </c>
      <c r="R202" s="75">
        <f t="shared" ca="1" si="97"/>
        <v>17.437331187538629</v>
      </c>
      <c r="S202" s="75">
        <f t="shared" ca="1" si="97"/>
        <v>17.786077811289402</v>
      </c>
      <c r="T202" s="75">
        <f t="shared" ca="1" si="97"/>
        <v>18.141799367515191</v>
      </c>
      <c r="U202" s="75">
        <f t="shared" ca="1" si="97"/>
        <v>18.504635354865496</v>
      </c>
      <c r="V202" s="75">
        <f t="shared" ca="1" si="97"/>
        <v>18.874728061962806</v>
      </c>
      <c r="W202" s="75">
        <f t="shared" ca="1" si="97"/>
        <v>19.252222623202062</v>
      </c>
      <c r="X202" s="75">
        <f t="shared" ca="1" si="97"/>
        <v>19.637267075666102</v>
      </c>
    </row>
    <row r="203" spans="1:24" x14ac:dyDescent="0.2">
      <c r="A203" s="225" t="s">
        <v>696</v>
      </c>
      <c r="B203" s="231"/>
      <c r="C203" s="69"/>
      <c r="D203" s="284">
        <f>SUM(D$144,D$154,D$176)-Data!C$88</f>
        <v>0.22300000000000608</v>
      </c>
      <c r="E203" s="284">
        <f>SUM(E$144,E$154,E$176)-Data!D$88</f>
        <v>-0.10000000000000142</v>
      </c>
      <c r="F203" s="284">
        <f>SUM(F$144,F$154,F$176)-Data!E$88</f>
        <v>-0.39900000000000091</v>
      </c>
      <c r="G203" s="284">
        <f>SUM(G$144,G$154,G$176)-Data!F$88</f>
        <v>-4.0000000000048885E-3</v>
      </c>
      <c r="H203" s="284">
        <f>SUM(H$144,H$154,H$176)-Data!G$88</f>
        <v>-0.30100000000000193</v>
      </c>
      <c r="I203" s="284">
        <f>SUM(I$144,I$154,I$176)-Data!H$88</f>
        <v>-9.9999999999909051E-3</v>
      </c>
      <c r="J203" s="156">
        <f>SUM(J$144,J$154,J$176)-Data!I$88- IF($I$1="Yes",J$305,0)- IF($L$1="Yes",J$339,0)</f>
        <v>-2.0000000000024443E-3</v>
      </c>
      <c r="K203" s="156">
        <f>SUM(K$144,K$154,K$176)-Data!J$88- IF($I$1="Yes",K$305,0)- IF($L$1="Yes",K$339,0)</f>
        <v>-9.9999999999980105E-3</v>
      </c>
      <c r="L203" s="156">
        <f>SUM(L$144,L$154,L$176)-Data!K$88- IF($I$1="Yes",L$305,0)- IF($L$1="Yes",L$339,0)</f>
        <v>-2.4000000000000909E-2</v>
      </c>
      <c r="M203" s="156">
        <f>SUM(M$144,M$154,M$176)-Data!L$88- IF($I$1="Yes",M$305,0)- IF($L$1="Yes",M$339,0)</f>
        <v>-4.9000000000006594E-2</v>
      </c>
      <c r="N203" s="156">
        <f>SUM(N$144,N$154,N$176)-Data!M$88- IF($I$1="Yes",N$305,0)- IF($L$1="Yes",N$339,0)</f>
        <v>-8.2000000000007844E-2</v>
      </c>
      <c r="O203" s="235">
        <f>IF(O$2="Proj Yr1",0,N$203)</f>
        <v>0</v>
      </c>
      <c r="P203" s="235">
        <f t="shared" ref="P203:X203" si="98">IF(P$2="Proj Yr1",0,O$203)</f>
        <v>0</v>
      </c>
      <c r="Q203" s="235">
        <f t="shared" si="98"/>
        <v>0</v>
      </c>
      <c r="R203" s="235">
        <f t="shared" si="98"/>
        <v>0</v>
      </c>
      <c r="S203" s="235">
        <f t="shared" si="98"/>
        <v>0</v>
      </c>
      <c r="T203" s="235">
        <f t="shared" si="98"/>
        <v>0</v>
      </c>
      <c r="U203" s="235">
        <f t="shared" si="98"/>
        <v>0</v>
      </c>
      <c r="V203" s="235">
        <f t="shared" si="98"/>
        <v>0</v>
      </c>
      <c r="W203" s="235">
        <f t="shared" si="98"/>
        <v>0</v>
      </c>
      <c r="X203" s="235">
        <f t="shared" si="98"/>
        <v>0</v>
      </c>
    </row>
    <row r="204" spans="1:24" x14ac:dyDescent="0.2">
      <c r="A204" s="31"/>
      <c r="B204" s="77"/>
      <c r="C204" s="69"/>
      <c r="D204" s="101"/>
      <c r="E204" s="101"/>
      <c r="F204" s="101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</row>
    <row r="205" spans="1:24" x14ac:dyDescent="0.2">
      <c r="A205" s="108" t="s">
        <v>666</v>
      </c>
      <c r="B205" s="77"/>
      <c r="C205" s="69"/>
      <c r="D205" s="101"/>
      <c r="E205" s="101"/>
      <c r="F205" s="101"/>
      <c r="G205" s="106"/>
      <c r="H205" s="106"/>
      <c r="I205" s="106"/>
      <c r="J205" s="106"/>
      <c r="K205" s="106"/>
      <c r="L205" s="106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</row>
    <row r="206" spans="1:24" x14ac:dyDescent="0.2">
      <c r="A206" s="225" t="s">
        <v>112</v>
      </c>
      <c r="B206" s="231"/>
      <c r="C206" s="69"/>
      <c r="D206" s="69">
        <f>Data!C$210</f>
        <v>0.70399999999999996</v>
      </c>
      <c r="E206" s="69">
        <f>Data!D$210</f>
        <v>0.56200000000000006</v>
      </c>
      <c r="F206" s="69">
        <f>Data!E$210</f>
        <v>-0.20699999999999999</v>
      </c>
      <c r="G206" s="69">
        <f>Data!F$210</f>
        <v>-0.21199999999999999</v>
      </c>
      <c r="H206" s="69">
        <f>Data!G$210</f>
        <v>-0.29099999999999998</v>
      </c>
      <c r="I206" s="69">
        <f>Data!H$210</f>
        <v>-0.20200000000000001</v>
      </c>
      <c r="J206" s="105">
        <f>Data!I$210</f>
        <v>-0.114</v>
      </c>
      <c r="K206" s="105">
        <f>Data!J$210</f>
        <v>-0.114</v>
      </c>
      <c r="L206" s="105">
        <f>Data!K$210</f>
        <v>-0.114</v>
      </c>
      <c r="M206" s="105">
        <f>Data!L$210</f>
        <v>-0.114</v>
      </c>
      <c r="N206" s="105">
        <f>Data!M$210</f>
        <v>-0.114</v>
      </c>
      <c r="O206" s="285">
        <f t="shared" ref="O206:X206" si="99">N$206</f>
        <v>-0.114</v>
      </c>
      <c r="P206" s="285">
        <f t="shared" si="99"/>
        <v>-0.114</v>
      </c>
      <c r="Q206" s="285">
        <f t="shared" si="99"/>
        <v>-0.114</v>
      </c>
      <c r="R206" s="285">
        <f t="shared" si="99"/>
        <v>-0.114</v>
      </c>
      <c r="S206" s="285">
        <f t="shared" si="99"/>
        <v>-0.114</v>
      </c>
      <c r="T206" s="285">
        <f t="shared" si="99"/>
        <v>-0.114</v>
      </c>
      <c r="U206" s="285">
        <f t="shared" si="99"/>
        <v>-0.114</v>
      </c>
      <c r="V206" s="285">
        <f t="shared" si="99"/>
        <v>-0.114</v>
      </c>
      <c r="W206" s="285">
        <f t="shared" si="99"/>
        <v>-0.114</v>
      </c>
      <c r="X206" s="285">
        <f t="shared" si="99"/>
        <v>-0.114</v>
      </c>
    </row>
    <row r="207" spans="1:24" x14ac:dyDescent="0.2">
      <c r="A207" s="225" t="s">
        <v>653</v>
      </c>
      <c r="B207" s="231"/>
      <c r="C207" s="69"/>
      <c r="D207" s="69">
        <f>Data!C$211</f>
        <v>0</v>
      </c>
      <c r="E207" s="69">
        <f>Data!D$211</f>
        <v>0</v>
      </c>
      <c r="F207" s="69">
        <f>Data!E$211</f>
        <v>1.7000000000000001E-2</v>
      </c>
      <c r="G207" s="69">
        <f>Data!F$211</f>
        <v>7.3999999999999996E-2</v>
      </c>
      <c r="H207" s="69">
        <f>Data!G$211</f>
        <v>0.61199999999999999</v>
      </c>
      <c r="I207" s="69">
        <f>Data!H$211</f>
        <v>0.375</v>
      </c>
      <c r="J207" s="105">
        <f>Data!I$211</f>
        <v>0.214</v>
      </c>
      <c r="K207" s="105">
        <f>Data!J$211</f>
        <v>0.20899999999999999</v>
      </c>
      <c r="L207" s="105">
        <f>Data!K$211</f>
        <v>0.20599999999999999</v>
      </c>
      <c r="M207" s="105">
        <f>Data!L$211</f>
        <v>0.20499999999999999</v>
      </c>
      <c r="N207" s="105">
        <f>Data!M$211</f>
        <v>0.20499999999999999</v>
      </c>
      <c r="O207" s="285">
        <f t="shared" ref="O207:X207" ca="1" si="100">SUM(N$207,O$209,-O$208)</f>
        <v>0.20499999999999996</v>
      </c>
      <c r="P207" s="285">
        <f t="shared" ca="1" si="100"/>
        <v>0.20499999999999996</v>
      </c>
      <c r="Q207" s="285">
        <f t="shared" ca="1" si="100"/>
        <v>0.20499999999999996</v>
      </c>
      <c r="R207" s="285">
        <f t="shared" ca="1" si="100"/>
        <v>0.20499999999999996</v>
      </c>
      <c r="S207" s="285">
        <f t="shared" ca="1" si="100"/>
        <v>0.20499999999999996</v>
      </c>
      <c r="T207" s="285">
        <f t="shared" ca="1" si="100"/>
        <v>0.20499999999999996</v>
      </c>
      <c r="U207" s="285">
        <f t="shared" ca="1" si="100"/>
        <v>0.20499999999999999</v>
      </c>
      <c r="V207" s="285">
        <f t="shared" ca="1" si="100"/>
        <v>0.20500000000000002</v>
      </c>
      <c r="W207" s="285">
        <f t="shared" ca="1" si="100"/>
        <v>0.20500000000000002</v>
      </c>
      <c r="X207" s="285">
        <f t="shared" ca="1" si="100"/>
        <v>0.20500000000000002</v>
      </c>
    </row>
    <row r="208" spans="1:24" x14ac:dyDescent="0.2">
      <c r="A208" s="225" t="s">
        <v>654</v>
      </c>
      <c r="B208" s="231"/>
      <c r="C208" s="69"/>
      <c r="D208" s="69">
        <f>Data!C$212</f>
        <v>0</v>
      </c>
      <c r="E208" s="69">
        <f>Data!D$212</f>
        <v>0</v>
      </c>
      <c r="F208" s="69">
        <f>Data!E$212</f>
        <v>0</v>
      </c>
      <c r="G208" s="69">
        <f>Data!F$212</f>
        <v>2.3E-2</v>
      </c>
      <c r="H208" s="69">
        <f>Data!G$212</f>
        <v>0.32200000000000001</v>
      </c>
      <c r="I208" s="69">
        <f>Data!H$212</f>
        <v>0.57099999999999995</v>
      </c>
      <c r="J208" s="105">
        <f>Data!I$212</f>
        <v>0.22</v>
      </c>
      <c r="K208" s="105">
        <f>Data!J$212</f>
        <v>6.6000000000000003E-2</v>
      </c>
      <c r="L208" s="105">
        <f>Data!K$212</f>
        <v>6.6000000000000003E-2</v>
      </c>
      <c r="M208" s="105">
        <f>Data!L$212</f>
        <v>6.6000000000000003E-2</v>
      </c>
      <c r="N208" s="105">
        <f>Data!M$212</f>
        <v>6.6000000000000003E-2</v>
      </c>
      <c r="O208" s="285">
        <f t="shared" ref="O208:X208" ca="1" si="101">N$208*(1+O$236)</f>
        <v>6.7330025316455697E-2</v>
      </c>
      <c r="P208" s="285">
        <f t="shared" ca="1" si="101"/>
        <v>6.8676625822784818E-2</v>
      </c>
      <c r="Q208" s="285">
        <f t="shared" ca="1" si="101"/>
        <v>7.0050158339240512E-2</v>
      </c>
      <c r="R208" s="285">
        <f t="shared" ca="1" si="101"/>
        <v>7.1451161506025318E-2</v>
      </c>
      <c r="S208" s="285">
        <f t="shared" ca="1" si="101"/>
        <v>7.2880184736145825E-2</v>
      </c>
      <c r="T208" s="285">
        <f t="shared" ca="1" si="101"/>
        <v>7.4337788430868745E-2</v>
      </c>
      <c r="U208" s="285">
        <f t="shared" ca="1" si="101"/>
        <v>7.5824544199486116E-2</v>
      </c>
      <c r="V208" s="285">
        <f t="shared" ca="1" si="101"/>
        <v>7.734103508347584E-2</v>
      </c>
      <c r="W208" s="285">
        <f t="shared" ca="1" si="101"/>
        <v>7.8887855785145358E-2</v>
      </c>
      <c r="X208" s="285">
        <f t="shared" ca="1" si="101"/>
        <v>8.0465612900848263E-2</v>
      </c>
    </row>
    <row r="209" spans="1:24" x14ac:dyDescent="0.2">
      <c r="A209" s="225" t="s">
        <v>655</v>
      </c>
      <c r="B209" s="231"/>
      <c r="C209" s="69"/>
      <c r="D209" s="69">
        <f>Data!C$213</f>
        <v>0</v>
      </c>
      <c r="E209" s="69">
        <f>Data!D$213</f>
        <v>0</v>
      </c>
      <c r="F209" s="69">
        <f>Data!E$213</f>
        <v>1.7000000000000001E-2</v>
      </c>
      <c r="G209" s="69">
        <f>Data!F$213</f>
        <v>0.08</v>
      </c>
      <c r="H209" s="69">
        <f>Data!G$213</f>
        <v>0.86</v>
      </c>
      <c r="I209" s="69">
        <f>Data!H$213</f>
        <v>0.33400000000000002</v>
      </c>
      <c r="J209" s="105">
        <f>Data!I$213</f>
        <v>5.8999999999999997E-2</v>
      </c>
      <c r="K209" s="105">
        <f>Data!J$213</f>
        <v>6.0999999999999999E-2</v>
      </c>
      <c r="L209" s="105">
        <f>Data!K$213</f>
        <v>6.3E-2</v>
      </c>
      <c r="M209" s="105">
        <f>Data!L$213</f>
        <v>6.5000000000000002E-2</v>
      </c>
      <c r="N209" s="105">
        <f>Data!M$213</f>
        <v>6.6000000000000003E-2</v>
      </c>
      <c r="O209" s="80">
        <f t="shared" ref="O209:X209" ca="1" si="102">O$208</f>
        <v>6.7330025316455697E-2</v>
      </c>
      <c r="P209" s="80">
        <f t="shared" ca="1" si="102"/>
        <v>6.8676625822784818E-2</v>
      </c>
      <c r="Q209" s="80">
        <f t="shared" ca="1" si="102"/>
        <v>7.0050158339240512E-2</v>
      </c>
      <c r="R209" s="80">
        <f t="shared" ca="1" si="102"/>
        <v>7.1451161506025318E-2</v>
      </c>
      <c r="S209" s="80">
        <f t="shared" ca="1" si="102"/>
        <v>7.2880184736145825E-2</v>
      </c>
      <c r="T209" s="80">
        <f t="shared" ca="1" si="102"/>
        <v>7.4337788430868745E-2</v>
      </c>
      <c r="U209" s="80">
        <f t="shared" ca="1" si="102"/>
        <v>7.5824544199486116E-2</v>
      </c>
      <c r="V209" s="80">
        <f t="shared" ca="1" si="102"/>
        <v>7.734103508347584E-2</v>
      </c>
      <c r="W209" s="80">
        <f t="shared" ca="1" si="102"/>
        <v>7.8887855785145358E-2</v>
      </c>
      <c r="X209" s="80">
        <f t="shared" ca="1" si="102"/>
        <v>8.0465612900848263E-2</v>
      </c>
    </row>
    <row r="210" spans="1:24" x14ac:dyDescent="0.2">
      <c r="A210" s="225"/>
      <c r="B210" s="77"/>
      <c r="C210" s="69"/>
      <c r="D210" s="101"/>
      <c r="E210" s="101"/>
      <c r="F210" s="101"/>
      <c r="G210" s="106"/>
      <c r="H210" s="106"/>
      <c r="I210" s="106"/>
      <c r="J210" s="106"/>
      <c r="K210" s="106"/>
      <c r="L210" s="106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</row>
    <row r="211" spans="1:24" x14ac:dyDescent="0.2">
      <c r="A211" s="108" t="s">
        <v>399</v>
      </c>
      <c r="B211" s="77"/>
      <c r="C211" s="69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</row>
    <row r="212" spans="1:24" x14ac:dyDescent="0.2">
      <c r="A212" s="160" t="s">
        <v>667</v>
      </c>
      <c r="B212" s="231"/>
      <c r="C212" s="69"/>
      <c r="D212" s="69">
        <f>Data!C$76</f>
        <v>7.1609999999999996</v>
      </c>
      <c r="E212" s="69">
        <f>Data!D$76</f>
        <v>8.2569999999999997</v>
      </c>
      <c r="F212" s="69">
        <f>Data!E$76</f>
        <v>8.9930000000000003</v>
      </c>
      <c r="G212" s="69">
        <f>Data!F$76</f>
        <v>9.94</v>
      </c>
      <c r="H212" s="69">
        <f>Data!G$76</f>
        <v>10.156000000000001</v>
      </c>
      <c r="I212" s="69">
        <f>Data!H$76</f>
        <v>13.539</v>
      </c>
      <c r="J212" s="105">
        <f>Data!I$76</f>
        <v>12.96</v>
      </c>
      <c r="K212" s="105">
        <f>Data!J$76</f>
        <v>12.484999999999999</v>
      </c>
      <c r="L212" s="105">
        <f>Data!K$76</f>
        <v>12.019</v>
      </c>
      <c r="M212" s="105">
        <f>Data!L$76</f>
        <v>11.571999999999999</v>
      </c>
      <c r="N212" s="105">
        <f>Data!M$76</f>
        <v>11.146000000000001</v>
      </c>
      <c r="O212" s="100">
        <f>N$212*Tracks!S$15/Tracks!R$15</f>
        <v>10.886384811117635</v>
      </c>
      <c r="P212" s="100">
        <f>O$212*Tracks!T$15/Tracks!S$15</f>
        <v>10.623497161871207</v>
      </c>
      <c r="Q212" s="100">
        <f>P$212*Tracks!U$15/Tracks!T$15</f>
        <v>10.334429829712274</v>
      </c>
      <c r="R212" s="100">
        <f>Q$212*Tracks!V$15/Tracks!U$15</f>
        <v>10.026818555490312</v>
      </c>
      <c r="S212" s="100">
        <f>R$212*Tracks!W$15/Tracks!V$15</f>
        <v>9.7028449794480327</v>
      </c>
      <c r="T212" s="100">
        <f>S$212*Tracks!X$15/Tracks!W$15</f>
        <v>9.3712356625562752</v>
      </c>
      <c r="U212" s="100">
        <f>T$212*Tracks!Y$15/Tracks!X$15</f>
        <v>9.04398962614993</v>
      </c>
      <c r="V212" s="100">
        <f>U$212*Tracks!Z$15/Tracks!Y$15</f>
        <v>8.7221976903503613</v>
      </c>
      <c r="W212" s="100">
        <f>V$212*Tracks!AA$15/Tracks!Z$15</f>
        <v>8.4102231356429815</v>
      </c>
      <c r="X212" s="100">
        <f>W$212*Tracks!AB$15/Tracks!AA$15</f>
        <v>8.1047935016637283</v>
      </c>
    </row>
    <row r="213" spans="1:24" x14ac:dyDescent="0.2">
      <c r="A213" s="68" t="s">
        <v>668</v>
      </c>
      <c r="B213" s="41"/>
      <c r="C213" s="69"/>
      <c r="D213" s="69">
        <f>SUM(D$206,D$207)</f>
        <v>0.70399999999999996</v>
      </c>
      <c r="E213" s="69">
        <f t="shared" ref="E213:X213" si="103">SUM(E$206,E$207)</f>
        <v>0.56200000000000006</v>
      </c>
      <c r="F213" s="69">
        <f t="shared" si="103"/>
        <v>-0.19</v>
      </c>
      <c r="G213" s="69">
        <f t="shared" si="103"/>
        <v>-0.13800000000000001</v>
      </c>
      <c r="H213" s="69">
        <f t="shared" si="103"/>
        <v>0.32100000000000001</v>
      </c>
      <c r="I213" s="69">
        <f t="shared" si="103"/>
        <v>0.17299999999999999</v>
      </c>
      <c r="J213" s="105">
        <f t="shared" si="103"/>
        <v>9.9999999999999992E-2</v>
      </c>
      <c r="K213" s="105">
        <f t="shared" si="103"/>
        <v>9.4999999999999987E-2</v>
      </c>
      <c r="L213" s="105">
        <f t="shared" si="103"/>
        <v>9.1999999999999985E-2</v>
      </c>
      <c r="M213" s="105">
        <f t="shared" si="103"/>
        <v>9.0999999999999984E-2</v>
      </c>
      <c r="N213" s="105">
        <f t="shared" si="103"/>
        <v>9.0999999999999984E-2</v>
      </c>
      <c r="O213" s="80">
        <f t="shared" ca="1" si="103"/>
        <v>9.0999999999999956E-2</v>
      </c>
      <c r="P213" s="80">
        <f t="shared" ca="1" si="103"/>
        <v>9.0999999999999956E-2</v>
      </c>
      <c r="Q213" s="80">
        <f t="shared" ca="1" si="103"/>
        <v>9.0999999999999956E-2</v>
      </c>
      <c r="R213" s="80">
        <f t="shared" ca="1" si="103"/>
        <v>9.0999999999999956E-2</v>
      </c>
      <c r="S213" s="80">
        <f t="shared" ca="1" si="103"/>
        <v>9.0999999999999956E-2</v>
      </c>
      <c r="T213" s="80">
        <f t="shared" ca="1" si="103"/>
        <v>9.0999999999999956E-2</v>
      </c>
      <c r="U213" s="80">
        <f t="shared" ca="1" si="103"/>
        <v>9.0999999999999984E-2</v>
      </c>
      <c r="V213" s="80">
        <f t="shared" ca="1" si="103"/>
        <v>9.1000000000000011E-2</v>
      </c>
      <c r="W213" s="80">
        <f t="shared" ca="1" si="103"/>
        <v>9.1000000000000011E-2</v>
      </c>
      <c r="X213" s="80">
        <f t="shared" ca="1" si="103"/>
        <v>9.1000000000000011E-2</v>
      </c>
    </row>
    <row r="214" spans="1:24" x14ac:dyDescent="0.2">
      <c r="A214" s="68" t="s">
        <v>669</v>
      </c>
      <c r="B214" s="231"/>
      <c r="C214" s="69"/>
      <c r="D214" s="69">
        <f>Data!C$119-SUM(D$212,D$213)</f>
        <v>10.673000000000002</v>
      </c>
      <c r="E214" s="69">
        <f>Data!D$119-SUM(E$212,E$213)</f>
        <v>13.213000000000001</v>
      </c>
      <c r="F214" s="69">
        <f>Data!E$119-SUM(F$212,F$213)</f>
        <v>14.439</v>
      </c>
      <c r="G214" s="69">
        <f>Data!F$119-SUM(G$212,G$213)</f>
        <v>15.161000000000001</v>
      </c>
      <c r="H214" s="69">
        <f>Data!G$119-SUM(H$212,H$213)</f>
        <v>16.73</v>
      </c>
      <c r="I214" s="69">
        <f>Data!H$119-SUM(I$212,I$213)</f>
        <v>16.815999999999999</v>
      </c>
      <c r="J214" s="105">
        <f>Data!I$119-SUM(J$212,J$213) + IF($I$1="Yes",J$308,0)</f>
        <v>17.085000000000001</v>
      </c>
      <c r="K214" s="105">
        <f>Data!J$119-SUM(K$212,K$213) + IF($I$1="Yes",K$308,0)</f>
        <v>15.615</v>
      </c>
      <c r="L214" s="105">
        <f>Data!K$119-SUM(L$212,L$213) + IF($I$1="Yes",L$308,0)</f>
        <v>15.474999999999998</v>
      </c>
      <c r="M214" s="105">
        <f>Data!L$119-SUM(M$212,M$213) + IF($I$1="Yes",M$308,0)</f>
        <v>15.133000000000001</v>
      </c>
      <c r="N214" s="105">
        <f>Data!M$119-SUM(N$212,N$213) + IF($I$1="Yes",N$308,0)</f>
        <v>15.368</v>
      </c>
      <c r="O214" s="80">
        <f t="shared" ref="O214:X214" ca="1" si="104">N$214*(1+O$236)</f>
        <v>15.677694379746834</v>
      </c>
      <c r="P214" s="80">
        <f t="shared" ca="1" si="104"/>
        <v>15.991248267341771</v>
      </c>
      <c r="Q214" s="80">
        <f t="shared" ca="1" si="104"/>
        <v>16.311073232688607</v>
      </c>
      <c r="R214" s="80">
        <f t="shared" ca="1" si="104"/>
        <v>16.63729469734238</v>
      </c>
      <c r="S214" s="80">
        <f t="shared" ca="1" si="104"/>
        <v>16.970040591289226</v>
      </c>
      <c r="T214" s="80">
        <f t="shared" ca="1" si="104"/>
        <v>17.309441403115013</v>
      </c>
      <c r="U214" s="80">
        <f t="shared" ca="1" si="104"/>
        <v>17.655630231177312</v>
      </c>
      <c r="V214" s="80">
        <f t="shared" ca="1" si="104"/>
        <v>18.008742835800859</v>
      </c>
      <c r="W214" s="80">
        <f t="shared" ca="1" si="104"/>
        <v>18.368917692516877</v>
      </c>
      <c r="X214" s="80">
        <f t="shared" ca="1" si="104"/>
        <v>18.736296046367215</v>
      </c>
    </row>
    <row r="215" spans="1:24" x14ac:dyDescent="0.2">
      <c r="A215" s="161" t="s">
        <v>697</v>
      </c>
      <c r="B215" s="231"/>
      <c r="C215" s="69"/>
      <c r="D215" s="176">
        <f>D$225-Data!C$118</f>
        <v>7.0000000000050022E-3</v>
      </c>
      <c r="E215" s="176">
        <f>E$225-Data!D$118</f>
        <v>0.16899999999999693</v>
      </c>
      <c r="F215" s="176">
        <f>F$225-Data!E$118</f>
        <v>0.65599999999999881</v>
      </c>
      <c r="G215" s="176">
        <f>G$225-Data!F$118</f>
        <v>1</v>
      </c>
      <c r="H215" s="176">
        <f>H$225-Data!G$118</f>
        <v>5.8000000000006935E-2</v>
      </c>
      <c r="I215" s="176">
        <f>I$225-Data!H$118</f>
        <v>0.17000000000000171</v>
      </c>
      <c r="J215" s="130">
        <f>J$225-Data!I$118 - IF($F$1="Yes",J$326,0) - IF($I$1="Yes",J$313,0) - IF($L$1="Yes",J$344,0)</f>
        <v>1.9999999999953388E-3</v>
      </c>
      <c r="K215" s="130">
        <f>K$225-Data!J$118 - IF($F$1="Yes",K$326,0) - IF($I$1="Yes",K$313,0) - IF($L$1="Yes",K$344,0)</f>
        <v>1.9999999999953388E-3</v>
      </c>
      <c r="L215" s="130">
        <f>L$225-Data!K$118 - IF($F$1="Yes",L$326,0) - IF($I$1="Yes",L$313,0) - IF($L$1="Yes",L$344,0)</f>
        <v>1.0000000000047748E-3</v>
      </c>
      <c r="M215" s="130">
        <f>M$225-Data!L$118 - IF($F$1="Yes",M$326,0) - IF($I$1="Yes",M$313,0) - IF($L$1="Yes",M$344,0)</f>
        <v>1.9999999999953388E-3</v>
      </c>
      <c r="N215" s="130">
        <f>N$225-Data!M$118 - IF($F$1="Yes",N$326,0) - IF($I$1="Yes",N$313,0) - IF($L$1="Yes",N$344,0)</f>
        <v>0</v>
      </c>
      <c r="O215" s="81">
        <f t="shared" ref="O215:X215" si="105">IF(O$2="Proj Yr1",0,N$215)</f>
        <v>0</v>
      </c>
      <c r="P215" s="81">
        <f t="shared" si="105"/>
        <v>0</v>
      </c>
      <c r="Q215" s="81">
        <f t="shared" si="105"/>
        <v>0</v>
      </c>
      <c r="R215" s="81">
        <f t="shared" si="105"/>
        <v>0</v>
      </c>
      <c r="S215" s="81">
        <f t="shared" si="105"/>
        <v>0</v>
      </c>
      <c r="T215" s="81">
        <f t="shared" si="105"/>
        <v>0</v>
      </c>
      <c r="U215" s="81">
        <f t="shared" si="105"/>
        <v>0</v>
      </c>
      <c r="V215" s="81">
        <f t="shared" si="105"/>
        <v>0</v>
      </c>
      <c r="W215" s="81">
        <f t="shared" si="105"/>
        <v>0</v>
      </c>
      <c r="X215" s="81">
        <f t="shared" si="105"/>
        <v>0</v>
      </c>
    </row>
    <row r="216" spans="1:24" x14ac:dyDescent="0.2">
      <c r="A216" s="27" t="s">
        <v>179</v>
      </c>
      <c r="B216" s="41"/>
      <c r="C216" s="69"/>
      <c r="D216" s="71">
        <f t="shared" ref="D216:X216" si="106">SUM(D$212:D$214,-D$215)</f>
        <v>18.530999999999995</v>
      </c>
      <c r="E216" s="71">
        <f t="shared" si="106"/>
        <v>21.863000000000003</v>
      </c>
      <c r="F216" s="71">
        <f t="shared" si="106"/>
        <v>22.586000000000002</v>
      </c>
      <c r="G216" s="71">
        <f t="shared" si="106"/>
        <v>23.963000000000001</v>
      </c>
      <c r="H216" s="71">
        <f t="shared" si="106"/>
        <v>27.148999999999994</v>
      </c>
      <c r="I216" s="71">
        <f t="shared" si="106"/>
        <v>30.357999999999997</v>
      </c>
      <c r="J216" s="131">
        <f t="shared" si="106"/>
        <v>30.143000000000008</v>
      </c>
      <c r="K216" s="131">
        <f t="shared" si="106"/>
        <v>28.193000000000005</v>
      </c>
      <c r="L216" s="131">
        <f t="shared" si="106"/>
        <v>27.584999999999994</v>
      </c>
      <c r="M216" s="131">
        <f t="shared" si="106"/>
        <v>26.794000000000004</v>
      </c>
      <c r="N216" s="131">
        <f t="shared" si="106"/>
        <v>26.605</v>
      </c>
      <c r="O216" s="75">
        <f t="shared" ca="1" si="106"/>
        <v>26.65507919086447</v>
      </c>
      <c r="P216" s="75">
        <f t="shared" ca="1" si="106"/>
        <v>26.705745429212975</v>
      </c>
      <c r="Q216" s="75">
        <f t="shared" ca="1" si="106"/>
        <v>26.736503062400878</v>
      </c>
      <c r="R216" s="75">
        <f t="shared" ca="1" si="106"/>
        <v>26.755113252832693</v>
      </c>
      <c r="S216" s="75">
        <f t="shared" ca="1" si="106"/>
        <v>26.763885570737258</v>
      </c>
      <c r="T216" s="75">
        <f t="shared" ca="1" si="106"/>
        <v>26.771677065671287</v>
      </c>
      <c r="U216" s="75">
        <f t="shared" ca="1" si="106"/>
        <v>26.790619857327243</v>
      </c>
      <c r="V216" s="75">
        <f t="shared" ca="1" si="106"/>
        <v>26.82194052615122</v>
      </c>
      <c r="W216" s="75">
        <f t="shared" ca="1" si="106"/>
        <v>26.870140828159858</v>
      </c>
      <c r="X216" s="75">
        <f t="shared" ca="1" si="106"/>
        <v>26.932089548030945</v>
      </c>
    </row>
    <row r="217" spans="1:24" x14ac:dyDescent="0.2">
      <c r="A217" s="161" t="s">
        <v>675</v>
      </c>
      <c r="B217" s="231"/>
      <c r="C217" s="69"/>
      <c r="D217" s="177">
        <f>SUM(Data!C$205,Data!C$206)</f>
        <v>17.396000000000001</v>
      </c>
      <c r="E217" s="177">
        <f>SUM(Data!D$205,Data!D$206)</f>
        <v>20.471</v>
      </c>
      <c r="F217" s="177">
        <f>SUM(Data!E$205,Data!E$206)</f>
        <v>26.533000000000001</v>
      </c>
      <c r="G217" s="177">
        <f>SUM(Data!F$205,Data!F$206)</f>
        <v>27.085000000000001</v>
      </c>
      <c r="H217" s="177">
        <f>SUM(Data!G$205,Data!G$206)</f>
        <v>37.509</v>
      </c>
      <c r="I217" s="177">
        <f>SUM(Data!H$205,Data!H$206)</f>
        <v>39.524999999999999</v>
      </c>
      <c r="J217" s="156">
        <f>SUM(Data!I$205,Data!I$206)</f>
        <v>37.382999999999996</v>
      </c>
      <c r="K217" s="156">
        <f>SUM(Data!J$205,Data!J$206)</f>
        <v>35.524999999999999</v>
      </c>
      <c r="L217" s="156">
        <f>SUM(Data!K$205,Data!K$206)</f>
        <v>35.154000000000003</v>
      </c>
      <c r="M217" s="156">
        <f>SUM(Data!L$205,Data!L$206)</f>
        <v>35.58</v>
      </c>
      <c r="N217" s="156">
        <f>SUM(Data!M$205,Data!M$206)</f>
        <v>37.100999999999999</v>
      </c>
      <c r="O217" s="100">
        <f t="shared" ref="O217:X217" ca="1" si="107">N$217*(1+O$234)</f>
        <v>38.756917465579924</v>
      </c>
      <c r="P217" s="100">
        <f t="shared" ca="1" si="107"/>
        <v>40.500693641513358</v>
      </c>
      <c r="Q217" s="100">
        <f t="shared" ca="1" si="107"/>
        <v>42.369446641640806</v>
      </c>
      <c r="R217" s="100">
        <f t="shared" ca="1" si="107"/>
        <v>44.302919854328863</v>
      </c>
      <c r="S217" s="100">
        <f t="shared" ca="1" si="107"/>
        <v>46.340267935516749</v>
      </c>
      <c r="T217" s="100">
        <f t="shared" ca="1" si="107"/>
        <v>48.468061396158546</v>
      </c>
      <c r="U217" s="100">
        <f t="shared" ca="1" si="107"/>
        <v>50.648192550349314</v>
      </c>
      <c r="V217" s="100">
        <f t="shared" ca="1" si="107"/>
        <v>52.886037651558759</v>
      </c>
      <c r="W217" s="100">
        <f t="shared" ca="1" si="107"/>
        <v>55.193650929754483</v>
      </c>
      <c r="X217" s="100">
        <f t="shared" ca="1" si="107"/>
        <v>57.566346494512516</v>
      </c>
    </row>
    <row r="218" spans="1:24" x14ac:dyDescent="0.2">
      <c r="A218" s="161" t="s">
        <v>676</v>
      </c>
      <c r="B218" s="231"/>
      <c r="C218" s="69"/>
      <c r="D218" s="176">
        <f>SUM(Data!C$71:C$73,Data!C$75:C$77)-SUM(D$216,D$217)</f>
        <v>5.6970000000000098</v>
      </c>
      <c r="E218" s="176">
        <f>SUM(Data!D$71:D$73,Data!D$75:D$77)-SUM(E$216,E$217)</f>
        <v>6.8769999999999953</v>
      </c>
      <c r="F218" s="176">
        <f>SUM(Data!E$71:E$73,Data!E$75:E$77)-SUM(F$216,F$217)</f>
        <v>6.5640000000000001</v>
      </c>
      <c r="G218" s="176">
        <f>SUM(Data!F$71:F$73,Data!F$75:F$77)-SUM(G$216,G$217)</f>
        <v>7.5859999999999985</v>
      </c>
      <c r="H218" s="176">
        <f>SUM(Data!G$71:G$73,Data!G$75:G$77)-SUM(H$216,H$217)</f>
        <v>9.4250000000000114</v>
      </c>
      <c r="I218" s="176">
        <f>SUM(Data!H$71:H$73,Data!H$75:H$77)-SUM(I$216,I$217)</f>
        <v>10.121000000000009</v>
      </c>
      <c r="J218" s="130">
        <f>SUM(Data!I$71:I$73,Data!I$75:I$77)-SUM(J$216,J$217) + IF($I$1="Yes",J$308,0)</f>
        <v>9.4829999999999899</v>
      </c>
      <c r="K218" s="130">
        <f>SUM(Data!J$71:J$73,Data!J$75:J$77)-SUM(K$216,K$217) + IF($I$1="Yes",K$308,0)</f>
        <v>9.6569999999999965</v>
      </c>
      <c r="L218" s="130">
        <f>SUM(Data!K$71:K$73,Data!K$75:K$77)-SUM(L$216,L$217) + IF($I$1="Yes",L$308,0)</f>
        <v>9.531000000000013</v>
      </c>
      <c r="M218" s="130">
        <f>SUM(Data!L$71:L$73,Data!L$75:L$77)-SUM(M$216,M$217) + IF($I$1="Yes",M$308,0)</f>
        <v>9.7029999999999959</v>
      </c>
      <c r="N218" s="130">
        <f>SUM(Data!M$71:M$73,Data!M$75:M$77)-SUM(N$216,N$217) + IF($I$1="Yes",N$308,0)</f>
        <v>9.8559999999999803</v>
      </c>
      <c r="O218" s="81">
        <f t="shared" ref="O218:X218" ca="1" si="108">N$218*(1+O$236)</f>
        <v>10.05461711392403</v>
      </c>
      <c r="P218" s="81">
        <f t="shared" ca="1" si="108"/>
        <v>10.25570945620251</v>
      </c>
      <c r="Q218" s="81">
        <f t="shared" ca="1" si="108"/>
        <v>10.46082364532656</v>
      </c>
      <c r="R218" s="81">
        <f t="shared" ca="1" si="108"/>
        <v>10.670040118233091</v>
      </c>
      <c r="S218" s="81">
        <f t="shared" ca="1" si="108"/>
        <v>10.883440920597753</v>
      </c>
      <c r="T218" s="81">
        <f t="shared" ca="1" si="108"/>
        <v>11.101109739009708</v>
      </c>
      <c r="U218" s="81">
        <f t="shared" ca="1" si="108"/>
        <v>11.323131933789902</v>
      </c>
      <c r="V218" s="81">
        <f t="shared" ca="1" si="108"/>
        <v>11.549594572465701</v>
      </c>
      <c r="W218" s="81">
        <f t="shared" ca="1" si="108"/>
        <v>11.780586463915014</v>
      </c>
      <c r="X218" s="81">
        <f t="shared" ca="1" si="108"/>
        <v>12.016198193193315</v>
      </c>
    </row>
    <row r="219" spans="1:24" x14ac:dyDescent="0.2">
      <c r="A219" s="27" t="s">
        <v>180</v>
      </c>
      <c r="B219" s="41"/>
      <c r="C219" s="69"/>
      <c r="D219" s="71">
        <f t="shared" ref="D219:I219" si="109">SUM(D$216:D$218)</f>
        <v>41.624000000000002</v>
      </c>
      <c r="E219" s="71">
        <f t="shared" si="109"/>
        <v>49.210999999999999</v>
      </c>
      <c r="F219" s="71">
        <f t="shared" si="109"/>
        <v>55.683</v>
      </c>
      <c r="G219" s="71">
        <f t="shared" si="109"/>
        <v>58.634</v>
      </c>
      <c r="H219" s="71">
        <f t="shared" si="109"/>
        <v>74.082999999999998</v>
      </c>
      <c r="I219" s="71">
        <f t="shared" si="109"/>
        <v>80.004000000000005</v>
      </c>
      <c r="J219" s="131">
        <f t="shared" ref="J219:X219" si="110">SUM(J$216:J$218)</f>
        <v>77.009</v>
      </c>
      <c r="K219" s="131">
        <f t="shared" si="110"/>
        <v>73.375</v>
      </c>
      <c r="L219" s="131">
        <f t="shared" si="110"/>
        <v>72.27000000000001</v>
      </c>
      <c r="M219" s="131">
        <f t="shared" si="110"/>
        <v>72.076999999999998</v>
      </c>
      <c r="N219" s="131">
        <f t="shared" si="110"/>
        <v>73.561999999999983</v>
      </c>
      <c r="O219" s="75">
        <f t="shared" ca="1" si="110"/>
        <v>75.466613770368411</v>
      </c>
      <c r="P219" s="75">
        <f t="shared" ca="1" si="110"/>
        <v>77.462148526928843</v>
      </c>
      <c r="Q219" s="75">
        <f t="shared" ca="1" si="110"/>
        <v>79.566773349368233</v>
      </c>
      <c r="R219" s="75">
        <f t="shared" ca="1" si="110"/>
        <v>81.728073225394638</v>
      </c>
      <c r="S219" s="75">
        <f t="shared" ca="1" si="110"/>
        <v>83.987594426851757</v>
      </c>
      <c r="T219" s="75">
        <f t="shared" ca="1" si="110"/>
        <v>86.340848200839531</v>
      </c>
      <c r="U219" s="75">
        <f t="shared" ca="1" si="110"/>
        <v>88.76194434146646</v>
      </c>
      <c r="V219" s="75">
        <f t="shared" ca="1" si="110"/>
        <v>91.257572750175683</v>
      </c>
      <c r="W219" s="75">
        <f t="shared" ca="1" si="110"/>
        <v>93.844378221829359</v>
      </c>
      <c r="X219" s="75">
        <f t="shared" ca="1" si="110"/>
        <v>96.514634235736779</v>
      </c>
    </row>
    <row r="220" spans="1:24" x14ac:dyDescent="0.2">
      <c r="A220" s="27"/>
      <c r="B220" s="41"/>
      <c r="C220" s="69"/>
      <c r="D220" s="71"/>
      <c r="E220" s="71"/>
      <c r="F220" s="71"/>
      <c r="G220" s="131"/>
      <c r="H220" s="131"/>
      <c r="I220" s="131"/>
      <c r="J220" s="131"/>
      <c r="K220" s="131"/>
      <c r="L220" s="131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</row>
    <row r="221" spans="1:24" x14ac:dyDescent="0.2">
      <c r="A221" s="108" t="s">
        <v>677</v>
      </c>
      <c r="B221" s="41"/>
      <c r="C221" s="74"/>
      <c r="D221" s="72"/>
      <c r="E221" s="72"/>
      <c r="F221" s="72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">
      <c r="A222" s="27" t="s">
        <v>343</v>
      </c>
      <c r="B222" s="231"/>
      <c r="C222" s="74"/>
      <c r="D222" s="71">
        <f>Data!C$83</f>
        <v>10.734999999999999</v>
      </c>
      <c r="E222" s="71">
        <f>Data!D$83</f>
        <v>12.917999999999999</v>
      </c>
      <c r="F222" s="71">
        <f>Data!E$83</f>
        <v>17.504999999999999</v>
      </c>
      <c r="G222" s="71">
        <f>Data!F$83</f>
        <v>19.716000000000001</v>
      </c>
      <c r="H222" s="71">
        <f>Data!G$83</f>
        <v>22.48</v>
      </c>
      <c r="I222" s="71">
        <f>Data!H$83</f>
        <v>24.832999999999998</v>
      </c>
      <c r="J222" s="131">
        <f>Data!I$83</f>
        <v>26.349</v>
      </c>
      <c r="K222" s="131">
        <f>Data!J$83</f>
        <v>28.324000000000002</v>
      </c>
      <c r="L222" s="131">
        <f>Data!K$83</f>
        <v>30.126000000000001</v>
      </c>
      <c r="M222" s="131">
        <f>Data!L$83</f>
        <v>32.658000000000001</v>
      </c>
      <c r="N222" s="131">
        <f>Data!M$83</f>
        <v>35.941000000000003</v>
      </c>
      <c r="O222" s="75">
        <f t="shared" ref="O222:X222" ca="1" si="111">N$222*(1+O$234)</f>
        <v>37.545143544120329</v>
      </c>
      <c r="P222" s="75">
        <f t="shared" ca="1" si="111"/>
        <v>39.234398807838922</v>
      </c>
      <c r="Q222" s="75">
        <f t="shared" ca="1" si="111"/>
        <v>41.044723369914891</v>
      </c>
      <c r="R222" s="75">
        <f t="shared" ca="1" si="111"/>
        <v>42.917744602151799</v>
      </c>
      <c r="S222" s="75">
        <f t="shared" ca="1" si="111"/>
        <v>44.891392950874845</v>
      </c>
      <c r="T222" s="75">
        <f t="shared" ca="1" si="111"/>
        <v>46.952658813491134</v>
      </c>
      <c r="U222" s="75">
        <f t="shared" ca="1" si="111"/>
        <v>49.064625979140857</v>
      </c>
      <c r="V222" s="75">
        <f t="shared" ca="1" si="111"/>
        <v>51.232502607333323</v>
      </c>
      <c r="W222" s="75">
        <f t="shared" ca="1" si="111"/>
        <v>53.467966040438434</v>
      </c>
      <c r="X222" s="75">
        <f t="shared" ca="1" si="111"/>
        <v>55.766476897099132</v>
      </c>
    </row>
    <row r="223" spans="1:24" x14ac:dyDescent="0.2">
      <c r="A223" s="27" t="s">
        <v>342</v>
      </c>
      <c r="B223" s="231"/>
      <c r="C223" s="74"/>
      <c r="D223" s="71">
        <f>Data!C$82</f>
        <v>31.163</v>
      </c>
      <c r="E223" s="71">
        <f>Data!D$82</f>
        <v>33.192</v>
      </c>
      <c r="F223" s="71">
        <f>Data!E$82</f>
        <v>44.448</v>
      </c>
      <c r="G223" s="71">
        <f>Data!F$82</f>
        <v>50.017000000000003</v>
      </c>
      <c r="H223" s="71">
        <f>Data!G$82</f>
        <v>67.765000000000001</v>
      </c>
      <c r="I223" s="71">
        <f>Data!H$82</f>
        <v>75.700999999999993</v>
      </c>
      <c r="J223" s="131">
        <f>Data!I$82 + IF($F$1="Yes",J$326,0) + IF($I$1="Yes",J$313,0)+ IF($L$1="Yes",J$344,0)</f>
        <v>76.400000000000006</v>
      </c>
      <c r="K223" s="131">
        <f>Data!J$82 + IF($F$1="Yes",K$326,0) + IF($I$1="Yes",K$313,0)+ IF($L$1="Yes",K$344,0)</f>
        <v>85.344999999999999</v>
      </c>
      <c r="L223" s="131">
        <f>Data!K$82 + IF($F$1="Yes",L$326,0) + IF($I$1="Yes",L$313,0)+ IF($L$1="Yes",L$344,0)</f>
        <v>82.367999999999995</v>
      </c>
      <c r="M223" s="131">
        <f>Data!L$82 + IF($F$1="Yes",M$326,0) + IF($I$1="Yes",M$313,0)+ IF($L$1="Yes",M$344,0)</f>
        <v>85.075000000000003</v>
      </c>
      <c r="N223" s="131">
        <f>Data!M$82 + IF($F$1="Yes",N$326,0) + IF($I$1="Yes",N$313,0)+ IF($L$1="Yes",N$344,0)</f>
        <v>89.477999999999994</v>
      </c>
      <c r="O223" s="73">
        <f t="shared" ref="O223:X223" ca="1" si="112">N$223*O$225/N$225</f>
        <v>90.828191546047563</v>
      </c>
      <c r="P223" s="73">
        <f t="shared" ca="1" si="112"/>
        <v>91.733998901340371</v>
      </c>
      <c r="Q223" s="73">
        <f t="shared" ca="1" si="112"/>
        <v>91.312024774773178</v>
      </c>
      <c r="R223" s="73">
        <f t="shared" ca="1" si="112"/>
        <v>89.577854175296935</v>
      </c>
      <c r="S223" s="73">
        <f t="shared" ca="1" si="112"/>
        <v>86.109279797010018</v>
      </c>
      <c r="T223" s="73">
        <f t="shared" ca="1" si="112"/>
        <v>80.97387339309104</v>
      </c>
      <c r="U223" s="73">
        <f t="shared" ca="1" si="112"/>
        <v>74.158047830501886</v>
      </c>
      <c r="V223" s="73">
        <f t="shared" ca="1" si="112"/>
        <v>65.544132321206845</v>
      </c>
      <c r="W223" s="73">
        <f t="shared" ca="1" si="112"/>
        <v>55.020495835777879</v>
      </c>
      <c r="X223" s="73">
        <f t="shared" ca="1" si="112"/>
        <v>42.451412968284068</v>
      </c>
    </row>
    <row r="224" spans="1:24" x14ac:dyDescent="0.2">
      <c r="A224" s="161" t="s">
        <v>400</v>
      </c>
      <c r="C224" s="74"/>
      <c r="D224" s="176">
        <f t="shared" ref="D224:X224" si="113">D$225-D$223</f>
        <v>4.7290000000000028</v>
      </c>
      <c r="E224" s="176">
        <f t="shared" si="113"/>
        <v>4.1439999999999984</v>
      </c>
      <c r="F224" s="176">
        <f t="shared" si="113"/>
        <v>6.0970000000000013</v>
      </c>
      <c r="G224" s="176">
        <f t="shared" si="113"/>
        <v>8.5659999999999954</v>
      </c>
      <c r="H224" s="176">
        <f t="shared" si="113"/>
        <v>9.1200000000000045</v>
      </c>
      <c r="I224" s="176">
        <f t="shared" si="113"/>
        <v>8.9790000000000134</v>
      </c>
      <c r="J224" s="130">
        <f t="shared" si="113"/>
        <v>9.8819999999999908</v>
      </c>
      <c r="K224" s="130">
        <f t="shared" si="113"/>
        <v>9.3439999999999941</v>
      </c>
      <c r="L224" s="130">
        <f t="shared" si="113"/>
        <v>10.230000000000004</v>
      </c>
      <c r="M224" s="130">
        <f t="shared" si="113"/>
        <v>11.495999999999995</v>
      </c>
      <c r="N224" s="130">
        <f t="shared" si="113"/>
        <v>12.972000000000008</v>
      </c>
      <c r="O224" s="81">
        <f t="shared" ca="1" si="113"/>
        <v>13.167742917089456</v>
      </c>
      <c r="P224" s="81">
        <f t="shared" ca="1" si="113"/>
        <v>13.299061598920275</v>
      </c>
      <c r="Q224" s="81">
        <f t="shared" ca="1" si="113"/>
        <v>13.237886244421631</v>
      </c>
      <c r="R224" s="81">
        <f t="shared" ca="1" si="113"/>
        <v>12.98647627754255</v>
      </c>
      <c r="S224" s="81">
        <f t="shared" ca="1" si="113"/>
        <v>12.483622538800773</v>
      </c>
      <c r="T224" s="81">
        <f t="shared" ca="1" si="113"/>
        <v>11.739121187947632</v>
      </c>
      <c r="U224" s="81">
        <f t="shared" ca="1" si="113"/>
        <v>10.751002441463513</v>
      </c>
      <c r="V224" s="81">
        <f t="shared" ca="1" si="113"/>
        <v>9.5022070729195747</v>
      </c>
      <c r="W224" s="81">
        <f t="shared" ca="1" si="113"/>
        <v>7.976551464960238</v>
      </c>
      <c r="X224" s="81">
        <f t="shared" ca="1" si="113"/>
        <v>6.1543589376671619</v>
      </c>
    </row>
    <row r="225" spans="1:24" x14ac:dyDescent="0.2">
      <c r="A225" s="27" t="s">
        <v>401</v>
      </c>
      <c r="B225" s="231"/>
      <c r="C225" s="74"/>
      <c r="D225" s="71">
        <f>Data!C$85</f>
        <v>35.892000000000003</v>
      </c>
      <c r="E225" s="71">
        <f>Data!D$85</f>
        <v>37.335999999999999</v>
      </c>
      <c r="F225" s="71">
        <f>Data!E$85</f>
        <v>50.545000000000002</v>
      </c>
      <c r="G225" s="71">
        <f>Data!F$85</f>
        <v>58.582999999999998</v>
      </c>
      <c r="H225" s="71">
        <f>Data!G$85</f>
        <v>76.885000000000005</v>
      </c>
      <c r="I225" s="71">
        <f>Data!H$85</f>
        <v>84.68</v>
      </c>
      <c r="J225" s="131">
        <f>Data!I$85 + IF($F$1="Yes",J$326,0) + IF($I$1="Yes",J$313,0)+ IF($L$1="Yes",J$344,0)</f>
        <v>86.281999999999996</v>
      </c>
      <c r="K225" s="131">
        <f>Data!J$85 + IF($F$1="Yes",K$326,0) + IF($I$1="Yes",K$313,0)+ IF($L$1="Yes",K$344,0)</f>
        <v>94.688999999999993</v>
      </c>
      <c r="L225" s="131">
        <f>Data!K$85 + IF($F$1="Yes",L$326,0) + IF($I$1="Yes",L$313,0)+ IF($L$1="Yes",L$344,0)</f>
        <v>92.597999999999999</v>
      </c>
      <c r="M225" s="131">
        <f>Data!L$85 + IF($F$1="Yes",M$326,0) + IF($I$1="Yes",M$313,0)+ IF($L$1="Yes",M$344,0)</f>
        <v>96.570999999999998</v>
      </c>
      <c r="N225" s="131">
        <f>Data!M$85 + IF($F$1="Yes",N$326,0) + IF($I$1="Yes",N$313,0)+ IF($L$1="Yes",N$344,0)</f>
        <v>102.45</v>
      </c>
      <c r="O225" s="107">
        <f ca="1">N$225+(O$33-N$33)-(O$35-N$35)-O$24 + IF(AND(OFFSET(Scenarios!$A$40,0,$C$1)="Yes",O$4&gt;=OFFSET(Scenarios!$A$41,0,$C$1),O$4&lt;=OFFSET(Scenarios!$A$42,0,$C$1)),OFFSET(Scenarios!$A$43,0,$C$1)*(1+OFFSET(Scenarios!$A$44,0,$C$1))^MAX(0,O$4-OFFSET(Scenarios!$A$41,0,$C$1)),0)</f>
        <v>103.99593446313702</v>
      </c>
      <c r="P225" s="107">
        <f ca="1">O$225+(P$33-O$33)-(P$35-O$35)-P$24 + IF(AND(OFFSET(Scenarios!$A$40,0,$C$1)="Yes",P$4&gt;=OFFSET(Scenarios!$A$41,0,$C$1),P$4&lt;=OFFSET(Scenarios!$A$42,0,$C$1)),OFFSET(Scenarios!$A$43,0,$C$1)*(1+OFFSET(Scenarios!$A$44,0,$C$1))^MAX(0,P$4-OFFSET(Scenarios!$A$41,0,$C$1)),0)</f>
        <v>105.03306050026065</v>
      </c>
      <c r="Q225" s="107">
        <f ca="1">P$225+(Q$33-P$33)-(Q$35-P$35)-Q$24 + IF(AND(OFFSET(Scenarios!$A$40,0,$C$1)="Yes",Q$4&gt;=OFFSET(Scenarios!$A$41,0,$C$1),Q$4&lt;=OFFSET(Scenarios!$A$42,0,$C$1)),OFFSET(Scenarios!$A$43,0,$C$1)*(1+OFFSET(Scenarios!$A$44,0,$C$1))^MAX(0,Q$4-OFFSET(Scenarios!$A$41,0,$C$1)),0)</f>
        <v>104.54991101919481</v>
      </c>
      <c r="R225" s="107">
        <f ca="1">Q$225+(R$33-Q$33)-(R$35-Q$35)-R$24 + IF(AND(OFFSET(Scenarios!$A$40,0,$C$1)="Yes",R$4&gt;=OFFSET(Scenarios!$A$41,0,$C$1),R$4&lt;=OFFSET(Scenarios!$A$42,0,$C$1)),OFFSET(Scenarios!$A$43,0,$C$1)*(1+OFFSET(Scenarios!$A$44,0,$C$1))^MAX(0,R$4-OFFSET(Scenarios!$A$41,0,$C$1)),0)</f>
        <v>102.56433045283949</v>
      </c>
      <c r="S225" s="107">
        <f ca="1">R$225+(S$33-R$33)-(S$35-R$35)-S$24 + IF(AND(OFFSET(Scenarios!$A$40,0,$C$1)="Yes",S$4&gt;=OFFSET(Scenarios!$A$41,0,$C$1),S$4&lt;=OFFSET(Scenarios!$A$42,0,$C$1)),OFFSET(Scenarios!$A$43,0,$C$1)*(1+OFFSET(Scenarios!$A$44,0,$C$1))^MAX(0,S$4-OFFSET(Scenarios!$A$41,0,$C$1)),0)</f>
        <v>98.592902335810791</v>
      </c>
      <c r="T225" s="107">
        <f ca="1">S$225+(T$33-S$33)-(T$35-S$35)-T$24 + IF(AND(OFFSET(Scenarios!$A$40,0,$C$1)="Yes",T$4&gt;=OFFSET(Scenarios!$A$41,0,$C$1),T$4&lt;=OFFSET(Scenarios!$A$42,0,$C$1)),OFFSET(Scenarios!$A$43,0,$C$1)*(1+OFFSET(Scenarios!$A$44,0,$C$1))^MAX(0,T$4-OFFSET(Scenarios!$A$41,0,$C$1)),0)</f>
        <v>92.712994581038672</v>
      </c>
      <c r="U225" s="107">
        <f ca="1">T$225+(U$33-T$33)-(U$35-T$35)-U$24 + IF(AND(OFFSET(Scenarios!$A$40,0,$C$1)="Yes",U$4&gt;=OFFSET(Scenarios!$A$41,0,$C$1),U$4&lt;=OFFSET(Scenarios!$A$42,0,$C$1)),OFFSET(Scenarios!$A$43,0,$C$1)*(1+OFFSET(Scenarios!$A$44,0,$C$1))^MAX(0,U$4-OFFSET(Scenarios!$A$41,0,$C$1)),0)</f>
        <v>84.909050271965398</v>
      </c>
      <c r="V225" s="107">
        <f ca="1">U$225+(V$33-U$33)-(V$35-U$35)-V$24 + IF(AND(OFFSET(Scenarios!$A$40,0,$C$1)="Yes",V$4&gt;=OFFSET(Scenarios!$A$41,0,$C$1),V$4&lt;=OFFSET(Scenarios!$A$42,0,$C$1)),OFFSET(Scenarios!$A$43,0,$C$1)*(1+OFFSET(Scenarios!$A$44,0,$C$1))^MAX(0,V$4-OFFSET(Scenarios!$A$41,0,$C$1)),0)</f>
        <v>75.04633939412642</v>
      </c>
      <c r="W225" s="107">
        <f ca="1">V$225+(W$33-V$33)-(W$35-V$35)-W$24 + IF(AND(OFFSET(Scenarios!$A$40,0,$C$1)="Yes",W$4&gt;=OFFSET(Scenarios!$A$41,0,$C$1),W$4&lt;=OFFSET(Scenarios!$A$42,0,$C$1)),OFFSET(Scenarios!$A$43,0,$C$1)*(1+OFFSET(Scenarios!$A$44,0,$C$1))^MAX(0,W$4-OFFSET(Scenarios!$A$41,0,$C$1)),0)</f>
        <v>62.997047300738117</v>
      </c>
      <c r="X225" s="107">
        <f ca="1">W$225+(X$33-W$33)-(X$35-W$35)-X$24 + IF(AND(OFFSET(Scenarios!$A$40,0,$C$1)="Yes",X$4&gt;=OFFSET(Scenarios!$A$41,0,$C$1),X$4&lt;=OFFSET(Scenarios!$A$42,0,$C$1)),OFFSET(Scenarios!$A$43,0,$C$1)*(1+OFFSET(Scenarios!$A$44,0,$C$1))^MAX(0,X$4-OFFSET(Scenarios!$A$41,0,$C$1)),0)</f>
        <v>48.605771905951229</v>
      </c>
    </row>
    <row r="226" spans="1:24" x14ac:dyDescent="0.2">
      <c r="A226" s="161" t="s">
        <v>652</v>
      </c>
      <c r="B226" s="231"/>
      <c r="C226" s="74"/>
      <c r="D226" s="176">
        <f>Data!C$86</f>
        <v>0.91300000000000003</v>
      </c>
      <c r="E226" s="176">
        <f>Data!D$86</f>
        <v>0.40899999999999997</v>
      </c>
      <c r="F226" s="176">
        <f>Data!E$86</f>
        <v>0.42799999999999999</v>
      </c>
      <c r="G226" s="176">
        <f>Data!F$86</f>
        <v>0.308</v>
      </c>
      <c r="H226" s="176">
        <f>Data!G$86</f>
        <v>0.40500000000000003</v>
      </c>
      <c r="I226" s="176">
        <f>Data!H$86</f>
        <v>-0.51200000000000001</v>
      </c>
      <c r="J226" s="130">
        <f>Data!I$86</f>
        <v>-0.67100000000000004</v>
      </c>
      <c r="K226" s="130">
        <f>Data!J$86</f>
        <v>-0.81200000000000006</v>
      </c>
      <c r="L226" s="130">
        <f>Data!K$86</f>
        <v>-0.91100000000000003</v>
      </c>
      <c r="M226" s="130">
        <f>Data!L$86</f>
        <v>-1.056</v>
      </c>
      <c r="N226" s="130">
        <f>Data!M$86</f>
        <v>-1.111</v>
      </c>
      <c r="O226" s="278">
        <f>IF(O$2="Proj Yr1",0,N$226)</f>
        <v>0</v>
      </c>
      <c r="P226" s="278">
        <f t="shared" ref="P226:X226" si="114">IF(P$2="Proj Yr1",0,O$226)</f>
        <v>0</v>
      </c>
      <c r="Q226" s="278">
        <f t="shared" si="114"/>
        <v>0</v>
      </c>
      <c r="R226" s="278">
        <f t="shared" si="114"/>
        <v>0</v>
      </c>
      <c r="S226" s="278">
        <f t="shared" si="114"/>
        <v>0</v>
      </c>
      <c r="T226" s="278">
        <f t="shared" si="114"/>
        <v>0</v>
      </c>
      <c r="U226" s="278">
        <f t="shared" si="114"/>
        <v>0</v>
      </c>
      <c r="V226" s="278">
        <f t="shared" si="114"/>
        <v>0</v>
      </c>
      <c r="W226" s="278">
        <f t="shared" si="114"/>
        <v>0</v>
      </c>
      <c r="X226" s="278">
        <f t="shared" si="114"/>
        <v>0</v>
      </c>
    </row>
    <row r="227" spans="1:24" x14ac:dyDescent="0.2">
      <c r="A227" s="27" t="s">
        <v>402</v>
      </c>
      <c r="C227" s="74"/>
      <c r="D227" s="71">
        <f t="shared" ref="D227:X227" si="115">SUM(D$225,D$226)</f>
        <v>36.805</v>
      </c>
      <c r="E227" s="71">
        <f t="shared" si="115"/>
        <v>37.744999999999997</v>
      </c>
      <c r="F227" s="71">
        <f t="shared" si="115"/>
        <v>50.972999999999999</v>
      </c>
      <c r="G227" s="71">
        <f t="shared" si="115"/>
        <v>58.890999999999998</v>
      </c>
      <c r="H227" s="71">
        <f t="shared" si="115"/>
        <v>77.290000000000006</v>
      </c>
      <c r="I227" s="71">
        <f t="shared" si="115"/>
        <v>84.168000000000006</v>
      </c>
      <c r="J227" s="131">
        <f t="shared" si="115"/>
        <v>85.61099999999999</v>
      </c>
      <c r="K227" s="131">
        <f t="shared" si="115"/>
        <v>93.876999999999995</v>
      </c>
      <c r="L227" s="131">
        <f t="shared" si="115"/>
        <v>91.686999999999998</v>
      </c>
      <c r="M227" s="131">
        <f t="shared" si="115"/>
        <v>95.515000000000001</v>
      </c>
      <c r="N227" s="131">
        <f t="shared" si="115"/>
        <v>101.339</v>
      </c>
      <c r="O227" s="75">
        <f t="shared" ca="1" si="115"/>
        <v>103.99593446313702</v>
      </c>
      <c r="P227" s="75">
        <f t="shared" ca="1" si="115"/>
        <v>105.03306050026065</v>
      </c>
      <c r="Q227" s="75">
        <f t="shared" ca="1" si="115"/>
        <v>104.54991101919481</v>
      </c>
      <c r="R227" s="75">
        <f t="shared" ca="1" si="115"/>
        <v>102.56433045283949</v>
      </c>
      <c r="S227" s="75">
        <f t="shared" ca="1" si="115"/>
        <v>98.592902335810791</v>
      </c>
      <c r="T227" s="75">
        <f t="shared" ca="1" si="115"/>
        <v>92.712994581038672</v>
      </c>
      <c r="U227" s="75">
        <f t="shared" ca="1" si="115"/>
        <v>84.909050271965398</v>
      </c>
      <c r="V227" s="75">
        <f t="shared" ca="1" si="115"/>
        <v>75.04633939412642</v>
      </c>
      <c r="W227" s="75">
        <f t="shared" ca="1" si="115"/>
        <v>62.997047300738117</v>
      </c>
      <c r="X227" s="75">
        <f t="shared" ca="1" si="115"/>
        <v>48.605771905951229</v>
      </c>
    </row>
    <row r="228" spans="1:24" x14ac:dyDescent="0.2">
      <c r="A228" s="108" t="s">
        <v>680</v>
      </c>
      <c r="B228" s="231"/>
      <c r="C228" s="74"/>
      <c r="D228" s="69">
        <f>SUM(Data!C$95,-Data!C$96)</f>
        <v>6.1579999999999995</v>
      </c>
      <c r="E228" s="69">
        <f>SUM(Data!D$95,-Data!D$96)</f>
        <v>6.3550000000000004</v>
      </c>
      <c r="F228" s="69">
        <f>SUM(Data!E$95,-Data!E$96)</f>
        <v>7.6170000000000009</v>
      </c>
      <c r="G228" s="69">
        <f>SUM(Data!F$95,-Data!F$96)</f>
        <v>5.3000000000000007</v>
      </c>
      <c r="H228" s="69">
        <f>SUM(Data!G$95,-Data!G$96)</f>
        <v>4.8699999999999992</v>
      </c>
      <c r="I228" s="69">
        <f>SUM(Data!H$95,-Data!H$96)</f>
        <v>4.5329999999999995</v>
      </c>
      <c r="J228" s="105">
        <f>SUM(Data!I$95,-Data!I$96)</f>
        <v>5.4350000000000005</v>
      </c>
      <c r="K228" s="105">
        <f>SUM(Data!J$95,-Data!J$96)</f>
        <v>5.4350000000000005</v>
      </c>
      <c r="L228" s="105">
        <f>SUM(Data!K$95,-Data!K$96)</f>
        <v>5.4350000000000005</v>
      </c>
      <c r="M228" s="105">
        <f>SUM(Data!L$95,-Data!L$96)</f>
        <v>5.4550000000000001</v>
      </c>
      <c r="N228" s="105">
        <f>SUM(Data!M$95,-Data!M$96)</f>
        <v>5.48</v>
      </c>
      <c r="O228" s="73">
        <f t="shared" ref="O228:X228" si="116">N$228</f>
        <v>5.48</v>
      </c>
      <c r="P228" s="73">
        <f t="shared" si="116"/>
        <v>5.48</v>
      </c>
      <c r="Q228" s="73">
        <f t="shared" si="116"/>
        <v>5.48</v>
      </c>
      <c r="R228" s="73">
        <f t="shared" si="116"/>
        <v>5.48</v>
      </c>
      <c r="S228" s="73">
        <f t="shared" si="116"/>
        <v>5.48</v>
      </c>
      <c r="T228" s="73">
        <f t="shared" si="116"/>
        <v>5.48</v>
      </c>
      <c r="U228" s="73">
        <f t="shared" si="116"/>
        <v>5.48</v>
      </c>
      <c r="V228" s="73">
        <f t="shared" si="116"/>
        <v>5.48</v>
      </c>
      <c r="W228" s="73">
        <f t="shared" si="116"/>
        <v>5.48</v>
      </c>
      <c r="X228" s="73">
        <f t="shared" si="116"/>
        <v>5.48</v>
      </c>
    </row>
    <row r="229" spans="1:24" x14ac:dyDescent="0.2">
      <c r="A229" s="108"/>
      <c r="C229" s="74"/>
      <c r="D229" s="72"/>
      <c r="E229" s="72"/>
      <c r="F229" s="72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</row>
    <row r="230" spans="1:24" ht="15.75" x14ac:dyDescent="0.25">
      <c r="A230" s="153" t="s">
        <v>388</v>
      </c>
      <c r="D230" s="163" t="s">
        <v>445</v>
      </c>
      <c r="E230" s="163" t="s">
        <v>446</v>
      </c>
      <c r="F230" s="163" t="s">
        <v>447</v>
      </c>
      <c r="G230" s="163" t="s">
        <v>448</v>
      </c>
      <c r="H230" s="163" t="s">
        <v>449</v>
      </c>
      <c r="I230" s="163" t="s">
        <v>450</v>
      </c>
      <c r="J230" s="140" t="s">
        <v>451</v>
      </c>
      <c r="K230" s="140" t="s">
        <v>452</v>
      </c>
      <c r="L230" s="140" t="s">
        <v>453</v>
      </c>
      <c r="M230" s="140" t="s">
        <v>454</v>
      </c>
      <c r="N230" s="140" t="s">
        <v>455</v>
      </c>
      <c r="O230" s="139" t="s">
        <v>456</v>
      </c>
      <c r="P230" s="139" t="s">
        <v>457</v>
      </c>
      <c r="Q230" s="139" t="s">
        <v>458</v>
      </c>
      <c r="R230" s="139" t="s">
        <v>459</v>
      </c>
      <c r="S230" s="139" t="s">
        <v>460</v>
      </c>
      <c r="T230" s="139" t="s">
        <v>461</v>
      </c>
      <c r="U230" s="139" t="s">
        <v>462</v>
      </c>
      <c r="V230" s="139" t="s">
        <v>463</v>
      </c>
      <c r="W230" s="139" t="s">
        <v>464</v>
      </c>
      <c r="X230" s="139" t="s">
        <v>465</v>
      </c>
    </row>
    <row r="231" spans="1:24" x14ac:dyDescent="0.2">
      <c r="A231" s="27" t="s">
        <v>154</v>
      </c>
      <c r="B231" s="231"/>
      <c r="D231" s="69">
        <f>Data!C$226</f>
        <v>134.864</v>
      </c>
      <c r="E231" s="69">
        <f>Data!D$226</f>
        <v>137.30000000000001</v>
      </c>
      <c r="F231" s="69">
        <f>Data!E$226</f>
        <v>134.495</v>
      </c>
      <c r="G231" s="69">
        <f>Data!F$226</f>
        <v>134.53700000000001</v>
      </c>
      <c r="H231" s="69">
        <f>Data!G$226</f>
        <v>136.232</v>
      </c>
      <c r="I231" s="69">
        <f>Data!H$226</f>
        <v>139.017</v>
      </c>
      <c r="J231" s="125">
        <f ca="1">IF(OR($F$1="Yes",$O$1="Yes"),OFFSET('Forecast Adjuster'!$A$40,0,J$278),Data!I$226)</f>
        <v>142.197</v>
      </c>
      <c r="K231" s="125">
        <f ca="1">IF(OR($F$1="Yes",$O$1="Yes"),OFFSET('Forecast Adjuster'!$A$40,0,K$278),Data!J$226)</f>
        <v>146.446</v>
      </c>
      <c r="L231" s="125">
        <f ca="1">IF(OR($F$1="Yes",$O$1="Yes"),OFFSET('Forecast Adjuster'!$A$40,0,L$278),Data!K$226)</f>
        <v>150.10599999999999</v>
      </c>
      <c r="M231" s="125">
        <f ca="1">IF(OR($F$1="Yes",$O$1="Yes"),OFFSET('Forecast Adjuster'!$A$40,0,M$278),Data!L$226)</f>
        <v>153.66200000000001</v>
      </c>
      <c r="N231" s="125">
        <f ca="1">IF(OR($F$1="Yes",$O$1="Yes"),OFFSET('Forecast Adjuster'!$A$40,0,N$278),Data!M$226)</f>
        <v>157.31</v>
      </c>
      <c r="O231" s="100">
        <f ca="1">IF(OR($F$1="Yes",$O$1="Yes"),OFFSET('Forecast Adjuster'!$A$40,0,O$278),IF(OFFSET(Scenarios!$A$14,0,$C$1)&gt;=O$4,Data!Q$226,N$231*(1+O$248)*(O$240*(1-O$243)*O$246)/(N$240*(1-N$243)*N$246)))</f>
        <v>161.08500000000001</v>
      </c>
      <c r="P231" s="100">
        <f ca="1">IF(OR($F$1="Yes",$O$1="Yes"),OFFSET('Forecast Adjuster'!$A$40,0,P$278),IF(OFFSET(Scenarios!$A$14,0,$C$1)&gt;=P$4,Data!R$226,O$231*(1+P$248)*(P$240*(1-P$243)*P$246)/(O$240*(1-O$243)*O$246)))</f>
        <v>165.03200000000001</v>
      </c>
      <c r="Q231" s="100">
        <f ca="1">IF(OR($F$1="Yes",$O$1="Yes"),OFFSET('Forecast Adjuster'!$A$40,0,Q$278),IF(OFFSET(Scenarios!$A$14,0,$C$1)&gt;=Q$4,Data!S$226,P$231*(1+Q$248)*(Q$240*(1-Q$243)*Q$246)/(P$240*(1-P$243)*P$246)))</f>
        <v>169.26155321197155</v>
      </c>
      <c r="R231" s="100">
        <f ca="1">IF(OR($F$1="Yes",$O$1="Yes"),OFFSET('Forecast Adjuster'!$A$40,0,R$278),IF(OFFSET(Scenarios!$A$14,0,$C$1)&gt;=R$4,Data!T$226,Q$231*(1+R$248)*(R$240*(1-R$243)*R$246)/(Q$240*(1-Q$243)*Q$246)))</f>
        <v>173.51527308025331</v>
      </c>
      <c r="S231" s="100">
        <f ca="1">IF(OR($F$1="Yes",$O$1="Yes"),OFFSET('Forecast Adjuster'!$A$40,0,S$278),IF(OFFSET(Scenarios!$A$14,0,$C$1)&gt;=S$4,Data!U$226,R$231*(1+S$248)*(S$240*(1-S$243)*S$246)/(R$240*(1-R$243)*R$246)))</f>
        <v>177.9359604173267</v>
      </c>
      <c r="T231" s="100">
        <f ca="1">IF(OR($F$1="Yes",$O$1="Yes"),OFFSET('Forecast Adjuster'!$A$40,0,T$278),IF(OFFSET(Scenarios!$A$14,0,$C$1)&gt;=T$4,Data!V$226,S$231*(1+T$248)*(T$240*(1-T$243)*T$246)/(S$240*(1-S$243)*S$246)))</f>
        <v>182.45705631926091</v>
      </c>
      <c r="U231" s="100">
        <f ca="1">IF(OR($F$1="Yes",$O$1="Yes"),OFFSET('Forecast Adjuster'!$A$40,0,U$278),IF(OFFSET(Scenarios!$A$14,0,$C$1)&gt;=U$4,Data!W$226,T$231*(1+U$248)*(U$240*(1-U$243)*U$246)/(T$240*(1-T$243)*T$246)))</f>
        <v>186.92560473665074</v>
      </c>
      <c r="V231" s="100">
        <f ca="1">IF(OR($F$1="Yes",$O$1="Yes"),OFFSET('Forecast Adjuster'!$A$40,0,V$278),IF(OFFSET(Scenarios!$A$14,0,$C$1)&gt;=V$4,Data!X$226,U$231*(1+V$248)*(V$240*(1-V$243)*V$246)/(U$240*(1-U$243)*U$246)))</f>
        <v>191.35759357263174</v>
      </c>
      <c r="W231" s="100">
        <f ca="1">IF(OR($F$1="Yes",$O$1="Yes"),OFFSET('Forecast Adjuster'!$A$40,0,W$278),IF(OFFSET(Scenarios!$A$14,0,$C$1)&gt;=W$4,Data!Y$226,V$231*(1+W$248)*(W$240*(1-W$243)*W$246)/(V$240*(1-V$243)*V$246)))</f>
        <v>195.7914045067167</v>
      </c>
      <c r="X231" s="100">
        <f ca="1">IF(OR($F$1="Yes",$O$1="Yes"),OFFSET('Forecast Adjuster'!$A$40,0,X$278),IF(OFFSET(Scenarios!$A$14,0,$C$1)&gt;=X$4,Data!Z$226,W$231*(1+X$248)*(X$240*(1-X$243)*X$246)/(W$240*(1-W$243)*W$246)))</f>
        <v>200.20411275674471</v>
      </c>
    </row>
    <row r="232" spans="1:24" x14ac:dyDescent="0.2">
      <c r="A232" s="162" t="s">
        <v>137</v>
      </c>
      <c r="D232" s="119"/>
      <c r="E232" s="119">
        <f t="shared" ref="E232:X232" si="117">E$231/D$231-1</f>
        <v>1.8062640882666958E-2</v>
      </c>
      <c r="F232" s="119">
        <f t="shared" si="117"/>
        <v>-2.0429715950473493E-2</v>
      </c>
      <c r="G232" s="119">
        <f t="shared" si="117"/>
        <v>3.1227926688726093E-4</v>
      </c>
      <c r="H232" s="119">
        <f t="shared" si="117"/>
        <v>1.2598764652103078E-2</v>
      </c>
      <c r="I232" s="119">
        <f t="shared" si="117"/>
        <v>2.0443067708027396E-2</v>
      </c>
      <c r="J232" s="123">
        <f t="shared" ca="1" si="117"/>
        <v>2.2874900192062952E-2</v>
      </c>
      <c r="K232" s="123">
        <f t="shared" ca="1" si="117"/>
        <v>2.9881080472865085E-2</v>
      </c>
      <c r="L232" s="123">
        <f t="shared" ca="1" si="117"/>
        <v>2.4992147276128973E-2</v>
      </c>
      <c r="M232" s="123">
        <f t="shared" ca="1" si="117"/>
        <v>2.368992578577811E-2</v>
      </c>
      <c r="N232" s="123">
        <f t="shared" ca="1" si="117"/>
        <v>2.3740417279483506E-2</v>
      </c>
      <c r="O232" s="120">
        <f t="shared" ca="1" si="117"/>
        <v>2.3997202975017506E-2</v>
      </c>
      <c r="P232" s="120">
        <f t="shared" ca="1" si="117"/>
        <v>2.4502591799360651E-2</v>
      </c>
      <c r="Q232" s="120">
        <f t="shared" ca="1" si="117"/>
        <v>2.56286854184129E-2</v>
      </c>
      <c r="R232" s="120">
        <f t="shared" ca="1" si="117"/>
        <v>2.5131045931941154E-2</v>
      </c>
      <c r="S232" s="120">
        <f t="shared" ca="1" si="117"/>
        <v>2.5477223178093089E-2</v>
      </c>
      <c r="T232" s="120">
        <f t="shared" ca="1" si="117"/>
        <v>2.5408556490383205E-2</v>
      </c>
      <c r="U232" s="120">
        <f t="shared" ca="1" si="117"/>
        <v>2.4490959722439198E-2</v>
      </c>
      <c r="V232" s="120">
        <f t="shared" ca="1" si="117"/>
        <v>2.3709907704859257E-2</v>
      </c>
      <c r="W232" s="120">
        <f t="shared" ca="1" si="117"/>
        <v>2.3170289985916082E-2</v>
      </c>
      <c r="X232" s="120">
        <f t="shared" ca="1" si="117"/>
        <v>2.2537803746520479E-2</v>
      </c>
    </row>
    <row r="233" spans="1:24" x14ac:dyDescent="0.2">
      <c r="A233" s="27" t="s">
        <v>120</v>
      </c>
      <c r="B233" s="231"/>
      <c r="D233" s="69">
        <f>Data!C$227</f>
        <v>173.203</v>
      </c>
      <c r="E233" s="69">
        <f>Data!D$227</f>
        <v>185.917</v>
      </c>
      <c r="F233" s="69">
        <f>Data!E$227</f>
        <v>185.83799999999999</v>
      </c>
      <c r="G233" s="69">
        <f>Data!F$227</f>
        <v>191.31399999999999</v>
      </c>
      <c r="H233" s="69">
        <f>Data!G$227</f>
        <v>200.64099999999999</v>
      </c>
      <c r="I233" s="69">
        <f>Data!H$227</f>
        <v>208.21899999999999</v>
      </c>
      <c r="J233" s="125">
        <f ca="1">IF(OR($F$1="Yes",$O$1="Yes"),OFFSET('Forecast Adjuster'!$A$41,0,J$278),Data!I$227)</f>
        <v>216.048</v>
      </c>
      <c r="K233" s="125">
        <f ca="1">IF(OR($F$1="Yes",$O$1="Yes"),OFFSET('Forecast Adjuster'!$A$41,0,K$278),Data!J$227)</f>
        <v>228.797</v>
      </c>
      <c r="L233" s="125">
        <f ca="1">IF(OR($F$1="Yes",$O$1="Yes"),OFFSET('Forecast Adjuster'!$A$41,0,L$278),Data!K$227)</f>
        <v>239.279</v>
      </c>
      <c r="M233" s="125">
        <f ca="1">IF(OR($F$1="Yes",$O$1="Yes"),OFFSET('Forecast Adjuster'!$A$41,0,M$278),Data!L$227)</f>
        <v>249.023</v>
      </c>
      <c r="N233" s="125">
        <f ca="1">IF(OR($F$1="Yes",$O$1="Yes"),OFFSET('Forecast Adjuster'!$A$41,0,N$278),Data!M$227)</f>
        <v>259.149</v>
      </c>
      <c r="O233" s="73">
        <f t="shared" ref="O233:X233" ca="1" si="118">N$233*(O$231/N$231)*(1+O$236)</f>
        <v>270.71551721752979</v>
      </c>
      <c r="P233" s="73">
        <f t="shared" ca="1" si="118"/>
        <v>282.89572401025703</v>
      </c>
      <c r="Q233" s="73">
        <f t="shared" ca="1" si="118"/>
        <v>295.94888891767266</v>
      </c>
      <c r="R233" s="73">
        <f t="shared" ca="1" si="118"/>
        <v>309.45412191934099</v>
      </c>
      <c r="S233" s="73">
        <f t="shared" ca="1" si="118"/>
        <v>323.68491671979808</v>
      </c>
      <c r="T233" s="73">
        <f t="shared" ca="1" si="118"/>
        <v>338.54746887558525</v>
      </c>
      <c r="U233" s="73">
        <f t="shared" ca="1" si="118"/>
        <v>353.77559772594998</v>
      </c>
      <c r="V233" s="73">
        <f t="shared" ca="1" si="118"/>
        <v>369.40685618618897</v>
      </c>
      <c r="W233" s="73">
        <f t="shared" ca="1" si="118"/>
        <v>385.52544257014478</v>
      </c>
      <c r="X233" s="73">
        <f t="shared" ca="1" si="118"/>
        <v>402.09862612076279</v>
      </c>
    </row>
    <row r="234" spans="1:24" x14ac:dyDescent="0.2">
      <c r="A234" s="162" t="s">
        <v>137</v>
      </c>
      <c r="D234" s="119"/>
      <c r="E234" s="119">
        <f t="shared" ref="E234:X234" si="119">E$233/D$233-1</f>
        <v>7.3405195060131767E-2</v>
      </c>
      <c r="F234" s="119">
        <f t="shared" si="119"/>
        <v>-4.2492079799050231E-4</v>
      </c>
      <c r="G234" s="119">
        <f t="shared" si="119"/>
        <v>2.9466524607453692E-2</v>
      </c>
      <c r="H234" s="119">
        <f t="shared" si="119"/>
        <v>4.8752312951482857E-2</v>
      </c>
      <c r="I234" s="119">
        <f t="shared" si="119"/>
        <v>3.7768950513603849E-2</v>
      </c>
      <c r="J234" s="123">
        <f t="shared" ca="1" si="119"/>
        <v>3.7599834789332487E-2</v>
      </c>
      <c r="K234" s="123">
        <f t="shared" ca="1" si="119"/>
        <v>5.9010034807079892E-2</v>
      </c>
      <c r="L234" s="123">
        <f t="shared" ca="1" si="119"/>
        <v>4.5813537764918255E-2</v>
      </c>
      <c r="M234" s="123">
        <f t="shared" ca="1" si="119"/>
        <v>4.0722336686462191E-2</v>
      </c>
      <c r="N234" s="123">
        <f t="shared" ca="1" si="119"/>
        <v>4.0662910654839068E-2</v>
      </c>
      <c r="O234" s="120">
        <f t="shared" ca="1" si="119"/>
        <v>4.4632690913450457E-2</v>
      </c>
      <c r="P234" s="120">
        <f t="shared" ca="1" si="119"/>
        <v>4.4992643635348051E-2</v>
      </c>
      <c r="Q234" s="120">
        <f t="shared" ca="1" si="119"/>
        <v>4.6141259126781131E-2</v>
      </c>
      <c r="R234" s="120">
        <f t="shared" ca="1" si="119"/>
        <v>4.5633666850579901E-2</v>
      </c>
      <c r="S234" s="120">
        <f t="shared" ca="1" si="119"/>
        <v>4.5986767641654991E-2</v>
      </c>
      <c r="T234" s="120">
        <f t="shared" ca="1" si="119"/>
        <v>4.5916727620191056E-2</v>
      </c>
      <c r="U234" s="120">
        <f t="shared" ca="1" si="119"/>
        <v>4.498077891688812E-2</v>
      </c>
      <c r="V234" s="120">
        <f t="shared" ca="1" si="119"/>
        <v>4.4184105858956491E-2</v>
      </c>
      <c r="W234" s="120">
        <f t="shared" ca="1" si="119"/>
        <v>4.3633695785634474E-2</v>
      </c>
      <c r="X234" s="120">
        <f t="shared" ca="1" si="119"/>
        <v>4.2988559821451E-2</v>
      </c>
    </row>
    <row r="235" spans="1:24" x14ac:dyDescent="0.2">
      <c r="A235" s="27" t="s">
        <v>121</v>
      </c>
      <c r="B235" s="231"/>
      <c r="D235" s="179">
        <f>Data!C$228</f>
        <v>1020</v>
      </c>
      <c r="E235" s="179">
        <f>Data!D$228</f>
        <v>1061</v>
      </c>
      <c r="F235" s="179">
        <f>Data!E$228</f>
        <v>1081</v>
      </c>
      <c r="G235" s="179">
        <f>Data!F$228</f>
        <v>1099</v>
      </c>
      <c r="H235" s="179">
        <f>Data!G$228</f>
        <v>1157</v>
      </c>
      <c r="I235" s="179">
        <f>Data!H$228</f>
        <v>1168</v>
      </c>
      <c r="J235" s="171">
        <f ca="1">IF(OR($F$1="Yes",$O$1="Yes"),OFFSET('Forecast Adjuster'!$A$42,0,J$278),Data!I$228)</f>
        <v>1185</v>
      </c>
      <c r="K235" s="171">
        <f ca="1">IF(OR($F$1="Yes",$O$1="Yes"),OFFSET('Forecast Adjuster'!$A$42,0,K$278),Data!J$228)</f>
        <v>1210</v>
      </c>
      <c r="L235" s="171">
        <f ca="1">IF(OR($F$1="Yes",$O$1="Yes"),OFFSET('Forecast Adjuster'!$A$42,0,L$278),Data!K$228)</f>
        <v>1237</v>
      </c>
      <c r="M235" s="171">
        <f ca="1">IF(OR($F$1="Yes",$O$1="Yes"),OFFSET('Forecast Adjuster'!$A$42,0,M$278),Data!L$228)</f>
        <v>1264</v>
      </c>
      <c r="N235" s="171">
        <f ca="1">IF(OR($F$1="Yes",$O$1="Yes"),OFFSET('Forecast Adjuster'!$A$42,0,N$278),Data!M$228)</f>
        <v>1292</v>
      </c>
      <c r="O235" s="172">
        <f t="shared" ref="O235:X235" ca="1" si="120">N$235*(1+O$236)</f>
        <v>1318.0362531645569</v>
      </c>
      <c r="P235" s="172">
        <f t="shared" ca="1" si="120"/>
        <v>1344.396978227848</v>
      </c>
      <c r="Q235" s="172">
        <f t="shared" ca="1" si="120"/>
        <v>1371.2849177924049</v>
      </c>
      <c r="R235" s="172">
        <f t="shared" ca="1" si="120"/>
        <v>1398.7106161482532</v>
      </c>
      <c r="S235" s="172">
        <f t="shared" ca="1" si="120"/>
        <v>1426.6848284712182</v>
      </c>
      <c r="T235" s="172">
        <f t="shared" ca="1" si="120"/>
        <v>1455.2185250406426</v>
      </c>
      <c r="U235" s="172">
        <f t="shared" ca="1" si="120"/>
        <v>1484.3228955414554</v>
      </c>
      <c r="V235" s="172">
        <f t="shared" ca="1" si="120"/>
        <v>1514.0093534522846</v>
      </c>
      <c r="W235" s="172">
        <f t="shared" ca="1" si="120"/>
        <v>1544.2895405213303</v>
      </c>
      <c r="X235" s="172">
        <f t="shared" ca="1" si="120"/>
        <v>1575.175331331757</v>
      </c>
    </row>
    <row r="236" spans="1:24" x14ac:dyDescent="0.2">
      <c r="A236" s="162" t="s">
        <v>137</v>
      </c>
      <c r="D236" s="119"/>
      <c r="E236" s="119">
        <f t="shared" ref="E236:N236" si="121">E$235/D$235-1</f>
        <v>4.0196078431372628E-2</v>
      </c>
      <c r="F236" s="119">
        <f t="shared" si="121"/>
        <v>1.8850141376060225E-2</v>
      </c>
      <c r="G236" s="119">
        <f t="shared" si="121"/>
        <v>1.6651248843663202E-2</v>
      </c>
      <c r="H236" s="119">
        <f t="shared" si="121"/>
        <v>5.277525022747942E-2</v>
      </c>
      <c r="I236" s="119">
        <f t="shared" si="121"/>
        <v>9.5073465859982775E-3</v>
      </c>
      <c r="J236" s="335">
        <f t="shared" ca="1" si="121"/>
        <v>1.4554794520547976E-2</v>
      </c>
      <c r="K236" s="335">
        <f t="shared" ca="1" si="121"/>
        <v>2.1097046413502074E-2</v>
      </c>
      <c r="L236" s="335">
        <f t="shared" ca="1" si="121"/>
        <v>2.2314049586776852E-2</v>
      </c>
      <c r="M236" s="335">
        <f t="shared" ca="1" si="121"/>
        <v>2.1827000808407382E-2</v>
      </c>
      <c r="N236" s="335">
        <f t="shared" ca="1" si="121"/>
        <v>2.2151898734177111E-2</v>
      </c>
      <c r="O236" s="120">
        <f ca="1">IF(N$236&lt;OFFSET(Scenarios!$A$7,0,$C$1),MIN(N$236+OFFSET(Scenarios!$A$19,0,$C$1),OFFSET(Scenarios!$A$7,0,$C$1)),MAX(N$236-OFFSET(Scenarios!$A$19,0,$C$1),OFFSET(Scenarios!$A$7,0,$C$1)))</f>
        <v>2.0151898734177109E-2</v>
      </c>
      <c r="P236" s="120">
        <f ca="1">IF(O$236&lt;OFFSET(Scenarios!$A$7,0,$C$1),MIN(O$236+OFFSET(Scenarios!$A$19,0,$C$1),OFFSET(Scenarios!$A$7,0,$C$1)),MAX(O$236-OFFSET(Scenarios!$A$19,0,$C$1),OFFSET(Scenarios!$A$7,0,$C$1)))</f>
        <v>0.02</v>
      </c>
      <c r="Q236" s="120">
        <f ca="1">IF(P$236&lt;OFFSET(Scenarios!$A$7,0,$C$1),MIN(P$236+OFFSET(Scenarios!$A$19,0,$C$1),OFFSET(Scenarios!$A$7,0,$C$1)),MAX(P$236-OFFSET(Scenarios!$A$19,0,$C$1),OFFSET(Scenarios!$A$7,0,$C$1)))</f>
        <v>0.02</v>
      </c>
      <c r="R236" s="120">
        <f ca="1">IF(Q$236&lt;OFFSET(Scenarios!$A$7,0,$C$1),MIN(Q$236+OFFSET(Scenarios!$A$19,0,$C$1),OFFSET(Scenarios!$A$7,0,$C$1)),MAX(Q$236-OFFSET(Scenarios!$A$19,0,$C$1),OFFSET(Scenarios!$A$7,0,$C$1)))</f>
        <v>0.02</v>
      </c>
      <c r="S236" s="120">
        <f ca="1">IF(R$236&lt;OFFSET(Scenarios!$A$7,0,$C$1),MIN(R$236+OFFSET(Scenarios!$A$19,0,$C$1),OFFSET(Scenarios!$A$7,0,$C$1)),MAX(R$236-OFFSET(Scenarios!$A$19,0,$C$1),OFFSET(Scenarios!$A$7,0,$C$1)))</f>
        <v>0.02</v>
      </c>
      <c r="T236" s="120">
        <f ca="1">IF(S$236&lt;OFFSET(Scenarios!$A$7,0,$C$1),MIN(S$236+OFFSET(Scenarios!$A$19,0,$C$1),OFFSET(Scenarios!$A$7,0,$C$1)),MAX(S$236-OFFSET(Scenarios!$A$19,0,$C$1),OFFSET(Scenarios!$A$7,0,$C$1)))</f>
        <v>0.02</v>
      </c>
      <c r="U236" s="120">
        <f ca="1">IF(T$236&lt;OFFSET(Scenarios!$A$7,0,$C$1),MIN(T$236+OFFSET(Scenarios!$A$19,0,$C$1),OFFSET(Scenarios!$A$7,0,$C$1)),MAX(T$236-OFFSET(Scenarios!$A$19,0,$C$1),OFFSET(Scenarios!$A$7,0,$C$1)))</f>
        <v>0.02</v>
      </c>
      <c r="V236" s="120">
        <f ca="1">IF(U$236&lt;OFFSET(Scenarios!$A$7,0,$C$1),MIN(U$236+OFFSET(Scenarios!$A$19,0,$C$1),OFFSET(Scenarios!$A$7,0,$C$1)),MAX(U$236-OFFSET(Scenarios!$A$19,0,$C$1),OFFSET(Scenarios!$A$7,0,$C$1)))</f>
        <v>0.02</v>
      </c>
      <c r="W236" s="120">
        <f ca="1">IF(V$236&lt;OFFSET(Scenarios!$A$7,0,$C$1),MIN(V$236+OFFSET(Scenarios!$A$19,0,$C$1),OFFSET(Scenarios!$A$7,0,$C$1)),MAX(V$236-OFFSET(Scenarios!$A$19,0,$C$1),OFFSET(Scenarios!$A$7,0,$C$1)))</f>
        <v>0.02</v>
      </c>
      <c r="X236" s="120">
        <f ca="1">IF(W$236&lt;OFFSET(Scenarios!$A$7,0,$C$1),MIN(W$236+OFFSET(Scenarios!$A$19,0,$C$1),OFFSET(Scenarios!$A$7,0,$C$1)),MAX(W$236-OFFSET(Scenarios!$A$19,0,$C$1),OFFSET(Scenarios!$A$7,0,$C$1)))</f>
        <v>0.02</v>
      </c>
    </row>
    <row r="237" spans="1:24" x14ac:dyDescent="0.2">
      <c r="A237" s="27" t="s">
        <v>728</v>
      </c>
      <c r="B237" s="231"/>
      <c r="D237" s="119">
        <f>Data!C$236</f>
        <v>6.4100000000000004E-2</v>
      </c>
      <c r="E237" s="119">
        <f>Data!D$236</f>
        <v>6.8400000000000002E-2</v>
      </c>
      <c r="F237" s="119">
        <f>Data!E$236</f>
        <v>4.9599999999999998E-2</v>
      </c>
      <c r="G237" s="119">
        <f>Data!F$236</f>
        <v>5.0799999999999998E-2</v>
      </c>
      <c r="H237" s="119">
        <f>Data!G$236</f>
        <v>4.4699999999999997E-2</v>
      </c>
      <c r="I237" s="119">
        <f>Data!H$236</f>
        <v>3.5099999999999999E-2</v>
      </c>
      <c r="J237" s="123">
        <f ca="1">IF(OR($F$1="Yes",$O$1="Yes"),OFFSET('Forecast Adjuster'!$A$49,0,J$278),Data!I$236)</f>
        <v>2.9899999999999999E-2</v>
      </c>
      <c r="K237" s="123">
        <f ca="1">IF(OR($F$1="Yes",$O$1="Yes"),OFFSET('Forecast Adjuster'!$A$49,0,K$278),Data!J$236)</f>
        <v>3.4500000000000003E-2</v>
      </c>
      <c r="L237" s="123">
        <f ca="1">IF(OR($F$1="Yes",$O$1="Yes"),OFFSET('Forecast Adjuster'!$A$49,0,L$278),Data!K$236)</f>
        <v>4.2799999999999998E-2</v>
      </c>
      <c r="M237" s="123">
        <f ca="1">IF(OR($F$1="Yes",$O$1="Yes"),OFFSET('Forecast Adjuster'!$A$49,0,M$278),Data!L$236)</f>
        <v>4.8500000000000001E-2</v>
      </c>
      <c r="N237" s="123">
        <f ca="1">IF(OR($F$1="Yes",$O$1="Yes"),OFFSET('Forecast Adjuster'!$A$49,0,N$278),Data!M$236)</f>
        <v>5.0799999999999998E-2</v>
      </c>
      <c r="O237" s="120">
        <f ca="1">IF(N$237&lt;OFFSET(Scenarios!$A$8,0,$C$1),MIN(N$237+OFFSET(Scenarios!$A$20,0,$C$1),OFFSET(Scenarios!$A$8,0,$C$1)),MAX(N$237-OFFSET(Scenarios!$A$20,0,$C$1),OFFSET(Scenarios!$A$8,0,$C$1)))</f>
        <v>5.1799999999999999E-2</v>
      </c>
      <c r="P237" s="120">
        <f ca="1">IF(O$237&lt;OFFSET(Scenarios!$A$8,0,$C$1),MIN(O$237+OFFSET(Scenarios!$A$20,0,$C$1),OFFSET(Scenarios!$A$8,0,$C$1)),MAX(O$237-OFFSET(Scenarios!$A$20,0,$C$1),OFFSET(Scenarios!$A$8,0,$C$1)))</f>
        <v>5.28E-2</v>
      </c>
      <c r="Q237" s="120">
        <f ca="1">IF(P$237&lt;OFFSET(Scenarios!$A$8,0,$C$1),MIN(P$237+OFFSET(Scenarios!$A$20,0,$C$1),OFFSET(Scenarios!$A$8,0,$C$1)),MAX(P$237-OFFSET(Scenarios!$A$20,0,$C$1),OFFSET(Scenarios!$A$8,0,$C$1)))</f>
        <v>5.3800000000000001E-2</v>
      </c>
      <c r="R237" s="325">
        <f ca="1">IF(Q$237&lt;OFFSET(Scenarios!$A$8,0,$C$1),MIN(Q$237+OFFSET(Scenarios!$A$20,0,$C$1),OFFSET(Scenarios!$A$8,0,$C$1)),MAX(Q$237-OFFSET(Scenarios!$A$20,0,$C$1),OFFSET(Scenarios!$A$8,0,$C$1)))</f>
        <v>5.4800000000000001E-2</v>
      </c>
      <c r="S237" s="325">
        <f ca="1">IF(R$237&lt;OFFSET(Scenarios!$A$8,0,$C$1),MIN(R$237+OFFSET(Scenarios!$A$20,0,$C$1),OFFSET(Scenarios!$A$8,0,$C$1)),MAX(R$237-OFFSET(Scenarios!$A$20,0,$C$1),OFFSET(Scenarios!$A$8,0,$C$1)))</f>
        <v>5.5E-2</v>
      </c>
      <c r="T237" s="120">
        <f ca="1">IF(S$237&lt;OFFSET(Scenarios!$A$8,0,$C$1),MIN(S$237+OFFSET(Scenarios!$A$20,0,$C$1),OFFSET(Scenarios!$A$8,0,$C$1)),MAX(S$237-OFFSET(Scenarios!$A$20,0,$C$1),OFFSET(Scenarios!$A$8,0,$C$1)))</f>
        <v>5.5E-2</v>
      </c>
      <c r="U237" s="120">
        <f ca="1">IF(T$237&lt;OFFSET(Scenarios!$A$8,0,$C$1),MIN(T$237+OFFSET(Scenarios!$A$20,0,$C$1),OFFSET(Scenarios!$A$8,0,$C$1)),MAX(T$237-OFFSET(Scenarios!$A$20,0,$C$1),OFFSET(Scenarios!$A$8,0,$C$1)))</f>
        <v>5.5E-2</v>
      </c>
      <c r="V237" s="120">
        <f ca="1">IF(U$237&lt;OFFSET(Scenarios!$A$8,0,$C$1),MIN(U$237+OFFSET(Scenarios!$A$20,0,$C$1),OFFSET(Scenarios!$A$8,0,$C$1)),MAX(U$237-OFFSET(Scenarios!$A$20,0,$C$1),OFFSET(Scenarios!$A$8,0,$C$1)))</f>
        <v>5.5E-2</v>
      </c>
      <c r="W237" s="120">
        <f ca="1">IF(V$237&lt;OFFSET(Scenarios!$A$8,0,$C$1),MIN(V$237+OFFSET(Scenarios!$A$20,0,$C$1),OFFSET(Scenarios!$A$8,0,$C$1)),MAX(V$237-OFFSET(Scenarios!$A$20,0,$C$1),OFFSET(Scenarios!$A$8,0,$C$1)))</f>
        <v>5.5E-2</v>
      </c>
      <c r="X237" s="120">
        <f ca="1">IF(W$237&lt;OFFSET(Scenarios!$A$8,0,$C$1),MIN(W$237+OFFSET(Scenarios!$A$20,0,$C$1),OFFSET(Scenarios!$A$8,0,$C$1)),MAX(W$237-OFFSET(Scenarios!$A$20,0,$C$1),OFFSET(Scenarios!$A$8,0,$C$1)))</f>
        <v>5.5E-2</v>
      </c>
    </row>
    <row r="238" spans="1:24" x14ac:dyDescent="0.2">
      <c r="A238" s="269" t="s">
        <v>816</v>
      </c>
      <c r="B238" s="233"/>
      <c r="D238" s="271">
        <f>Data!C$230</f>
        <v>3.2764000000000002</v>
      </c>
      <c r="E238" s="271">
        <f>Data!D$230</f>
        <v>3.3161999999999998</v>
      </c>
      <c r="F238" s="271">
        <f>Data!E$230</f>
        <v>3.3551000000000002</v>
      </c>
      <c r="G238" s="271">
        <f>Data!F$230</f>
        <v>3.4039999999999999</v>
      </c>
      <c r="H238" s="271">
        <f>Data!G$230</f>
        <v>3.4479000000000002</v>
      </c>
      <c r="I238" s="271">
        <f>Data!H$230</f>
        <v>3.4786000000000001</v>
      </c>
      <c r="J238" s="125">
        <f ca="1">IF(OR($F$1="Yes",$O$1="Yes"),OFFSET('Forecast Adjuster'!$A$50,0,J$278),Data!I$230)</f>
        <v>3.5087000000000002</v>
      </c>
      <c r="K238" s="125">
        <f ca="1">IF(OR($F$1="Yes",$O$1="Yes"),OFFSET('Forecast Adjuster'!$A$50,0,K$278),Data!J$230)</f>
        <v>3.5457000000000001</v>
      </c>
      <c r="L238" s="125">
        <f ca="1">IF(OR($F$1="Yes",$O$1="Yes"),OFFSET('Forecast Adjuster'!$A$50,0,L$278),Data!K$230)</f>
        <v>3.5861999999999998</v>
      </c>
      <c r="M238" s="125">
        <f ca="1">IF(OR($F$1="Yes",$O$1="Yes"),OFFSET('Forecast Adjuster'!$A$50,0,M$278),Data!L$230)</f>
        <v>3.6263000000000001</v>
      </c>
      <c r="N238" s="125">
        <f ca="1">IF(OR($F$1="Yes",$O$1="Yes"),OFFSET('Forecast Adjuster'!$A$50,0,N$278),Data!M$230)</f>
        <v>3.6642999999999999</v>
      </c>
      <c r="O238" s="73">
        <f>'Labour Force'!O$4/1000</f>
        <v>3.7009662973524726</v>
      </c>
      <c r="P238" s="73">
        <f>'Labour Force'!P$4/1000</f>
        <v>3.7388515279145187</v>
      </c>
      <c r="Q238" s="73">
        <f>'Labour Force'!Q$4/1000</f>
        <v>3.7758717091020295</v>
      </c>
      <c r="R238" s="73">
        <f>'Labour Force'!R$4/1000</f>
        <v>3.8136881289183737</v>
      </c>
      <c r="S238" s="73">
        <f>'Labour Force'!S$4/1000</f>
        <v>3.853568871105769</v>
      </c>
      <c r="T238" s="73">
        <f>'Labour Force'!T$4/1000</f>
        <v>3.895012600231246</v>
      </c>
      <c r="U238" s="73">
        <f>'Labour Force'!U$4/1000</f>
        <v>3.9349424929512846</v>
      </c>
      <c r="V238" s="73">
        <f>'Labour Force'!V$4/1000</f>
        <v>3.9747937448190935</v>
      </c>
      <c r="W238" s="73">
        <f>'Labour Force'!W$4/1000</f>
        <v>4.0128952377247735</v>
      </c>
      <c r="X238" s="73">
        <f>'Labour Force'!X$4/1000</f>
        <v>4.0488341071941143</v>
      </c>
    </row>
    <row r="239" spans="1:24" x14ac:dyDescent="0.2">
      <c r="A239" s="162" t="s">
        <v>137</v>
      </c>
      <c r="D239" s="119"/>
      <c r="E239" s="119">
        <f t="shared" ref="E239:X239" si="122">E$238/D$238-1</f>
        <v>1.2147478940300216E-2</v>
      </c>
      <c r="F239" s="119">
        <f t="shared" si="122"/>
        <v>1.1730293709667716E-2</v>
      </c>
      <c r="G239" s="119">
        <f t="shared" si="122"/>
        <v>1.4574826383714212E-2</v>
      </c>
      <c r="H239" s="119">
        <f t="shared" si="122"/>
        <v>1.2896592244418414E-2</v>
      </c>
      <c r="I239" s="119">
        <f t="shared" si="122"/>
        <v>8.9039705327880192E-3</v>
      </c>
      <c r="J239" s="123">
        <f t="shared" ca="1" si="122"/>
        <v>8.6529063416316276E-3</v>
      </c>
      <c r="K239" s="123">
        <f t="shared" ca="1" si="122"/>
        <v>1.0545216176931493E-2</v>
      </c>
      <c r="L239" s="123">
        <f t="shared" ca="1" si="122"/>
        <v>1.1422286149420424E-2</v>
      </c>
      <c r="M239" s="123">
        <f t="shared" ca="1" si="122"/>
        <v>1.1181752272600542E-2</v>
      </c>
      <c r="N239" s="123">
        <f t="shared" ca="1" si="122"/>
        <v>1.047900063425522E-2</v>
      </c>
      <c r="O239" s="120">
        <f t="shared" ca="1" si="122"/>
        <v>1.0006357927154541E-2</v>
      </c>
      <c r="P239" s="120">
        <f t="shared" si="122"/>
        <v>1.0236578103709704E-2</v>
      </c>
      <c r="Q239" s="120">
        <f t="shared" si="122"/>
        <v>9.9014846968690229E-3</v>
      </c>
      <c r="R239" s="120">
        <f t="shared" si="122"/>
        <v>1.0015281961297751E-2</v>
      </c>
      <c r="S239" s="120">
        <f t="shared" si="122"/>
        <v>1.0457263635426317E-2</v>
      </c>
      <c r="T239" s="120">
        <f t="shared" si="122"/>
        <v>1.075463564080148E-2</v>
      </c>
      <c r="U239" s="120">
        <f t="shared" si="122"/>
        <v>1.025154391481764E-2</v>
      </c>
      <c r="V239" s="120">
        <f t="shared" si="122"/>
        <v>1.0127530945927443E-2</v>
      </c>
      <c r="W239" s="120">
        <f t="shared" si="122"/>
        <v>9.5857786219331054E-3</v>
      </c>
      <c r="X239" s="120">
        <f t="shared" si="122"/>
        <v>8.9558454283789057E-3</v>
      </c>
    </row>
    <row r="240" spans="1:24" x14ac:dyDescent="0.2">
      <c r="A240" s="27" t="s">
        <v>189</v>
      </c>
      <c r="B240" s="231"/>
      <c r="D240" s="69">
        <f>Data!C$229</f>
        <v>2.2385000000000002</v>
      </c>
      <c r="E240" s="69">
        <f>Data!D$229</f>
        <v>2.2618</v>
      </c>
      <c r="F240" s="69">
        <f>Data!E$229</f>
        <v>2.302</v>
      </c>
      <c r="G240" s="69">
        <f>Data!F$229</f>
        <v>2.3170000000000002</v>
      </c>
      <c r="H240" s="69">
        <f>Data!G$229</f>
        <v>2.3548</v>
      </c>
      <c r="I240" s="69">
        <f>Data!H$229</f>
        <v>2.3809999999999998</v>
      </c>
      <c r="J240" s="125">
        <f ca="1">IF(OR($F$1="Yes",$O$1="Yes"),OFFSET('Forecast Adjuster'!$A$43,0,J$278),Data!I$229)</f>
        <v>2.3957000000000002</v>
      </c>
      <c r="K240" s="125">
        <f ca="1">IF(OR($F$1="Yes",$O$1="Yes"),OFFSET('Forecast Adjuster'!$A$43,0,K$278),Data!J$229)</f>
        <v>2.4258000000000002</v>
      </c>
      <c r="L240" s="125">
        <f ca="1">IF(OR($F$1="Yes",$O$1="Yes"),OFFSET('Forecast Adjuster'!$A$43,0,L$278),Data!K$229)</f>
        <v>2.4586999999999999</v>
      </c>
      <c r="M240" s="125">
        <f ca="1">IF(OR($F$1="Yes",$O$1="Yes"),OFFSET('Forecast Adjuster'!$A$43,0,M$278),Data!L$229)</f>
        <v>2.4849000000000001</v>
      </c>
      <c r="N240" s="125">
        <f ca="1">IF(OR($F$1="Yes",$O$1="Yes"),OFFSET('Forecast Adjuster'!$A$43,0,N$278),Data!M$229)</f>
        <v>2.5102000000000002</v>
      </c>
      <c r="O240" s="73">
        <f>'Labour Force'!O$5/1000</f>
        <v>2.5386849417987767</v>
      </c>
      <c r="P240" s="73">
        <f>'Labour Force'!P$5/1000</f>
        <v>2.5659850510235929</v>
      </c>
      <c r="Q240" s="73">
        <f>'Labour Force'!Q$5/1000</f>
        <v>2.5916988554799651</v>
      </c>
      <c r="R240" s="73">
        <f>'Labour Force'!R$5/1000</f>
        <v>2.6164040834477595</v>
      </c>
      <c r="S240" s="73">
        <f>'Labour Force'!S$5/1000</f>
        <v>2.6406392951878668</v>
      </c>
      <c r="T240" s="73">
        <f>'Labour Force'!T$5/1000</f>
        <v>2.6649234669516919</v>
      </c>
      <c r="U240" s="73">
        <f>'Labour Force'!U$5/1000</f>
        <v>2.6884340703407821</v>
      </c>
      <c r="V240" s="73">
        <f>'Labour Force'!V$5/1000</f>
        <v>2.7115040335164156</v>
      </c>
      <c r="W240" s="73">
        <f>'Labour Force'!W$5/1000</f>
        <v>2.7333304120896273</v>
      </c>
      <c r="X240" s="73">
        <f>'Labour Force'!X$5/1000</f>
        <v>2.7536292379228571</v>
      </c>
    </row>
    <row r="241" spans="1:24" x14ac:dyDescent="0.2">
      <c r="A241" s="162" t="s">
        <v>137</v>
      </c>
      <c r="D241" s="119"/>
      <c r="E241" s="119">
        <f t="shared" ref="E241:X241" si="123">E$240/D$240-1</f>
        <v>1.0408755863301256E-2</v>
      </c>
      <c r="F241" s="119">
        <f t="shared" si="123"/>
        <v>1.7773454770536823E-2</v>
      </c>
      <c r="G241" s="119">
        <f t="shared" si="123"/>
        <v>6.5160729800173289E-3</v>
      </c>
      <c r="H241" s="119">
        <f t="shared" si="123"/>
        <v>1.6314199395770279E-2</v>
      </c>
      <c r="I241" s="119">
        <f t="shared" si="123"/>
        <v>1.1126210293867844E-2</v>
      </c>
      <c r="J241" s="123">
        <f t="shared" ca="1" si="123"/>
        <v>6.1738765224697012E-3</v>
      </c>
      <c r="K241" s="123">
        <f t="shared" ca="1" si="123"/>
        <v>1.25641774846601E-2</v>
      </c>
      <c r="L241" s="123">
        <f t="shared" ca="1" si="123"/>
        <v>1.3562536070574449E-2</v>
      </c>
      <c r="M241" s="123">
        <f t="shared" ca="1" si="123"/>
        <v>1.0656037743523195E-2</v>
      </c>
      <c r="N241" s="123">
        <f t="shared" ca="1" si="123"/>
        <v>1.0181496237273269E-2</v>
      </c>
      <c r="O241" s="120">
        <f t="shared" ca="1" si="123"/>
        <v>1.1347678192485278E-2</v>
      </c>
      <c r="P241" s="120">
        <f t="shared" si="123"/>
        <v>1.075364208268903E-2</v>
      </c>
      <c r="Q241" s="120">
        <f t="shared" si="123"/>
        <v>1.0021026601894967E-2</v>
      </c>
      <c r="R241" s="120">
        <f t="shared" si="123"/>
        <v>9.5324454519694068E-3</v>
      </c>
      <c r="S241" s="120">
        <f t="shared" si="123"/>
        <v>9.2627938831877366E-3</v>
      </c>
      <c r="T241" s="120">
        <f t="shared" si="123"/>
        <v>9.1963229540963365E-3</v>
      </c>
      <c r="U241" s="120">
        <f t="shared" si="123"/>
        <v>8.8222433704572278E-3</v>
      </c>
      <c r="V241" s="120">
        <f t="shared" si="123"/>
        <v>8.581189857004512E-3</v>
      </c>
      <c r="W241" s="120">
        <f t="shared" si="123"/>
        <v>8.0495467841537049E-3</v>
      </c>
      <c r="X241" s="120">
        <f t="shared" si="123"/>
        <v>7.4264076320400552E-3</v>
      </c>
    </row>
    <row r="242" spans="1:24" x14ac:dyDescent="0.2">
      <c r="A242" s="27" t="s">
        <v>139</v>
      </c>
      <c r="D242" s="119">
        <f t="shared" ref="D242:X242" si="124">D$240/D$238</f>
        <v>0.6832193871322183</v>
      </c>
      <c r="E242" s="119">
        <f t="shared" si="124"/>
        <v>0.68204571497497135</v>
      </c>
      <c r="F242" s="119">
        <f t="shared" si="124"/>
        <v>0.68611963875890436</v>
      </c>
      <c r="G242" s="119">
        <f t="shared" si="124"/>
        <v>0.68066980023501766</v>
      </c>
      <c r="H242" s="119">
        <f t="shared" si="124"/>
        <v>0.68296644334232426</v>
      </c>
      <c r="I242" s="119">
        <f t="shared" si="124"/>
        <v>0.68447076410050012</v>
      </c>
      <c r="J242" s="123">
        <f t="shared" ca="1" si="124"/>
        <v>0.68278849716419188</v>
      </c>
      <c r="K242" s="123">
        <f t="shared" ca="1" si="124"/>
        <v>0.68415263558676709</v>
      </c>
      <c r="L242" s="123">
        <f t="shared" ca="1" si="124"/>
        <v>0.68560035692376331</v>
      </c>
      <c r="M242" s="123">
        <f t="shared" ca="1" si="124"/>
        <v>0.68524391252792105</v>
      </c>
      <c r="N242" s="123">
        <f t="shared" ca="1" si="124"/>
        <v>0.68504216357830972</v>
      </c>
      <c r="O242" s="120">
        <f t="shared" si="124"/>
        <v>0.68595192115498405</v>
      </c>
      <c r="P242" s="120">
        <f t="shared" si="124"/>
        <v>0.68630300825421253</v>
      </c>
      <c r="Q242" s="120">
        <f t="shared" si="124"/>
        <v>0.68638424585042856</v>
      </c>
      <c r="R242" s="120">
        <f t="shared" si="124"/>
        <v>0.68605612074257782</v>
      </c>
      <c r="S242" s="120">
        <f t="shared" si="124"/>
        <v>0.68524512822062111</v>
      </c>
      <c r="T242" s="120">
        <f t="shared" si="124"/>
        <v>0.68418866393230049</v>
      </c>
      <c r="U242" s="120">
        <f t="shared" si="124"/>
        <v>0.68322067607254999</v>
      </c>
      <c r="V242" s="120">
        <f t="shared" si="124"/>
        <v>0.68217477625114498</v>
      </c>
      <c r="W242" s="120">
        <f t="shared" si="124"/>
        <v>0.68113674795043189</v>
      </c>
      <c r="X242" s="120">
        <f t="shared" si="124"/>
        <v>0.6801042386572741</v>
      </c>
    </row>
    <row r="243" spans="1:24" x14ac:dyDescent="0.2">
      <c r="A243" s="27" t="s">
        <v>123</v>
      </c>
      <c r="B243" s="231"/>
      <c r="D243" s="119">
        <f>Data!C$231</f>
        <v>3.7999999999999999E-2</v>
      </c>
      <c r="E243" s="119">
        <f>Data!D$231</f>
        <v>3.7499999999999999E-2</v>
      </c>
      <c r="F243" s="119">
        <f>Data!E$231</f>
        <v>4.9500000000000002E-2</v>
      </c>
      <c r="G243" s="119">
        <f>Data!F$231</f>
        <v>6.6000000000000003E-2</v>
      </c>
      <c r="H243" s="119">
        <f>Data!G$231</f>
        <v>6.5500000000000003E-2</v>
      </c>
      <c r="I243" s="119">
        <f>Data!H$231</f>
        <v>6.6299999999999998E-2</v>
      </c>
      <c r="J243" s="123">
        <f ca="1">IF(OR($F$1="Yes",$O$1="Yes"),OFFSET('Forecast Adjuster'!$A$44,0,J$278),Data!I$231)</f>
        <v>7.0099999999999996E-2</v>
      </c>
      <c r="K243" s="123">
        <f ca="1">IF(OR($F$1="Yes",$O$1="Yes"),OFFSET('Forecast Adjuster'!$A$44,0,K$278),Data!J$231)</f>
        <v>6.2899999999999998E-2</v>
      </c>
      <c r="L243" s="123">
        <f ca="1">IF(OR($F$1="Yes",$O$1="Yes"),OFFSET('Forecast Adjuster'!$A$44,0,L$278),Data!K$231)</f>
        <v>5.9200000000000003E-2</v>
      </c>
      <c r="M243" s="123">
        <f ca="1">IF(OR($F$1="Yes",$O$1="Yes"),OFFSET('Forecast Adjuster'!$A$44,0,M$278),Data!L$231)</f>
        <v>5.62E-2</v>
      </c>
      <c r="N243" s="123">
        <f ca="1">IF(OR($F$1="Yes",$O$1="Yes"),OFFSET('Forecast Adjuster'!$A$44,0,N$278),Data!M$231)</f>
        <v>5.1499999999999997E-2</v>
      </c>
      <c r="O243" s="325">
        <f ca="1">IF(N$243&lt;OFFSET(Scenarios!$A$9,0,$C$1),MIN(N$243+OFFSET(Scenarios!$A$21,0,$C$1),OFFSET(Scenarios!$A$9,0,$C$1)),MAX(N$243-OFFSET(Scenarios!$A$21,0,$C$1),OFFSET(Scenarios!$A$9,0,$C$1)))</f>
        <v>5.0499999999999996E-2</v>
      </c>
      <c r="P243" s="325">
        <f ca="1">IF(O$243&lt;OFFSET(Scenarios!$A$9,0,$C$1),MIN(O$243+OFFSET(Scenarios!$A$21,0,$C$1),OFFSET(Scenarios!$A$9,0,$C$1)),MAX(O$243-OFFSET(Scenarios!$A$21,0,$C$1),OFFSET(Scenarios!$A$9,0,$C$1)))</f>
        <v>4.9499999999999995E-2</v>
      </c>
      <c r="Q243" s="325">
        <f ca="1">IF(P$243&lt;OFFSET(Scenarios!$A$9,0,$C$1),MIN(P$243+OFFSET(Scenarios!$A$21,0,$C$1),OFFSET(Scenarios!$A$9,0,$C$1)),MAX(P$243-OFFSET(Scenarios!$A$21,0,$C$1),OFFSET(Scenarios!$A$9,0,$C$1)))</f>
        <v>4.8499999999999995E-2</v>
      </c>
      <c r="R243" s="325">
        <f ca="1">IF(Q$243&lt;OFFSET(Scenarios!$A$9,0,$C$1),MIN(Q$243+OFFSET(Scenarios!$A$21,0,$C$1),OFFSET(Scenarios!$A$9,0,$C$1)),MAX(Q$243-OFFSET(Scenarios!$A$21,0,$C$1),OFFSET(Scenarios!$A$9,0,$C$1)))</f>
        <v>4.7499999999999994E-2</v>
      </c>
      <c r="S243" s="325">
        <f ca="1">IF(R$243&lt;OFFSET(Scenarios!$A$9,0,$C$1),MIN(R$243+OFFSET(Scenarios!$A$21,0,$C$1),OFFSET(Scenarios!$A$9,0,$C$1)),MAX(R$243-OFFSET(Scenarios!$A$21,0,$C$1),OFFSET(Scenarios!$A$9,0,$C$1)))</f>
        <v>4.6499999999999993E-2</v>
      </c>
      <c r="T243" s="325">
        <f ca="1">IF(S$243&lt;OFFSET(Scenarios!$A$9,0,$C$1),MIN(S$243+OFFSET(Scenarios!$A$21,0,$C$1),OFFSET(Scenarios!$A$9,0,$C$1)),MAX(S$243-OFFSET(Scenarios!$A$21,0,$C$1),OFFSET(Scenarios!$A$9,0,$C$1)))</f>
        <v>4.5499999999999992E-2</v>
      </c>
      <c r="U243" s="325">
        <f ca="1">IF(T$243&lt;OFFSET(Scenarios!$A$9,0,$C$1),MIN(T$243+OFFSET(Scenarios!$A$21,0,$C$1),OFFSET(Scenarios!$A$9,0,$C$1)),MAX(T$243-OFFSET(Scenarios!$A$21,0,$C$1),OFFSET(Scenarios!$A$9,0,$C$1)))</f>
        <v>4.4999999999999998E-2</v>
      </c>
      <c r="V243" s="325">
        <f ca="1">IF(U$243&lt;OFFSET(Scenarios!$A$9,0,$C$1),MIN(U$243+OFFSET(Scenarios!$A$21,0,$C$1),OFFSET(Scenarios!$A$9,0,$C$1)),MAX(U$243-OFFSET(Scenarios!$A$21,0,$C$1),OFFSET(Scenarios!$A$9,0,$C$1)))</f>
        <v>4.4999999999999998E-2</v>
      </c>
      <c r="W243" s="325">
        <f ca="1">IF(V$243&lt;OFFSET(Scenarios!$A$9,0,$C$1),MIN(V$243+OFFSET(Scenarios!$A$21,0,$C$1),OFFSET(Scenarios!$A$9,0,$C$1)),MAX(V$243-OFFSET(Scenarios!$A$21,0,$C$1),OFFSET(Scenarios!$A$9,0,$C$1)))</f>
        <v>4.4999999999999998E-2</v>
      </c>
      <c r="X243" s="325">
        <f ca="1">IF(W$243&lt;OFFSET(Scenarios!$A$9,0,$C$1),MIN(W$243+OFFSET(Scenarios!$A$21,0,$C$1),OFFSET(Scenarios!$A$9,0,$C$1)),MAX(W$243-OFFSET(Scenarios!$A$21,0,$C$1),OFFSET(Scenarios!$A$9,0,$C$1)))</f>
        <v>4.4999999999999998E-2</v>
      </c>
    </row>
    <row r="244" spans="1:24" x14ac:dyDescent="0.2">
      <c r="A244" s="27" t="s">
        <v>515</v>
      </c>
      <c r="D244" s="69">
        <f t="shared" ref="D244:X244" si="125">D$240*(1-D$243)</f>
        <v>2.1534370000000003</v>
      </c>
      <c r="E244" s="69">
        <f t="shared" si="125"/>
        <v>2.1769825000000003</v>
      </c>
      <c r="F244" s="69">
        <f t="shared" si="125"/>
        <v>2.1880510000000002</v>
      </c>
      <c r="G244" s="69">
        <f t="shared" si="125"/>
        <v>2.1640779999999999</v>
      </c>
      <c r="H244" s="69">
        <f t="shared" si="125"/>
        <v>2.2005606000000002</v>
      </c>
      <c r="I244" s="69">
        <f t="shared" si="125"/>
        <v>2.2231396999999999</v>
      </c>
      <c r="J244" s="125">
        <f t="shared" ca="1" si="125"/>
        <v>2.2277614300000002</v>
      </c>
      <c r="K244" s="125">
        <f t="shared" ca="1" si="125"/>
        <v>2.2732171800000001</v>
      </c>
      <c r="L244" s="125">
        <f t="shared" ca="1" si="125"/>
        <v>2.3131449599999998</v>
      </c>
      <c r="M244" s="125">
        <f t="shared" ca="1" si="125"/>
        <v>2.34524862</v>
      </c>
      <c r="N244" s="125">
        <f t="shared" ca="1" si="125"/>
        <v>2.3809247</v>
      </c>
      <c r="O244" s="73">
        <f t="shared" ca="1" si="125"/>
        <v>2.4104813522379387</v>
      </c>
      <c r="P244" s="73">
        <f t="shared" ca="1" si="125"/>
        <v>2.438968790997925</v>
      </c>
      <c r="Q244" s="73">
        <f t="shared" ca="1" si="125"/>
        <v>2.4660014609891867</v>
      </c>
      <c r="R244" s="73">
        <f t="shared" ca="1" si="125"/>
        <v>2.4921248894839909</v>
      </c>
      <c r="S244" s="73">
        <f t="shared" ca="1" si="125"/>
        <v>2.5178495679616311</v>
      </c>
      <c r="T244" s="73">
        <f t="shared" ca="1" si="125"/>
        <v>2.5436694492053902</v>
      </c>
      <c r="U244" s="73">
        <f t="shared" ca="1" si="125"/>
        <v>2.5674545371754469</v>
      </c>
      <c r="V244" s="73">
        <f t="shared" ca="1" si="125"/>
        <v>2.5894863520081768</v>
      </c>
      <c r="W244" s="73">
        <f t="shared" ca="1" si="125"/>
        <v>2.6103305435455941</v>
      </c>
      <c r="X244" s="73">
        <f t="shared" ca="1" si="125"/>
        <v>2.6297159222163282</v>
      </c>
    </row>
    <row r="245" spans="1:24" x14ac:dyDescent="0.2">
      <c r="A245" s="162" t="s">
        <v>137</v>
      </c>
      <c r="D245" s="119"/>
      <c r="E245" s="119">
        <f t="shared" ref="E245:X245" si="126">E$244/D$244-1</f>
        <v>1.0933916339321836E-2</v>
      </c>
      <c r="F245" s="119">
        <f t="shared" si="126"/>
        <v>5.0843311785924161E-3</v>
      </c>
      <c r="G245" s="119">
        <f t="shared" si="126"/>
        <v>-1.0956325972292347E-2</v>
      </c>
      <c r="H245" s="119">
        <f t="shared" si="126"/>
        <v>1.6858264813006008E-2</v>
      </c>
      <c r="I245" s="119">
        <f t="shared" si="126"/>
        <v>1.0260612682059245E-2</v>
      </c>
      <c r="J245" s="123">
        <f t="shared" ca="1" si="126"/>
        <v>2.0789201866171503E-3</v>
      </c>
      <c r="K245" s="123">
        <f t="shared" ca="1" si="126"/>
        <v>2.0404227036105782E-2</v>
      </c>
      <c r="L245" s="123">
        <f t="shared" ca="1" si="126"/>
        <v>1.7564437024006452E-2</v>
      </c>
      <c r="M245" s="123">
        <f t="shared" ca="1" si="126"/>
        <v>1.3878792965919429E-2</v>
      </c>
      <c r="N245" s="123">
        <f t="shared" ca="1" si="126"/>
        <v>1.5212067367083693E-2</v>
      </c>
      <c r="O245" s="120">
        <f t="shared" ca="1" si="126"/>
        <v>1.241393826438042E-2</v>
      </c>
      <c r="P245" s="120">
        <f t="shared" ca="1" si="126"/>
        <v>1.1818153554076671E-2</v>
      </c>
      <c r="Q245" s="120">
        <f t="shared" ca="1" si="126"/>
        <v>1.1083647355816018E-2</v>
      </c>
      <c r="R245" s="120">
        <f t="shared" ca="1" si="126"/>
        <v>1.0593435935891682E-2</v>
      </c>
      <c r="S245" s="120">
        <f t="shared" ca="1" si="126"/>
        <v>1.0322387367579511E-2</v>
      </c>
      <c r="T245" s="120">
        <f t="shared" ca="1" si="126"/>
        <v>1.0254735458505637E-2</v>
      </c>
      <c r="U245" s="120">
        <f t="shared" ca="1" si="126"/>
        <v>9.3506992339302819E-3</v>
      </c>
      <c r="V245" s="120">
        <f t="shared" ca="1" si="126"/>
        <v>8.5811898570042899E-3</v>
      </c>
      <c r="W245" s="120">
        <f t="shared" ca="1" si="126"/>
        <v>8.0495467841537049E-3</v>
      </c>
      <c r="X245" s="120">
        <f t="shared" ca="1" si="126"/>
        <v>7.4264076320400552E-3</v>
      </c>
    </row>
    <row r="246" spans="1:24" x14ac:dyDescent="0.2">
      <c r="A246" s="27" t="s">
        <v>124</v>
      </c>
      <c r="B246" s="231"/>
      <c r="D246" s="406">
        <f>Data!C$232</f>
        <v>34.15</v>
      </c>
      <c r="E246" s="406">
        <f>Data!D$232</f>
        <v>33.799999999999997</v>
      </c>
      <c r="F246" s="406">
        <f>Data!E$232</f>
        <v>33.340000000000003</v>
      </c>
      <c r="G246" s="406">
        <f>Data!F$232</f>
        <v>33.229999999999997</v>
      </c>
      <c r="H246" s="406">
        <f>Data!G$232</f>
        <v>33.35</v>
      </c>
      <c r="I246" s="406">
        <f>Data!H$232</f>
        <v>33.25</v>
      </c>
      <c r="J246" s="294">
        <f ca="1">IF(OR($F$1="Yes",$O$1="Yes"),OFFSET('Forecast Adjuster'!$A$45,0,J$278),Data!I$232)</f>
        <v>33.24</v>
      </c>
      <c r="K246" s="294">
        <f ca="1">IF(OR($F$1="Yes",$O$1="Yes"),OFFSET('Forecast Adjuster'!$A$45,0,K$278),Data!J$232)</f>
        <v>33.22</v>
      </c>
      <c r="L246" s="294">
        <f ca="1">IF(OR($F$1="Yes",$O$1="Yes"),OFFSET('Forecast Adjuster'!$A$45,0,L$278),Data!K$232)</f>
        <v>33.130000000000003</v>
      </c>
      <c r="M246" s="294">
        <f ca="1">IF(OR($F$1="Yes",$O$1="Yes"),OFFSET('Forecast Adjuster'!$A$45,0,M$278),Data!L$232)</f>
        <v>33.090000000000003</v>
      </c>
      <c r="N246" s="294">
        <f ca="1">IF(OR($F$1="Yes",$O$1="Yes"),OFFSET('Forecast Adjuster'!$A$45,0,N$278),Data!M$232)</f>
        <v>33.08</v>
      </c>
      <c r="O246" s="407">
        <f ca="1">IF(N$246&lt;OFFSET(Scenarios!$A$10,0,$C$1),MIN(N$246+OFFSET(Scenarios!$A$22,0,$C$1),OFFSET(Scenarios!$A$10,0,$C$1)),MAX(N$246-OFFSET(Scenarios!$A$22,0,$C$1),OFFSET(Scenarios!$A$10,0,$C$1)))</f>
        <v>33.059999999999995</v>
      </c>
      <c r="P246" s="407">
        <f ca="1">IF(O$246&lt;OFFSET(Scenarios!$A$10,0,$C$1),MIN(O$246+OFFSET(Scenarios!$A$22,0,$C$1),OFFSET(Scenarios!$A$10,0,$C$1)),MAX(O$246-OFFSET(Scenarios!$A$22,0,$C$1),OFFSET(Scenarios!$A$10,0,$C$1)))</f>
        <v>33.039999999999992</v>
      </c>
      <c r="Q246" s="407">
        <f ca="1">IF(P$246&lt;OFFSET(Scenarios!$A$10,0,$C$1),MIN(P$246+OFFSET(Scenarios!$A$22,0,$C$1),OFFSET(Scenarios!$A$10,0,$C$1)),MAX(P$246-OFFSET(Scenarios!$A$22,0,$C$1),OFFSET(Scenarios!$A$10,0,$C$1)))</f>
        <v>33.019999999999989</v>
      </c>
      <c r="R246" s="407">
        <f ca="1">IF(Q$246&lt;OFFSET(Scenarios!$A$10,0,$C$1),MIN(Q$246+OFFSET(Scenarios!$A$22,0,$C$1),OFFSET(Scenarios!$A$10,0,$C$1)),MAX(Q$246-OFFSET(Scenarios!$A$22,0,$C$1),OFFSET(Scenarios!$A$10,0,$C$1)))</f>
        <v>33</v>
      </c>
      <c r="S246" s="407">
        <f ca="1">IF(R$246&lt;OFFSET(Scenarios!$A$10,0,$C$1),MIN(R$246+OFFSET(Scenarios!$A$22,0,$C$1),OFFSET(Scenarios!$A$10,0,$C$1)),MAX(R$246-OFFSET(Scenarios!$A$22,0,$C$1),OFFSET(Scenarios!$A$10,0,$C$1)))</f>
        <v>33</v>
      </c>
      <c r="T246" s="407">
        <f ca="1">IF(S$246&lt;OFFSET(Scenarios!$A$10,0,$C$1),MIN(S$246+OFFSET(Scenarios!$A$22,0,$C$1),OFFSET(Scenarios!$A$10,0,$C$1)),MAX(S$246-OFFSET(Scenarios!$A$22,0,$C$1),OFFSET(Scenarios!$A$10,0,$C$1)))</f>
        <v>33</v>
      </c>
      <c r="U246" s="407">
        <f ca="1">IF(T$246&lt;OFFSET(Scenarios!$A$10,0,$C$1),MIN(T$246+OFFSET(Scenarios!$A$22,0,$C$1),OFFSET(Scenarios!$A$10,0,$C$1)),MAX(T$246-OFFSET(Scenarios!$A$22,0,$C$1),OFFSET(Scenarios!$A$10,0,$C$1)))</f>
        <v>33</v>
      </c>
      <c r="V246" s="407">
        <f ca="1">IF(U$246&lt;OFFSET(Scenarios!$A$10,0,$C$1),MIN(U$246+OFFSET(Scenarios!$A$22,0,$C$1),OFFSET(Scenarios!$A$10,0,$C$1)),MAX(U$246-OFFSET(Scenarios!$A$22,0,$C$1),OFFSET(Scenarios!$A$10,0,$C$1)))</f>
        <v>33</v>
      </c>
      <c r="W246" s="407">
        <f ca="1">IF(V$246&lt;OFFSET(Scenarios!$A$10,0,$C$1),MIN(V$246+OFFSET(Scenarios!$A$22,0,$C$1),OFFSET(Scenarios!$A$10,0,$C$1)),MAX(V$246-OFFSET(Scenarios!$A$22,0,$C$1),OFFSET(Scenarios!$A$10,0,$C$1)))</f>
        <v>33</v>
      </c>
      <c r="X246" s="407">
        <f ca="1">IF(W$246&lt;OFFSET(Scenarios!$A$10,0,$C$1),MIN(W$246+OFFSET(Scenarios!$A$22,0,$C$1),OFFSET(Scenarios!$A$10,0,$C$1)),MAX(W$246-OFFSET(Scenarios!$A$22,0,$C$1),OFFSET(Scenarios!$A$10,0,$C$1)))</f>
        <v>33</v>
      </c>
    </row>
    <row r="247" spans="1:24" x14ac:dyDescent="0.2">
      <c r="A247" s="27" t="s">
        <v>193</v>
      </c>
      <c r="B247" s="231"/>
      <c r="D247" s="119">
        <f>Data!C$234</f>
        <v>4.8099999999999997E-2</v>
      </c>
      <c r="E247" s="119">
        <f>Data!D$234</f>
        <v>4.5900000000000003E-2</v>
      </c>
      <c r="F247" s="119">
        <f>Data!E$234</f>
        <v>5.3100000000000001E-2</v>
      </c>
      <c r="G247" s="119">
        <f>Data!F$234</f>
        <v>2.1899999999999999E-2</v>
      </c>
      <c r="H247" s="119">
        <f>Data!G$234</f>
        <v>2.1399999999999999E-2</v>
      </c>
      <c r="I247" s="119">
        <f>Data!H$234</f>
        <v>3.1699999999999999E-2</v>
      </c>
      <c r="J247" s="123">
        <f ca="1">IF(OR($F$1="Yes",$O$1="Yes"),OFFSET('Forecast Adjuster'!$A$47,0,J$278),Data!I$234)</f>
        <v>2.5000000000000001E-2</v>
      </c>
      <c r="K247" s="123">
        <f ca="1">IF(OR($F$1="Yes",$O$1="Yes"),OFFSET('Forecast Adjuster'!$A$47,0,K$278),Data!J$234)</f>
        <v>2.4299999999999999E-2</v>
      </c>
      <c r="L247" s="123">
        <f ca="1">IF(OR($F$1="Yes",$O$1="Yes"),OFFSET('Forecast Adjuster'!$A$47,0,L$278),Data!K$234)</f>
        <v>2.6700000000000002E-2</v>
      </c>
      <c r="M247" s="123">
        <f ca="1">IF(OR($F$1="Yes",$O$1="Yes"),OFFSET('Forecast Adjuster'!$A$47,0,M$278),Data!L$234)</f>
        <v>2.58E-2</v>
      </c>
      <c r="N247" s="123">
        <f ca="1">IF(OR($F$1="Yes",$O$1="Yes"),OFFSET('Forecast Adjuster'!$A$47,0,N$278),Data!M$234)</f>
        <v>2.6100000000000002E-2</v>
      </c>
      <c r="O247" s="120">
        <f t="shared" ref="O247:X247" ca="1" si="127">(1+O$236)*(1+O$248)-1</f>
        <v>3.2447908022562144E-2</v>
      </c>
      <c r="P247" s="120">
        <f t="shared" ca="1" si="127"/>
        <v>3.3412181917741757E-2</v>
      </c>
      <c r="Q247" s="120">
        <f t="shared" ca="1" si="127"/>
        <v>3.5299999999999887E-2</v>
      </c>
      <c r="R247" s="120">
        <f t="shared" ca="1" si="127"/>
        <v>3.5299999999999887E-2</v>
      </c>
      <c r="S247" s="120">
        <f t="shared" ca="1" si="127"/>
        <v>3.5299999999999887E-2</v>
      </c>
      <c r="T247" s="120">
        <f t="shared" ca="1" si="127"/>
        <v>3.5299999999999887E-2</v>
      </c>
      <c r="U247" s="120">
        <f t="shared" ca="1" si="127"/>
        <v>3.5299999999999887E-2</v>
      </c>
      <c r="V247" s="120">
        <f t="shared" ca="1" si="127"/>
        <v>3.5299999999999887E-2</v>
      </c>
      <c r="W247" s="120">
        <f t="shared" ca="1" si="127"/>
        <v>3.5299999999999887E-2</v>
      </c>
      <c r="X247" s="120">
        <f t="shared" ca="1" si="127"/>
        <v>3.5299999999999887E-2</v>
      </c>
    </row>
    <row r="248" spans="1:24" x14ac:dyDescent="0.2">
      <c r="A248" s="27" t="s">
        <v>279</v>
      </c>
      <c r="B248" s="231"/>
      <c r="D248" s="119">
        <f>Data!C$233</f>
        <v>1.5299999999999999E-2</v>
      </c>
      <c r="E248" s="119">
        <f>Data!D$233</f>
        <v>1.7299999999999999E-2</v>
      </c>
      <c r="F248" s="119">
        <f>Data!E$233</f>
        <v>-1.1900000000000001E-2</v>
      </c>
      <c r="G248" s="119">
        <f>Data!F$233</f>
        <v>1.46E-2</v>
      </c>
      <c r="H248" s="119">
        <f>Data!G$233</f>
        <v>-8.0000000000000002E-3</v>
      </c>
      <c r="I248" s="119">
        <f>Data!H$233</f>
        <v>1.2999999999999999E-2</v>
      </c>
      <c r="J248" s="123">
        <f ca="1">IF(OR($F$1="Yes",$O$1="Yes"),OFFSET('Forecast Adjuster'!$A$46,0,J$278),Data!I$233)</f>
        <v>2.1299999999999999E-2</v>
      </c>
      <c r="K248" s="123">
        <f ca="1">IF(OR($F$1="Yes",$O$1="Yes"),OFFSET('Forecast Adjuster'!$A$46,0,K$278),Data!J$233)</f>
        <v>9.9000000000000008E-3</v>
      </c>
      <c r="L248" s="123">
        <f ca="1">IF(OR($F$1="Yes",$O$1="Yes"),OFFSET('Forecast Adjuster'!$A$46,0,L$278),Data!K$233)</f>
        <v>1.01E-2</v>
      </c>
      <c r="M248" s="123">
        <f ca="1">IF(OR($F$1="Yes",$O$1="Yes"),OFFSET('Forecast Adjuster'!$A$46,0,M$278),Data!L$233)</f>
        <v>1.0699999999999999E-2</v>
      </c>
      <c r="N248" s="123">
        <f ca="1">IF(OR($F$1="Yes",$O$1="Yes"),OFFSET('Forecast Adjuster'!$A$46,0,N$278),Data!M$233)</f>
        <v>8.8000000000000005E-3</v>
      </c>
      <c r="O248" s="120">
        <f ca="1">IF(OFFSET(Scenarios!$A$14,0,$C$1)&gt;=O$4,(O$231/N$231)/((O$240*(1-O$243)*O$246)/(N$240*(1-N$243)*N$246))-1,OFFSET(Scenarios!$A$6,0,$C$1))</f>
        <v>1.2053116113043716E-2</v>
      </c>
      <c r="P248" s="120">
        <f ca="1">IF(OFFSET(Scenarios!$A$14,0,$C$1)&gt;=P$4,(P$231/O$231)/((P$240*(1-P$243)*P$246)/(O$240*(1-O$243)*O$246))-1,OFFSET(Scenarios!$A$6,0,$C$1))</f>
        <v>1.314919795857028E-2</v>
      </c>
      <c r="Q248" s="120">
        <f ca="1">IF(OFFSET(Scenarios!$A$14,0,$C$1)&gt;=Q$4,(Q$231/P$231)/((Q$240*(1-Q$243)*Q$246)/(P$240*(1-P$243)*P$246))-1,OFFSET(Scenarios!$A$6,0,$C$1))</f>
        <v>1.4999999999999999E-2</v>
      </c>
      <c r="R248" s="120">
        <f ca="1">IF(OFFSET(Scenarios!$A$14,0,$C$1)&gt;=R$4,(R$231/Q$231)/((R$240*(1-R$243)*R$246)/(Q$240*(1-Q$243)*Q$246))-1,OFFSET(Scenarios!$A$6,0,$C$1))</f>
        <v>1.4999999999999999E-2</v>
      </c>
      <c r="S248" s="120">
        <f ca="1">IF(OFFSET(Scenarios!$A$14,0,$C$1)&gt;=S$4,(S$231/R$231)/((S$240*(1-S$243)*S$246)/(R$240*(1-R$243)*R$246))-1,OFFSET(Scenarios!$A$6,0,$C$1))</f>
        <v>1.4999999999999999E-2</v>
      </c>
      <c r="T248" s="120">
        <f ca="1">IF(OFFSET(Scenarios!$A$14,0,$C$1)&gt;=T$4,(T$231/S$231)/((T$240*(1-T$243)*T$246)/(S$240*(1-S$243)*S$246))-1,OFFSET(Scenarios!$A$6,0,$C$1))</f>
        <v>1.4999999999999999E-2</v>
      </c>
      <c r="U248" s="120">
        <f ca="1">IF(OFFSET(Scenarios!$A$14,0,$C$1)&gt;=U$4,(U$231/T$231)/((U$240*(1-U$243)*U$246)/(T$240*(1-T$243)*T$246))-1,OFFSET(Scenarios!$A$6,0,$C$1))</f>
        <v>1.4999999999999999E-2</v>
      </c>
      <c r="V248" s="120">
        <f ca="1">IF(OFFSET(Scenarios!$A$14,0,$C$1)&gt;=V$4,(V$231/U$231)/((V$240*(1-V$243)*V$246)/(U$240*(1-U$243)*U$246))-1,OFFSET(Scenarios!$A$6,0,$C$1))</f>
        <v>1.4999999999999999E-2</v>
      </c>
      <c r="W248" s="120">
        <f ca="1">IF(OFFSET(Scenarios!$A$14,0,$C$1)&gt;=W$4,(W$231/V$231)/((W$240*(1-W$243)*W$246)/(V$240*(1-V$243)*V$246))-1,OFFSET(Scenarios!$A$6,0,$C$1))</f>
        <v>1.4999999999999999E-2</v>
      </c>
      <c r="X248" s="120">
        <f ca="1">IF(OFFSET(Scenarios!$A$14,0,$C$1)&gt;=X$4,(X$231/W$231)/((X$240*(1-X$243)*X$246)/(W$240*(1-W$243)*W$246))-1,OFFSET(Scenarios!$A$6,0,$C$1))</f>
        <v>1.4999999999999999E-2</v>
      </c>
    </row>
    <row r="249" spans="1:24" x14ac:dyDescent="0.2">
      <c r="A249" s="27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</row>
    <row r="250" spans="1:24" ht="15.75" x14ac:dyDescent="0.25">
      <c r="A250" s="153" t="s">
        <v>280</v>
      </c>
      <c r="D250" s="72"/>
      <c r="E250" s="72"/>
      <c r="F250" s="72"/>
      <c r="K250" s="127"/>
    </row>
    <row r="251" spans="1:24" x14ac:dyDescent="0.2">
      <c r="A251" s="27" t="s">
        <v>250</v>
      </c>
      <c r="D251" s="72"/>
      <c r="E251" s="72"/>
      <c r="F251" s="72"/>
      <c r="K251" s="127"/>
    </row>
    <row r="252" spans="1:24" x14ac:dyDescent="0.2">
      <c r="A252" s="28" t="s">
        <v>175</v>
      </c>
      <c r="D252" s="72"/>
      <c r="E252" s="70">
        <f>Popn!E$199</f>
        <v>2.1245087429515364E-2</v>
      </c>
      <c r="F252" s="70">
        <f>Popn!F$199</f>
        <v>2.7347090537274577E-2</v>
      </c>
      <c r="G252" s="70">
        <f>Popn!G$199</f>
        <v>2.9948788476502397E-2</v>
      </c>
      <c r="H252" s="70">
        <f>Popn!H$199</f>
        <v>3.1379576920373964E-2</v>
      </c>
      <c r="I252" s="70">
        <f>Popn!I$199</f>
        <v>4.1157030424857854E-2</v>
      </c>
      <c r="J252" s="128">
        <f>Popn!J$199</f>
        <v>3.8172060604077407E-2</v>
      </c>
      <c r="K252" s="128">
        <f>Popn!K$199</f>
        <v>3.5208270949236509E-2</v>
      </c>
      <c r="L252" s="128">
        <f>Popn!L$199</f>
        <v>3.5122174012331531E-2</v>
      </c>
      <c r="M252" s="128">
        <f>Popn!M$199</f>
        <v>3.2930344746440854E-2</v>
      </c>
      <c r="N252" s="128">
        <f>Popn!N$199</f>
        <v>3.2435818940353967E-2</v>
      </c>
      <c r="O252" s="145">
        <f>Popn!O$199</f>
        <v>3.1665034685349314E-2</v>
      </c>
      <c r="P252" s="145">
        <f>Popn!P$199</f>
        <v>3.2337410600895566E-2</v>
      </c>
      <c r="Q252" s="145">
        <f>Popn!Q$199</f>
        <v>3.2295659380503494E-2</v>
      </c>
      <c r="R252" s="145">
        <f>Popn!R$199</f>
        <v>3.3141824932888531E-2</v>
      </c>
      <c r="S252" s="145">
        <f>Popn!S$199</f>
        <v>3.2722195240407981E-2</v>
      </c>
      <c r="T252" s="145">
        <f>Popn!T$199</f>
        <v>3.1873493621774163E-2</v>
      </c>
      <c r="U252" s="145">
        <f>Popn!U$199</f>
        <v>3.3201923296037217E-2</v>
      </c>
      <c r="V252" s="145">
        <f>Popn!V$199</f>
        <v>3.2300397000441183E-2</v>
      </c>
      <c r="W252" s="145">
        <f>Popn!W$199</f>
        <v>3.3041694708842106E-2</v>
      </c>
      <c r="X252" s="145">
        <f>Popn!X$199</f>
        <v>3.2295092138735493E-2</v>
      </c>
    </row>
    <row r="253" spans="1:24" x14ac:dyDescent="0.2">
      <c r="A253" s="28" t="s">
        <v>221</v>
      </c>
      <c r="D253" s="72"/>
      <c r="E253" s="70">
        <f t="shared" ref="E253:X253" si="128">E$236</f>
        <v>4.0196078431372628E-2</v>
      </c>
      <c r="F253" s="70">
        <f t="shared" si="128"/>
        <v>1.8850141376060225E-2</v>
      </c>
      <c r="G253" s="70">
        <f t="shared" si="128"/>
        <v>1.6651248843663202E-2</v>
      </c>
      <c r="H253" s="70">
        <f t="shared" si="128"/>
        <v>5.277525022747942E-2</v>
      </c>
      <c r="I253" s="70">
        <f t="shared" si="128"/>
        <v>9.5073465859982775E-3</v>
      </c>
      <c r="J253" s="128">
        <f t="shared" ca="1" si="128"/>
        <v>1.4554794520547976E-2</v>
      </c>
      <c r="K253" s="128">
        <f t="shared" ca="1" si="128"/>
        <v>2.1097046413502074E-2</v>
      </c>
      <c r="L253" s="128">
        <f t="shared" ca="1" si="128"/>
        <v>2.2314049586776852E-2</v>
      </c>
      <c r="M253" s="128">
        <f t="shared" ca="1" si="128"/>
        <v>2.1827000808407382E-2</v>
      </c>
      <c r="N253" s="128">
        <f t="shared" ca="1" si="128"/>
        <v>2.2151898734177111E-2</v>
      </c>
      <c r="O253" s="145">
        <f t="shared" ca="1" si="128"/>
        <v>2.0151898734177109E-2</v>
      </c>
      <c r="P253" s="145">
        <f t="shared" ca="1" si="128"/>
        <v>0.02</v>
      </c>
      <c r="Q253" s="145">
        <f t="shared" ca="1" si="128"/>
        <v>0.02</v>
      </c>
      <c r="R253" s="145">
        <f t="shared" ca="1" si="128"/>
        <v>0.02</v>
      </c>
      <c r="S253" s="145">
        <f t="shared" ca="1" si="128"/>
        <v>0.02</v>
      </c>
      <c r="T253" s="145">
        <f t="shared" ca="1" si="128"/>
        <v>0.02</v>
      </c>
      <c r="U253" s="145">
        <f t="shared" ca="1" si="128"/>
        <v>0.02</v>
      </c>
      <c r="V253" s="145">
        <f t="shared" ca="1" si="128"/>
        <v>0.02</v>
      </c>
      <c r="W253" s="145">
        <f t="shared" ca="1" si="128"/>
        <v>0.02</v>
      </c>
      <c r="X253" s="145">
        <f t="shared" ca="1" si="128"/>
        <v>0.02</v>
      </c>
    </row>
    <row r="254" spans="1:24" x14ac:dyDescent="0.2">
      <c r="A254" s="28" t="s">
        <v>176</v>
      </c>
      <c r="D254" s="72"/>
      <c r="E254" s="221">
        <f t="shared" ref="E254:X254" si="129">E$71/D$71 -(1+E$252+E$253)</f>
        <v>1.7560302567893205E-2</v>
      </c>
      <c r="F254" s="221">
        <f t="shared" si="129"/>
        <v>7.6949836555275652E-3</v>
      </c>
      <c r="G254" s="221">
        <f t="shared" si="129"/>
        <v>2.3906161026941763E-2</v>
      </c>
      <c r="H254" s="221">
        <f t="shared" si="129"/>
        <v>-1.9016105796827887E-2</v>
      </c>
      <c r="I254" s="221">
        <f t="shared" si="129"/>
        <v>3.4726336465927599E-2</v>
      </c>
      <c r="J254" s="146">
        <f t="shared" ca="1" si="129"/>
        <v>1.4468470417945634E-2</v>
      </c>
      <c r="K254" s="146">
        <f t="shared" ca="1" si="129"/>
        <v>4.5081359028069645E-3</v>
      </c>
      <c r="L254" s="146">
        <f t="shared" ca="1" si="129"/>
        <v>-5.3624908802143434E-3</v>
      </c>
      <c r="M254" s="146">
        <f t="shared" ca="1" si="129"/>
        <v>2.8861060439253627E-3</v>
      </c>
      <c r="N254" s="146">
        <f t="shared" ca="1" si="129"/>
        <v>-3.8132622781921199E-3</v>
      </c>
      <c r="O254" s="147">
        <f t="shared" ca="1" si="129"/>
        <v>3.5971839753101698E-3</v>
      </c>
      <c r="P254" s="147">
        <f t="shared" ca="1" si="129"/>
        <v>2.476326401668727E-3</v>
      </c>
      <c r="Q254" s="147">
        <f t="shared" ca="1" si="129"/>
        <v>5.0245244384297116E-3</v>
      </c>
      <c r="R254" s="147">
        <f t="shared" ca="1" si="129"/>
        <v>1.3384714294512268E-2</v>
      </c>
      <c r="S254" s="147">
        <f t="shared" ca="1" si="129"/>
        <v>1.3467687187443067E-2</v>
      </c>
      <c r="T254" s="147">
        <f t="shared" ca="1" si="129"/>
        <v>1.4239506078984387E-2</v>
      </c>
      <c r="U254" s="147">
        <f t="shared" ca="1" si="129"/>
        <v>1.6472027892350027E-2</v>
      </c>
      <c r="V254" s="147">
        <f t="shared" ca="1" si="129"/>
        <v>1.6440204014115833E-2</v>
      </c>
      <c r="W254" s="147">
        <f t="shared" ca="1" si="129"/>
        <v>1.6466371823222081E-2</v>
      </c>
      <c r="X254" s="147">
        <f t="shared" ca="1" si="129"/>
        <v>1.6440016752496955E-2</v>
      </c>
    </row>
    <row r="255" spans="1:24" x14ac:dyDescent="0.2">
      <c r="A255" s="82" t="s">
        <v>177</v>
      </c>
      <c r="D255" s="72"/>
      <c r="E255" s="222">
        <f t="shared" ref="E255:X255" si="130">E$71/D$71 -1</f>
        <v>7.9001468428781196E-2</v>
      </c>
      <c r="F255" s="222">
        <f t="shared" si="130"/>
        <v>5.3892215568862367E-2</v>
      </c>
      <c r="G255" s="222">
        <f t="shared" si="130"/>
        <v>7.0506198347107363E-2</v>
      </c>
      <c r="H255" s="222">
        <f t="shared" si="130"/>
        <v>6.5138721351025497E-2</v>
      </c>
      <c r="I255" s="222">
        <f t="shared" si="130"/>
        <v>8.5390713476783731E-2</v>
      </c>
      <c r="J255" s="122">
        <f t="shared" ca="1" si="130"/>
        <v>6.7195325542571016E-2</v>
      </c>
      <c r="K255" s="122">
        <f t="shared" ca="1" si="130"/>
        <v>6.0813453265545547E-2</v>
      </c>
      <c r="L255" s="122">
        <f t="shared" ca="1" si="130"/>
        <v>5.2073732718894039E-2</v>
      </c>
      <c r="M255" s="122">
        <f t="shared" ca="1" si="130"/>
        <v>5.7643451598773598E-2</v>
      </c>
      <c r="N255" s="122">
        <f t="shared" ca="1" si="130"/>
        <v>5.0774455396338958E-2</v>
      </c>
      <c r="O255" s="121">
        <f t="shared" ca="1" si="130"/>
        <v>5.5414117394836593E-2</v>
      </c>
      <c r="P255" s="121">
        <f t="shared" ca="1" si="130"/>
        <v>5.4813737002564311E-2</v>
      </c>
      <c r="Q255" s="121">
        <f t="shared" ca="1" si="130"/>
        <v>5.7320183818933224E-2</v>
      </c>
      <c r="R255" s="121">
        <f t="shared" ca="1" si="130"/>
        <v>6.6526539227400816E-2</v>
      </c>
      <c r="S255" s="121">
        <f t="shared" ca="1" si="130"/>
        <v>6.6189882427851066E-2</v>
      </c>
      <c r="T255" s="121">
        <f t="shared" ca="1" si="130"/>
        <v>6.6112999700758568E-2</v>
      </c>
      <c r="U255" s="121">
        <f t="shared" ca="1" si="130"/>
        <v>6.9673951188387262E-2</v>
      </c>
      <c r="V255" s="121">
        <f t="shared" ca="1" si="130"/>
        <v>6.8740601014557035E-2</v>
      </c>
      <c r="W255" s="121">
        <f t="shared" ca="1" si="130"/>
        <v>6.9508066532064205E-2</v>
      </c>
      <c r="X255" s="121">
        <f t="shared" ca="1" si="130"/>
        <v>6.8735108891232466E-2</v>
      </c>
    </row>
    <row r="256" spans="1:24" x14ac:dyDescent="0.2">
      <c r="A256" s="27" t="s">
        <v>178</v>
      </c>
      <c r="D256" s="72"/>
      <c r="E256" s="72"/>
      <c r="F256" s="72"/>
      <c r="G256" s="72"/>
      <c r="H256" s="72"/>
      <c r="I256" s="72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">
      <c r="A257" s="28" t="s">
        <v>175</v>
      </c>
      <c r="D257" s="72"/>
      <c r="E257" s="70">
        <f>SUM(D$72*((E$240*E$243)/(D$240*D$243)-1),D$73*(SUMPRODUCT(Popn!E$202:E$212,Tracks!$H$86:$H$96)+SUMPRODUCT(Popn!E$213:E$223,Tracks!$I$86:$I$96)),D$80*AVERAGE(Popn!E$195,Popn!E$200))/(D$82-D$71)</f>
        <v>2.7329379136585286E-3</v>
      </c>
      <c r="F257" s="70">
        <f>SUM(E$72*((F$240*F$243)/(E$240*E$243)-1),E$73*(SUMPRODUCT(Popn!F$202:F$212,Tracks!$H$86:$H$96)+SUMPRODUCT(Popn!F$213:F$223,Tracks!$I$86:$I$96)),E$80*AVERAGE(Popn!F$195,Popn!F$200))/(E$82-E$71)</f>
        <v>1.7783898869316587E-2</v>
      </c>
      <c r="G257" s="70">
        <f>SUM(F$72*((G$240*G$243)/(F$240*F$243)-1),F$73*(SUMPRODUCT(Popn!G$202:G$212,Tracks!$H$86:$H$96)+SUMPRODUCT(Popn!G$213:G$223,Tracks!$I$86:$I$96)),F$80*AVERAGE(Popn!G$195,Popn!G$200))/(F$82-F$71)</f>
        <v>2.0140102838312492E-2</v>
      </c>
      <c r="H257" s="70">
        <f>SUM(G$72*((H$240*H$243)/(G$240*G$243)-1),G$73*(SUMPRODUCT(Popn!H$202:H$212,Tracks!$H$86:$H$96)+SUMPRODUCT(Popn!H$213:H$223,Tracks!$I$86:$I$96)),G$80*AVERAGE(Popn!H$195,Popn!H$200))/(G$82-G$71)</f>
        <v>2.2880253433385776E-3</v>
      </c>
      <c r="I257" s="70">
        <f>SUM(H$72*((I$240*I$243)/(H$240*H$243)-1),H$73*(SUMPRODUCT(Popn!I$202:I$212,Tracks!$H$86:$H$96)+SUMPRODUCT(Popn!I$213:I$223,Tracks!$I$86:$I$96)),H$80*AVERAGE(Popn!I$195,Popn!I$200))/(H$82-H$71)</f>
        <v>2.2550778277050897E-3</v>
      </c>
      <c r="J257" s="128">
        <f ca="1">SUM(I$72*((J$240*J$243)/(I$240*I$243)-1),I$73*(SUMPRODUCT(Popn!J$202:J$212,Tracks!$H$86:$H$96)+SUMPRODUCT(Popn!J$213:J$223,Tracks!$I$86:$I$96)),I$80*AVERAGE(Popn!J$195,Popn!J$200))/(I$82-I$71)</f>
        <v>5.3923371852565467E-3</v>
      </c>
      <c r="K257" s="128">
        <f ca="1">SUM(J$72*((K$240*K$243)/(J$240*J$243)-1),J$73*(SUMPRODUCT(Popn!K$202:K$212,Tracks!$H$86:$H$96)+SUMPRODUCT(Popn!K$213:K$223,Tracks!$I$86:$I$96)),J$80*AVERAGE(Popn!K$195,Popn!K$200))/(J$82-J$71)</f>
        <v>-5.0030516033948372E-3</v>
      </c>
      <c r="L257" s="128">
        <f ca="1">SUM(K$72*((L$240*L$243)/(K$240*K$243)-1),K$73*(SUMPRODUCT(Popn!L$202:L$212,Tracks!$H$86:$H$96)+SUMPRODUCT(Popn!L$213:L$223,Tracks!$I$86:$I$96)),K$80*AVERAGE(Popn!L$195,Popn!L$200))/(K$82-K$71)</f>
        <v>-1.8251226699725605E-3</v>
      </c>
      <c r="M257" s="128">
        <f ca="1">SUM(L$72*((M$240*M$243)/(L$240*L$243)-1),L$73*(SUMPRODUCT(Popn!M$202:M$212,Tracks!$H$86:$H$96)+SUMPRODUCT(Popn!M$213:M$223,Tracks!$I$86:$I$96)),L$80*AVERAGE(Popn!M$195,Popn!M$200))/(L$82-L$71)</f>
        <v>-1.3986005329863032E-3</v>
      </c>
      <c r="N257" s="128">
        <f ca="1">SUM(M$72*((N$240*N$243)/(M$240*M$243)-1),M$73*(SUMPRODUCT(Popn!N$202:N$212,Tracks!$H$86:$H$96)+SUMPRODUCT(Popn!N$213:N$223,Tracks!$I$86:$I$96)),M$80*AVERAGE(Popn!N$195,Popn!N$200))/(M$82-M$71)</f>
        <v>-3.6538522881045259E-3</v>
      </c>
      <c r="O257" s="145">
        <f ca="1">SUM(N$72*((O$240*O$243)/(N$240*N$243)-1),N$73*(SUMPRODUCT(Popn!O$202:O$212,Tracks!$H$86:$H$96)+SUMPRODUCT(Popn!O$213:O$223,Tracks!$I$86:$I$96)),N$80*AVERAGE(Popn!O$195,Popn!O$200))/(N$82-N$71)</f>
        <v>5.9415170527806263E-4</v>
      </c>
      <c r="P257" s="145">
        <f ca="1">SUM(O$72*((P$240*P$243)/(O$240*O$243)-1),O$73*(SUMPRODUCT(Popn!P$202:P$212,Tracks!$H$86:$H$96)+SUMPRODUCT(Popn!P$213:P$223,Tracks!$I$86:$I$96)),O$80*AVERAGE(Popn!P$195,Popn!P$200))/(O$82-O$71)</f>
        <v>3.8597371125377177E-4</v>
      </c>
      <c r="Q257" s="145">
        <f ca="1">SUM(P$72*((Q$240*Q$243)/(P$240*P$243)-1),P$73*(SUMPRODUCT(Popn!Q$202:Q$212,Tracks!$H$86:$H$96)+SUMPRODUCT(Popn!Q$213:Q$223,Tracks!$I$86:$I$96)),P$80*AVERAGE(Popn!Q$195,Popn!Q$200))/(P$82-P$71)</f>
        <v>2.9544677744408067E-4</v>
      </c>
      <c r="R257" s="145">
        <f ca="1">SUM(Q$72*((R$240*R$243)/(Q$240*Q$243)-1),Q$73*(SUMPRODUCT(Popn!R$202:R$212,Tracks!$H$86:$H$96)+SUMPRODUCT(Popn!R$213:R$223,Tracks!$I$86:$I$96)),Q$80*AVERAGE(Popn!R$195,Popn!R$200))/(Q$82-Q$71)</f>
        <v>2.011444091335402E-4</v>
      </c>
      <c r="S257" s="145">
        <f ca="1">SUM(R$72*((S$240*S$243)/(R$240*R$243)-1),R$73*(SUMPRODUCT(Popn!S$202:S$212,Tracks!$H$86:$H$96)+SUMPRODUCT(Popn!S$213:S$223,Tracks!$I$86:$I$96)),R$80*AVERAGE(Popn!S$195,Popn!S$200))/(R$82-R$71)</f>
        <v>1.2860324054503214E-4</v>
      </c>
      <c r="T257" s="145">
        <f ca="1">SUM(S$72*((T$240*T$243)/(S$240*S$243)-1),S$73*(SUMPRODUCT(Popn!T$202:T$212,Tracks!$H$86:$H$96)+SUMPRODUCT(Popn!T$213:T$223,Tracks!$I$86:$I$96)),S$80*AVERAGE(Popn!T$195,Popn!T$200))/(S$82-S$71)</f>
        <v>3.0455766069752463E-5</v>
      </c>
      <c r="U257" s="145">
        <f ca="1">SUM(T$72*((U$240*U$243)/(T$240*T$243)-1),T$73*(SUMPRODUCT(Popn!U$202:U$212,Tracks!$H$86:$H$96)+SUMPRODUCT(Popn!U$213:U$223,Tracks!$I$86:$I$96)),T$80*AVERAGE(Popn!U$195,Popn!U$200))/(T$82-T$71)</f>
        <v>6.3109930962483411E-4</v>
      </c>
      <c r="V257" s="145">
        <f ca="1">SUM(U$72*((V$240*V$243)/(U$240*U$243)-1),U$73*(SUMPRODUCT(Popn!V$202:V$212,Tracks!$H$86:$H$96)+SUMPRODUCT(Popn!V$213:V$223,Tracks!$I$86:$I$96)),U$80*AVERAGE(Popn!V$195,Popn!V$200))/(U$82-U$71)</f>
        <v>1.262182299955613E-3</v>
      </c>
      <c r="W257" s="145">
        <f ca="1">SUM(V$72*((W$240*W$243)/(V$240*V$243)-1),V$73*(SUMPRODUCT(Popn!W$202:W$212,Tracks!$H$86:$H$96)+SUMPRODUCT(Popn!W$213:W$223,Tracks!$I$86:$I$96)),V$80*AVERAGE(Popn!W$195,Popn!W$200))/(V$82-V$71)</f>
        <v>1.1936974718754364E-3</v>
      </c>
      <c r="X257" s="145">
        <f ca="1">SUM(W$72*((X$240*X$243)/(W$240*W$243)-1),W$73*(SUMPRODUCT(Popn!X$202:X$212,Tracks!$H$86:$H$96)+SUMPRODUCT(Popn!X$213:X$223,Tracks!$I$86:$I$96)),W$80*AVERAGE(Popn!X$195,Popn!X$200))/(W$82-W$71)</f>
        <v>1.0830513041785968E-3</v>
      </c>
    </row>
    <row r="258" spans="1:24" x14ac:dyDescent="0.2">
      <c r="A258" s="28" t="s">
        <v>221</v>
      </c>
      <c r="D258" s="72"/>
      <c r="E258" s="70">
        <f t="shared" ref="E258:X258" si="131">E$236</f>
        <v>4.0196078431372628E-2</v>
      </c>
      <c r="F258" s="70">
        <f t="shared" si="131"/>
        <v>1.8850141376060225E-2</v>
      </c>
      <c r="G258" s="70">
        <f t="shared" si="131"/>
        <v>1.6651248843663202E-2</v>
      </c>
      <c r="H258" s="70">
        <f t="shared" si="131"/>
        <v>5.277525022747942E-2</v>
      </c>
      <c r="I258" s="70">
        <f t="shared" si="131"/>
        <v>9.5073465859982775E-3</v>
      </c>
      <c r="J258" s="128">
        <f t="shared" ca="1" si="131"/>
        <v>1.4554794520547976E-2</v>
      </c>
      <c r="K258" s="128">
        <f t="shared" ca="1" si="131"/>
        <v>2.1097046413502074E-2</v>
      </c>
      <c r="L258" s="128">
        <f t="shared" ca="1" si="131"/>
        <v>2.2314049586776852E-2</v>
      </c>
      <c r="M258" s="128">
        <f t="shared" ca="1" si="131"/>
        <v>2.1827000808407382E-2</v>
      </c>
      <c r="N258" s="128">
        <f t="shared" ca="1" si="131"/>
        <v>2.2151898734177111E-2</v>
      </c>
      <c r="O258" s="145">
        <f t="shared" ca="1" si="131"/>
        <v>2.0151898734177109E-2</v>
      </c>
      <c r="P258" s="145">
        <f t="shared" ca="1" si="131"/>
        <v>0.02</v>
      </c>
      <c r="Q258" s="145">
        <f t="shared" ca="1" si="131"/>
        <v>0.02</v>
      </c>
      <c r="R258" s="145">
        <f t="shared" ca="1" si="131"/>
        <v>0.02</v>
      </c>
      <c r="S258" s="145">
        <f t="shared" ca="1" si="131"/>
        <v>0.02</v>
      </c>
      <c r="T258" s="145">
        <f t="shared" ca="1" si="131"/>
        <v>0.02</v>
      </c>
      <c r="U258" s="145">
        <f t="shared" ca="1" si="131"/>
        <v>0.02</v>
      </c>
      <c r="V258" s="145">
        <f t="shared" ca="1" si="131"/>
        <v>0.02</v>
      </c>
      <c r="W258" s="145">
        <f t="shared" ca="1" si="131"/>
        <v>0.02</v>
      </c>
      <c r="X258" s="145">
        <f t="shared" ca="1" si="131"/>
        <v>0.02</v>
      </c>
    </row>
    <row r="259" spans="1:24" x14ac:dyDescent="0.2">
      <c r="A259" s="28" t="s">
        <v>181</v>
      </c>
      <c r="D259" s="72"/>
      <c r="E259" s="221">
        <f t="shared" ref="E259:X259" si="132">(E$82-E$71)/(D$82-D$71) -(1+E$257+E$258)</f>
        <v>1.4411815147236107E-2</v>
      </c>
      <c r="F259" s="221">
        <f t="shared" si="132"/>
        <v>6.8694101078585756E-2</v>
      </c>
      <c r="G259" s="221">
        <f t="shared" si="132"/>
        <v>7.1216897158030923E-2</v>
      </c>
      <c r="H259" s="221">
        <f t="shared" si="132"/>
        <v>-3.3349432996176764E-2</v>
      </c>
      <c r="I259" s="221">
        <f t="shared" si="132"/>
        <v>-6.724629538144522E-2</v>
      </c>
      <c r="J259" s="146">
        <f t="shared" ca="1" si="132"/>
        <v>-3.392969057138373E-3</v>
      </c>
      <c r="K259" s="146">
        <f t="shared" ca="1" si="132"/>
        <v>-8.3469592369849188E-3</v>
      </c>
      <c r="L259" s="146">
        <f t="shared" ca="1" si="132"/>
        <v>-2.4411110788784107E-2</v>
      </c>
      <c r="M259" s="146">
        <f t="shared" ca="1" si="132"/>
        <v>-2.9091181815821154E-2</v>
      </c>
      <c r="N259" s="146">
        <f t="shared" ca="1" si="132"/>
        <v>-8.5679542948173815E-3</v>
      </c>
      <c r="O259" s="147">
        <f t="shared" ca="1" si="132"/>
        <v>-2.0781959737324329E-2</v>
      </c>
      <c r="P259" s="147">
        <f t="shared" ca="1" si="132"/>
        <v>-6.9459675529093268E-4</v>
      </c>
      <c r="Q259" s="147">
        <f t="shared" ca="1" si="132"/>
        <v>-5.3189775796980143E-4</v>
      </c>
      <c r="R259" s="147">
        <f t="shared" ca="1" si="132"/>
        <v>-2.1531060946333724E-4</v>
      </c>
      <c r="S259" s="147">
        <f t="shared" ca="1" si="132"/>
        <v>-5.2431885817272317E-5</v>
      </c>
      <c r="T259" s="147">
        <f t="shared" ca="1" si="132"/>
        <v>-8.4444423888996312E-5</v>
      </c>
      <c r="U259" s="147">
        <f t="shared" ca="1" si="132"/>
        <v>-4.1224677751916516E-5</v>
      </c>
      <c r="V259" s="147">
        <f t="shared" ca="1" si="132"/>
        <v>-7.7813803106563384E-5</v>
      </c>
      <c r="W259" s="147">
        <f t="shared" ca="1" si="132"/>
        <v>-3.8297025361910819E-4</v>
      </c>
      <c r="X259" s="147">
        <f t="shared" ca="1" si="132"/>
        <v>-7.1826836469002231E-4</v>
      </c>
    </row>
    <row r="260" spans="1:24" x14ac:dyDescent="0.2">
      <c r="A260" s="82" t="s">
        <v>177</v>
      </c>
      <c r="D260" s="72"/>
      <c r="E260" s="222">
        <f t="shared" ref="E260:X260" si="133">(E$82-E$71)/(D$82-D$71) -1</f>
        <v>5.7340831492267208E-2</v>
      </c>
      <c r="F260" s="222">
        <f t="shared" si="133"/>
        <v>0.10532814132396262</v>
      </c>
      <c r="G260" s="222">
        <f t="shared" si="133"/>
        <v>0.1080082488400067</v>
      </c>
      <c r="H260" s="222">
        <f t="shared" si="133"/>
        <v>2.1713842574641262E-2</v>
      </c>
      <c r="I260" s="222">
        <f t="shared" si="133"/>
        <v>-5.5483870967741877E-2</v>
      </c>
      <c r="J260" s="122">
        <f t="shared" ca="1" si="133"/>
        <v>1.6554162648666049E-2</v>
      </c>
      <c r="K260" s="122">
        <f t="shared" ca="1" si="133"/>
        <v>7.7470355731223961E-3</v>
      </c>
      <c r="L260" s="122">
        <f t="shared" ca="1" si="133"/>
        <v>-3.9221838719798452E-3</v>
      </c>
      <c r="M260" s="122">
        <f t="shared" ca="1" si="133"/>
        <v>-8.6627815404000108E-3</v>
      </c>
      <c r="N260" s="122">
        <f t="shared" ca="1" si="133"/>
        <v>9.9300921512550655E-3</v>
      </c>
      <c r="O260" s="121">
        <f t="shared" ca="1" si="133"/>
        <v>-3.5909297869118895E-5</v>
      </c>
      <c r="P260" s="121">
        <f t="shared" ca="1" si="133"/>
        <v>1.9691376955962792E-2</v>
      </c>
      <c r="Q260" s="121">
        <f t="shared" ca="1" si="133"/>
        <v>1.9763549019474302E-2</v>
      </c>
      <c r="R260" s="121">
        <f t="shared" ca="1" si="133"/>
        <v>1.9985833799670116E-2</v>
      </c>
      <c r="S260" s="121">
        <f t="shared" ca="1" si="133"/>
        <v>2.0076171354727723E-2</v>
      </c>
      <c r="T260" s="121">
        <f t="shared" ca="1" si="133"/>
        <v>1.9946011342180769E-2</v>
      </c>
      <c r="U260" s="121">
        <f t="shared" ca="1" si="133"/>
        <v>2.0589874631872895E-2</v>
      </c>
      <c r="V260" s="121">
        <f t="shared" ca="1" si="133"/>
        <v>2.1184368496849126E-2</v>
      </c>
      <c r="W260" s="121">
        <f t="shared" ca="1" si="133"/>
        <v>2.0810727218256275E-2</v>
      </c>
      <c r="X260" s="121">
        <f t="shared" ca="1" si="133"/>
        <v>2.0364782939488624E-2</v>
      </c>
    </row>
    <row r="261" spans="1:24" x14ac:dyDescent="0.2">
      <c r="A261" s="27" t="s">
        <v>435</v>
      </c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</row>
    <row r="262" spans="1:24" x14ac:dyDescent="0.2">
      <c r="A262" s="28" t="s">
        <v>175</v>
      </c>
      <c r="D262" s="72"/>
      <c r="E262" s="70">
        <f t="shared" ref="E262:X262" si="134">SUM(E$100,E$101)/SUM(D$100,D$101)-1</f>
        <v>1.6397870270594916E-2</v>
      </c>
      <c r="F262" s="70">
        <f t="shared" si="134"/>
        <v>1.711707705029486E-2</v>
      </c>
      <c r="G262" s="70">
        <f t="shared" si="134"/>
        <v>1.8741381994941353E-2</v>
      </c>
      <c r="H262" s="70">
        <f t="shared" si="134"/>
        <v>1.5889953073744634E-2</v>
      </c>
      <c r="I262" s="70">
        <f t="shared" si="134"/>
        <v>1.3678687421145419E-2</v>
      </c>
      <c r="J262" s="128">
        <f t="shared" si="134"/>
        <v>1.3283785605454401E-2</v>
      </c>
      <c r="K262" s="128">
        <f t="shared" si="134"/>
        <v>1.4689458309397274E-2</v>
      </c>
      <c r="L262" s="128">
        <f t="shared" si="134"/>
        <v>1.5898196228698369E-2</v>
      </c>
      <c r="M262" s="128">
        <f t="shared" si="134"/>
        <v>1.6476777356024819E-2</v>
      </c>
      <c r="N262" s="128">
        <f t="shared" si="134"/>
        <v>1.6967393891114124E-2</v>
      </c>
      <c r="O262" s="145">
        <f t="shared" si="134"/>
        <v>1.6212064152021366E-2</v>
      </c>
      <c r="P262" s="145">
        <f t="shared" si="134"/>
        <v>1.6436999112397599E-2</v>
      </c>
      <c r="Q262" s="145">
        <f t="shared" si="134"/>
        <v>1.6594077278740738E-2</v>
      </c>
      <c r="R262" s="145">
        <f t="shared" si="134"/>
        <v>1.6979353243258943E-2</v>
      </c>
      <c r="S262" s="145">
        <f t="shared" si="134"/>
        <v>1.7554871323708365E-2</v>
      </c>
      <c r="T262" s="145">
        <f t="shared" si="134"/>
        <v>1.6640666263334269E-2</v>
      </c>
      <c r="U262" s="145">
        <f t="shared" si="134"/>
        <v>1.6747855622376573E-2</v>
      </c>
      <c r="V262" s="145">
        <f t="shared" si="134"/>
        <v>1.6793340128973933E-2</v>
      </c>
      <c r="W262" s="145">
        <f t="shared" si="134"/>
        <v>1.6926368023884031E-2</v>
      </c>
      <c r="X262" s="145">
        <f t="shared" si="134"/>
        <v>1.7172716774673358E-2</v>
      </c>
    </row>
    <row r="263" spans="1:24" x14ac:dyDescent="0.2">
      <c r="A263" s="28" t="s">
        <v>221</v>
      </c>
      <c r="D263" s="72"/>
      <c r="E263" s="70">
        <f t="shared" ref="E263:X263" si="135">E$236</f>
        <v>4.0196078431372628E-2</v>
      </c>
      <c r="F263" s="70">
        <f t="shared" si="135"/>
        <v>1.8850141376060225E-2</v>
      </c>
      <c r="G263" s="70">
        <f t="shared" si="135"/>
        <v>1.6651248843663202E-2</v>
      </c>
      <c r="H263" s="70">
        <f t="shared" si="135"/>
        <v>5.277525022747942E-2</v>
      </c>
      <c r="I263" s="70">
        <f t="shared" si="135"/>
        <v>9.5073465859982775E-3</v>
      </c>
      <c r="J263" s="128">
        <f t="shared" ca="1" si="135"/>
        <v>1.4554794520547976E-2</v>
      </c>
      <c r="K263" s="128">
        <f t="shared" ca="1" si="135"/>
        <v>2.1097046413502074E-2</v>
      </c>
      <c r="L263" s="128">
        <f t="shared" ca="1" si="135"/>
        <v>2.2314049586776852E-2</v>
      </c>
      <c r="M263" s="128">
        <f t="shared" ca="1" si="135"/>
        <v>2.1827000808407382E-2</v>
      </c>
      <c r="N263" s="128">
        <f t="shared" ca="1" si="135"/>
        <v>2.2151898734177111E-2</v>
      </c>
      <c r="O263" s="145">
        <f t="shared" ca="1" si="135"/>
        <v>2.0151898734177109E-2</v>
      </c>
      <c r="P263" s="145">
        <f t="shared" ca="1" si="135"/>
        <v>0.02</v>
      </c>
      <c r="Q263" s="145">
        <f t="shared" ca="1" si="135"/>
        <v>0.02</v>
      </c>
      <c r="R263" s="145">
        <f t="shared" ca="1" si="135"/>
        <v>0.02</v>
      </c>
      <c r="S263" s="145">
        <f t="shared" ca="1" si="135"/>
        <v>0.02</v>
      </c>
      <c r="T263" s="145">
        <f t="shared" ca="1" si="135"/>
        <v>0.02</v>
      </c>
      <c r="U263" s="145">
        <f t="shared" ca="1" si="135"/>
        <v>0.02</v>
      </c>
      <c r="V263" s="145">
        <f t="shared" ca="1" si="135"/>
        <v>0.02</v>
      </c>
      <c r="W263" s="145">
        <f t="shared" ca="1" si="135"/>
        <v>0.02</v>
      </c>
      <c r="X263" s="145">
        <f t="shared" ca="1" si="135"/>
        <v>0.02</v>
      </c>
    </row>
    <row r="264" spans="1:24" x14ac:dyDescent="0.2">
      <c r="A264" s="28" t="s">
        <v>183</v>
      </c>
      <c r="D264" s="72"/>
      <c r="E264" s="221">
        <f t="shared" ref="E264:X264" si="136">E$98/D$98 -(1+E$262+E$263)</f>
        <v>3.4376596928162861E-2</v>
      </c>
      <c r="F264" s="221">
        <f t="shared" si="136"/>
        <v>5.8836711820613008E-2</v>
      </c>
      <c r="G264" s="221">
        <f t="shared" si="136"/>
        <v>2.6056269549493694E-2</v>
      </c>
      <c r="H264" s="221">
        <f t="shared" si="136"/>
        <v>-2.1057037548634083E-2</v>
      </c>
      <c r="I264" s="221">
        <f t="shared" si="136"/>
        <v>6.4075092197886097E-3</v>
      </c>
      <c r="J264" s="146">
        <f t="shared" ca="1" si="136"/>
        <v>1.3192493320325349E-2</v>
      </c>
      <c r="K264" s="146">
        <f t="shared" ca="1" si="136"/>
        <v>-4.3384361042009267E-2</v>
      </c>
      <c r="L264" s="146">
        <f t="shared" ca="1" si="136"/>
        <v>-4.0468039102781184E-2</v>
      </c>
      <c r="M264" s="146">
        <f t="shared" ca="1" si="136"/>
        <v>-3.9879552349140313E-2</v>
      </c>
      <c r="N264" s="146">
        <f t="shared" ca="1" si="136"/>
        <v>-4.1246514199435258E-2</v>
      </c>
      <c r="O264" s="147">
        <f t="shared" ca="1" si="136"/>
        <v>-3.6363962886198475E-2</v>
      </c>
      <c r="P264" s="147">
        <f t="shared" ca="1" si="136"/>
        <v>-3.6436999112397617E-2</v>
      </c>
      <c r="Q264" s="147">
        <f t="shared" ca="1" si="136"/>
        <v>-3.6594077278740755E-2</v>
      </c>
      <c r="R264" s="147">
        <f t="shared" ca="1" si="136"/>
        <v>-3.6979353243258961E-2</v>
      </c>
      <c r="S264" s="147">
        <f t="shared" ca="1" si="136"/>
        <v>-3.7554871323708383E-2</v>
      </c>
      <c r="T264" s="147">
        <f t="shared" ca="1" si="136"/>
        <v>-3.6640666263334287E-2</v>
      </c>
      <c r="U264" s="147">
        <f t="shared" ca="1" si="136"/>
        <v>-3.6747855622376591E-2</v>
      </c>
      <c r="V264" s="147">
        <f t="shared" ca="1" si="136"/>
        <v>-3.679334012897395E-2</v>
      </c>
      <c r="W264" s="147">
        <f t="shared" ca="1" si="136"/>
        <v>-3.6926368023884049E-2</v>
      </c>
      <c r="X264" s="147">
        <f t="shared" ca="1" si="136"/>
        <v>-3.7172716774673376E-2</v>
      </c>
    </row>
    <row r="265" spans="1:24" x14ac:dyDescent="0.2">
      <c r="A265" s="82" t="s">
        <v>177</v>
      </c>
      <c r="D265" s="72"/>
      <c r="E265" s="222">
        <f t="shared" ref="E265:X265" si="137">E$98/D$98 -1</f>
        <v>9.0970545630130406E-2</v>
      </c>
      <c r="F265" s="222">
        <f t="shared" si="137"/>
        <v>9.4803930246968093E-2</v>
      </c>
      <c r="G265" s="222">
        <f t="shared" si="137"/>
        <v>6.1448900388098249E-2</v>
      </c>
      <c r="H265" s="222">
        <f t="shared" si="137"/>
        <v>4.760816575258997E-2</v>
      </c>
      <c r="I265" s="222">
        <f t="shared" si="137"/>
        <v>2.9593543226932306E-2</v>
      </c>
      <c r="J265" s="122">
        <f t="shared" ca="1" si="137"/>
        <v>4.1031073446327726E-2</v>
      </c>
      <c r="K265" s="122">
        <f t="shared" ca="1" si="137"/>
        <v>-7.5978563191099191E-3</v>
      </c>
      <c r="L265" s="122">
        <f t="shared" ca="1" si="137"/>
        <v>-2.2557932873059627E-3</v>
      </c>
      <c r="M265" s="122">
        <f t="shared" ca="1" si="137"/>
        <v>-1.5757741847081119E-3</v>
      </c>
      <c r="N265" s="122">
        <f t="shared" ca="1" si="137"/>
        <v>-2.1272215741440226E-3</v>
      </c>
      <c r="O265" s="121">
        <f t="shared" ca="1" si="137"/>
        <v>0</v>
      </c>
      <c r="P265" s="121">
        <f t="shared" ca="1" si="137"/>
        <v>0</v>
      </c>
      <c r="Q265" s="121">
        <f t="shared" ca="1" si="137"/>
        <v>0</v>
      </c>
      <c r="R265" s="121">
        <f t="shared" ca="1" si="137"/>
        <v>0</v>
      </c>
      <c r="S265" s="121">
        <f t="shared" ca="1" si="137"/>
        <v>0</v>
      </c>
      <c r="T265" s="121">
        <f t="shared" ca="1" si="137"/>
        <v>0</v>
      </c>
      <c r="U265" s="121">
        <f t="shared" ca="1" si="137"/>
        <v>0</v>
      </c>
      <c r="V265" s="121">
        <f t="shared" ca="1" si="137"/>
        <v>0</v>
      </c>
      <c r="W265" s="121">
        <f t="shared" ca="1" si="137"/>
        <v>0</v>
      </c>
      <c r="X265" s="121">
        <f t="shared" ca="1" si="137"/>
        <v>0</v>
      </c>
    </row>
    <row r="266" spans="1:24" x14ac:dyDescent="0.2">
      <c r="A266" s="27" t="s">
        <v>533</v>
      </c>
      <c r="D266" s="72"/>
      <c r="E266" s="70"/>
      <c r="F266" s="70"/>
      <c r="G266" s="70"/>
      <c r="H266" s="70"/>
      <c r="I266" s="70"/>
      <c r="J266" s="128"/>
      <c r="K266" s="128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</row>
    <row r="267" spans="1:24" x14ac:dyDescent="0.2">
      <c r="A267" s="28" t="s">
        <v>175</v>
      </c>
      <c r="D267" s="72"/>
      <c r="E267" s="70">
        <f>AVERAGE(Popn!E$196:E$198)</f>
        <v>1.050387508174703E-2</v>
      </c>
      <c r="F267" s="70">
        <f>AVERAGE(Popn!F$196:F$198)</f>
        <v>1.536943655150865E-2</v>
      </c>
      <c r="G267" s="70">
        <f>AVERAGE(Popn!G$196:G$198)</f>
        <v>1.4666109437243224E-2</v>
      </c>
      <c r="H267" s="70">
        <f>AVERAGE(Popn!H$196:H$198)</f>
        <v>8.444610105723319E-3</v>
      </c>
      <c r="I267" s="70">
        <f>AVERAGE(Popn!I$196:I$198)</f>
        <v>4.9159925590402942E-4</v>
      </c>
      <c r="J267" s="128">
        <f>AVERAGE(Popn!J$196:J$198)</f>
        <v>-4.5019592189975048E-3</v>
      </c>
      <c r="K267" s="128">
        <f>AVERAGE(Popn!K$196:K$198)</f>
        <v>-3.156221619180092E-3</v>
      </c>
      <c r="L267" s="128">
        <f>AVERAGE(Popn!L$196:L$198)</f>
        <v>-4.5764379346257726E-3</v>
      </c>
      <c r="M267" s="128">
        <f>AVERAGE(Popn!M$196:M$198)</f>
        <v>-4.44389686121401E-3</v>
      </c>
      <c r="N267" s="128">
        <f>AVERAGE(Popn!N$196:N$198)</f>
        <v>-1.6966102811629691E-3</v>
      </c>
      <c r="O267" s="145">
        <f>AVERAGE(Popn!O$196:O$198)</f>
        <v>-5.0994178139588764E-4</v>
      </c>
      <c r="P267" s="145">
        <f>AVERAGE(Popn!P$196:P$198)</f>
        <v>7.4160888098158864E-5</v>
      </c>
      <c r="Q267" s="145">
        <f>AVERAGE(Popn!Q$196:Q$198)</f>
        <v>-5.7218752595777911E-4</v>
      </c>
      <c r="R267" s="145">
        <f>AVERAGE(Popn!R$196:R$198)</f>
        <v>3.5932983218286047E-4</v>
      </c>
      <c r="S267" s="145">
        <f>AVERAGE(Popn!S$196:S$198)</f>
        <v>2.2392768627520856E-3</v>
      </c>
      <c r="T267" s="145">
        <f>AVERAGE(Popn!T$196:T$198)</f>
        <v>2.1510763902641652E-3</v>
      </c>
      <c r="U267" s="145">
        <f>AVERAGE(Popn!U$196:U$198)</f>
        <v>3.2928148407012081E-3</v>
      </c>
      <c r="V267" s="145">
        <f>AVERAGE(Popn!V$196:V$198)</f>
        <v>2.6437124377133672E-3</v>
      </c>
      <c r="W267" s="145">
        <f>AVERAGE(Popn!W$196:W$198)</f>
        <v>4.220163047237639E-3</v>
      </c>
      <c r="X267" s="145">
        <f>AVERAGE(Popn!X$196:X$198)</f>
        <v>5.402380569866712E-3</v>
      </c>
    </row>
    <row r="268" spans="1:24" x14ac:dyDescent="0.2">
      <c r="A268" s="28" t="s">
        <v>221</v>
      </c>
      <c r="D268" s="72"/>
      <c r="E268" s="70">
        <f t="shared" ref="E268:X268" si="138">E$236</f>
        <v>4.0196078431372628E-2</v>
      </c>
      <c r="F268" s="70">
        <f t="shared" si="138"/>
        <v>1.8850141376060225E-2</v>
      </c>
      <c r="G268" s="70">
        <f t="shared" si="138"/>
        <v>1.6651248843663202E-2</v>
      </c>
      <c r="H268" s="70">
        <f t="shared" si="138"/>
        <v>5.277525022747942E-2</v>
      </c>
      <c r="I268" s="70">
        <f t="shared" si="138"/>
        <v>9.5073465859982775E-3</v>
      </c>
      <c r="J268" s="128">
        <f t="shared" ca="1" si="138"/>
        <v>1.4554794520547976E-2</v>
      </c>
      <c r="K268" s="128">
        <f t="shared" ca="1" si="138"/>
        <v>2.1097046413502074E-2</v>
      </c>
      <c r="L268" s="128">
        <f t="shared" ca="1" si="138"/>
        <v>2.2314049586776852E-2</v>
      </c>
      <c r="M268" s="128">
        <f t="shared" ca="1" si="138"/>
        <v>2.1827000808407382E-2</v>
      </c>
      <c r="N268" s="128">
        <f t="shared" ca="1" si="138"/>
        <v>2.2151898734177111E-2</v>
      </c>
      <c r="O268" s="145">
        <f t="shared" ca="1" si="138"/>
        <v>2.0151898734177109E-2</v>
      </c>
      <c r="P268" s="145">
        <f t="shared" ca="1" si="138"/>
        <v>0.02</v>
      </c>
      <c r="Q268" s="145">
        <f t="shared" ca="1" si="138"/>
        <v>0.02</v>
      </c>
      <c r="R268" s="145">
        <f t="shared" ca="1" si="138"/>
        <v>0.02</v>
      </c>
      <c r="S268" s="145">
        <f t="shared" ca="1" si="138"/>
        <v>0.02</v>
      </c>
      <c r="T268" s="145">
        <f t="shared" ca="1" si="138"/>
        <v>0.02</v>
      </c>
      <c r="U268" s="145">
        <f t="shared" ca="1" si="138"/>
        <v>0.02</v>
      </c>
      <c r="V268" s="145">
        <f t="shared" ca="1" si="138"/>
        <v>0.02</v>
      </c>
      <c r="W268" s="145">
        <f t="shared" ca="1" si="138"/>
        <v>0.02</v>
      </c>
      <c r="X268" s="145">
        <f t="shared" ca="1" si="138"/>
        <v>0.02</v>
      </c>
    </row>
    <row r="269" spans="1:24" x14ac:dyDescent="0.2">
      <c r="A269" s="28" t="s">
        <v>144</v>
      </c>
      <c r="D269" s="72"/>
      <c r="E269" s="221">
        <f t="shared" ref="E269:X269" si="139">E$107/D$107 -(1+E$267+E$268)</f>
        <v>-2.0275959554763912E-2</v>
      </c>
      <c r="F269" s="221">
        <f t="shared" si="139"/>
        <v>0.16513127538622019</v>
      </c>
      <c r="G269" s="221">
        <f t="shared" si="139"/>
        <v>-7.8341631696015046E-3</v>
      </c>
      <c r="H269" s="221">
        <f t="shared" si="139"/>
        <v>-6.7531699296014103E-2</v>
      </c>
      <c r="I269" s="221">
        <f t="shared" si="139"/>
        <v>-9.6555982024173481E-3</v>
      </c>
      <c r="J269" s="146">
        <f t="shared" ca="1" si="139"/>
        <v>5.3959520970974006E-2</v>
      </c>
      <c r="K269" s="146">
        <f t="shared" ca="1" si="139"/>
        <v>-3.2860179633031783E-2</v>
      </c>
      <c r="L269" s="146">
        <f t="shared" ca="1" si="139"/>
        <v>-1.0451488033649259E-2</v>
      </c>
      <c r="M269" s="146">
        <f t="shared" ca="1" si="139"/>
        <v>-9.9871351565561373E-3</v>
      </c>
      <c r="N269" s="146">
        <f t="shared" ca="1" si="139"/>
        <v>-1.6663436899968298E-2</v>
      </c>
      <c r="O269" s="147">
        <f t="shared" ca="1" si="139"/>
        <v>-1.7362680764607674E-2</v>
      </c>
      <c r="P269" s="147">
        <f t="shared" ca="1" si="139"/>
        <v>-1.6931728937852775E-2</v>
      </c>
      <c r="Q269" s="147">
        <f t="shared" ca="1" si="139"/>
        <v>-1.5984650467408157E-2</v>
      </c>
      <c r="R269" s="147">
        <f t="shared" ca="1" si="139"/>
        <v>-1.7185482051329304E-2</v>
      </c>
      <c r="S269" s="147">
        <f t="shared" ca="1" si="139"/>
        <v>-1.8459121446662063E-2</v>
      </c>
      <c r="T269" s="147">
        <f t="shared" ca="1" si="139"/>
        <v>-1.795222603934743E-2</v>
      </c>
      <c r="U269" s="147">
        <f t="shared" ca="1" si="139"/>
        <v>-1.9838986015371152E-2</v>
      </c>
      <c r="V269" s="147">
        <f t="shared" ca="1" si="139"/>
        <v>-1.8955047771069378E-2</v>
      </c>
      <c r="W269" s="147">
        <f t="shared" ca="1" si="139"/>
        <v>-1.9738186449788753E-2</v>
      </c>
      <c r="X269" s="147">
        <f t="shared" ca="1" si="139"/>
        <v>-2.0405367027436894E-2</v>
      </c>
    </row>
    <row r="270" spans="1:24" x14ac:dyDescent="0.2">
      <c r="A270" s="82" t="s">
        <v>177</v>
      </c>
      <c r="D270" s="72"/>
      <c r="E270" s="222">
        <f t="shared" ref="E270:X270" si="140">E$107/D$107 -1</f>
        <v>3.0423993958355711E-2</v>
      </c>
      <c r="F270" s="222">
        <f t="shared" si="140"/>
        <v>0.1993508533137891</v>
      </c>
      <c r="G270" s="222">
        <f t="shared" si="140"/>
        <v>2.3483195111305033E-2</v>
      </c>
      <c r="H270" s="222">
        <f t="shared" si="140"/>
        <v>-6.3118389628112892E-3</v>
      </c>
      <c r="I270" s="222">
        <f t="shared" si="140"/>
        <v>3.4334763948495883E-4</v>
      </c>
      <c r="J270" s="122">
        <f t="shared" ca="1" si="140"/>
        <v>6.4012356272524551E-2</v>
      </c>
      <c r="K270" s="122">
        <f t="shared" ca="1" si="140"/>
        <v>-1.4919354838709764E-2</v>
      </c>
      <c r="L270" s="122">
        <f t="shared" ca="1" si="140"/>
        <v>7.286123618501783E-3</v>
      </c>
      <c r="M270" s="122">
        <f t="shared" ca="1" si="140"/>
        <v>7.3959687906370863E-3</v>
      </c>
      <c r="N270" s="122">
        <f t="shared" ca="1" si="140"/>
        <v>3.7918515530457331E-3</v>
      </c>
      <c r="O270" s="121">
        <f t="shared" ca="1" si="140"/>
        <v>2.2792761881735846E-3</v>
      </c>
      <c r="P270" s="121">
        <f t="shared" ca="1" si="140"/>
        <v>3.142431950245328E-3</v>
      </c>
      <c r="Q270" s="121">
        <f t="shared" ca="1" si="140"/>
        <v>3.4431620066339708E-3</v>
      </c>
      <c r="R270" s="121">
        <f t="shared" ca="1" si="140"/>
        <v>3.1738477808536114E-3</v>
      </c>
      <c r="S270" s="121">
        <f t="shared" ca="1" si="140"/>
        <v>3.7801554160901141E-3</v>
      </c>
      <c r="T270" s="121">
        <f t="shared" ca="1" si="140"/>
        <v>4.1988503509167163E-3</v>
      </c>
      <c r="U270" s="121">
        <f t="shared" ca="1" si="140"/>
        <v>3.4538288253300742E-3</v>
      </c>
      <c r="V270" s="121">
        <f t="shared" ca="1" si="140"/>
        <v>3.6886646666440814E-3</v>
      </c>
      <c r="W270" s="121">
        <f t="shared" ca="1" si="140"/>
        <v>4.4819765974488668E-3</v>
      </c>
      <c r="X270" s="121">
        <f t="shared" ca="1" si="140"/>
        <v>4.9970135424297624E-3</v>
      </c>
    </row>
    <row r="271" spans="1:24" x14ac:dyDescent="0.2">
      <c r="A271" s="27" t="s">
        <v>184</v>
      </c>
      <c r="D271" s="72"/>
      <c r="E271" s="70"/>
      <c r="F271" s="70"/>
      <c r="G271" s="70"/>
      <c r="H271" s="70"/>
      <c r="I271" s="70"/>
      <c r="J271" s="128"/>
      <c r="K271" s="128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</row>
    <row r="272" spans="1:24" x14ac:dyDescent="0.2">
      <c r="A272" s="28" t="s">
        <v>175</v>
      </c>
      <c r="D272" s="72"/>
      <c r="E272" s="270">
        <f>E$239</f>
        <v>1.2147478940300216E-2</v>
      </c>
      <c r="F272" s="270">
        <f>F$239</f>
        <v>1.1730293709667716E-2</v>
      </c>
      <c r="G272" s="270">
        <f>G$239</f>
        <v>1.4574826383714212E-2</v>
      </c>
      <c r="H272" s="270">
        <f>H$239</f>
        <v>1.2896592244418414E-2</v>
      </c>
      <c r="I272" s="270">
        <f>I$239</f>
        <v>8.9039705327880192E-3</v>
      </c>
      <c r="J272" s="286">
        <f t="shared" ref="J272:X272" ca="1" si="141">J$239</f>
        <v>8.6529063416316276E-3</v>
      </c>
      <c r="K272" s="286">
        <f t="shared" ca="1" si="141"/>
        <v>1.0545216176931493E-2</v>
      </c>
      <c r="L272" s="286">
        <f t="shared" ca="1" si="141"/>
        <v>1.1422286149420424E-2</v>
      </c>
      <c r="M272" s="286">
        <f t="shared" ca="1" si="141"/>
        <v>1.1181752272600542E-2</v>
      </c>
      <c r="N272" s="286">
        <f t="shared" ca="1" si="141"/>
        <v>1.047900063425522E-2</v>
      </c>
      <c r="O272" s="287">
        <f t="shared" ca="1" si="141"/>
        <v>1.0006357927154541E-2</v>
      </c>
      <c r="P272" s="287">
        <f t="shared" si="141"/>
        <v>1.0236578103709704E-2</v>
      </c>
      <c r="Q272" s="287">
        <f t="shared" si="141"/>
        <v>9.9014846968690229E-3</v>
      </c>
      <c r="R272" s="287">
        <f t="shared" si="141"/>
        <v>1.0015281961297751E-2</v>
      </c>
      <c r="S272" s="287">
        <f t="shared" si="141"/>
        <v>1.0457263635426317E-2</v>
      </c>
      <c r="T272" s="287">
        <f t="shared" si="141"/>
        <v>1.075463564080148E-2</v>
      </c>
      <c r="U272" s="287">
        <f t="shared" si="141"/>
        <v>1.025154391481764E-2</v>
      </c>
      <c r="V272" s="287">
        <f t="shared" si="141"/>
        <v>1.0127530945927443E-2</v>
      </c>
      <c r="W272" s="287">
        <f t="shared" si="141"/>
        <v>9.5857786219331054E-3</v>
      </c>
      <c r="X272" s="287">
        <f t="shared" si="141"/>
        <v>8.9558454283789057E-3</v>
      </c>
    </row>
    <row r="273" spans="1:24" x14ac:dyDescent="0.2">
      <c r="A273" s="28" t="s">
        <v>221</v>
      </c>
      <c r="D273" s="72"/>
      <c r="E273" s="70">
        <f t="shared" ref="E273:X273" si="142">E$236</f>
        <v>4.0196078431372628E-2</v>
      </c>
      <c r="F273" s="70">
        <f t="shared" si="142"/>
        <v>1.8850141376060225E-2</v>
      </c>
      <c r="G273" s="70">
        <f t="shared" si="142"/>
        <v>1.6651248843663202E-2</v>
      </c>
      <c r="H273" s="70">
        <f t="shared" si="142"/>
        <v>5.277525022747942E-2</v>
      </c>
      <c r="I273" s="70">
        <f t="shared" si="142"/>
        <v>9.5073465859982775E-3</v>
      </c>
      <c r="J273" s="128">
        <f t="shared" ca="1" si="142"/>
        <v>1.4554794520547976E-2</v>
      </c>
      <c r="K273" s="128">
        <f t="shared" ca="1" si="142"/>
        <v>2.1097046413502074E-2</v>
      </c>
      <c r="L273" s="128">
        <f t="shared" ca="1" si="142"/>
        <v>2.2314049586776852E-2</v>
      </c>
      <c r="M273" s="128">
        <f t="shared" ca="1" si="142"/>
        <v>2.1827000808407382E-2</v>
      </c>
      <c r="N273" s="128">
        <f t="shared" ca="1" si="142"/>
        <v>2.2151898734177111E-2</v>
      </c>
      <c r="O273" s="145">
        <f t="shared" ca="1" si="142"/>
        <v>2.0151898734177109E-2</v>
      </c>
      <c r="P273" s="145">
        <f t="shared" ca="1" si="142"/>
        <v>0.02</v>
      </c>
      <c r="Q273" s="145">
        <f t="shared" ca="1" si="142"/>
        <v>0.02</v>
      </c>
      <c r="R273" s="145">
        <f t="shared" ca="1" si="142"/>
        <v>0.02</v>
      </c>
      <c r="S273" s="145">
        <f t="shared" ca="1" si="142"/>
        <v>0.02</v>
      </c>
      <c r="T273" s="145">
        <f t="shared" ca="1" si="142"/>
        <v>0.02</v>
      </c>
      <c r="U273" s="145">
        <f t="shared" ca="1" si="142"/>
        <v>0.02</v>
      </c>
      <c r="V273" s="145">
        <f t="shared" ca="1" si="142"/>
        <v>0.02</v>
      </c>
      <c r="W273" s="145">
        <f t="shared" ca="1" si="142"/>
        <v>0.02</v>
      </c>
      <c r="X273" s="145">
        <f t="shared" ca="1" si="142"/>
        <v>0.02</v>
      </c>
    </row>
    <row r="274" spans="1:24" x14ac:dyDescent="0.2">
      <c r="A274" s="28" t="s">
        <v>428</v>
      </c>
      <c r="D274" s="72"/>
      <c r="E274" s="221">
        <f t="shared" ref="E274:X274" si="143">E$133/D$133 -(1+E$272+E$273)</f>
        <v>-0.13696938133444925</v>
      </c>
      <c r="F274" s="221">
        <f t="shared" si="143"/>
        <v>0.20567922815688555</v>
      </c>
      <c r="G274" s="221">
        <f t="shared" si="143"/>
        <v>-0.21728055526849432</v>
      </c>
      <c r="H274" s="221">
        <f t="shared" si="143"/>
        <v>0.36097517920774846</v>
      </c>
      <c r="I274" s="221">
        <f t="shared" si="143"/>
        <v>-0.10567894768827579</v>
      </c>
      <c r="J274" s="146">
        <f t="shared" ca="1" si="143"/>
        <v>9.6407590498040374E-2</v>
      </c>
      <c r="K274" s="146">
        <f t="shared" ca="1" si="143"/>
        <v>-0.16323830676858997</v>
      </c>
      <c r="L274" s="146">
        <f t="shared" ca="1" si="143"/>
        <v>-4.8782054771941308E-2</v>
      </c>
      <c r="M274" s="146">
        <f t="shared" ca="1" si="143"/>
        <v>-2.777624400851253E-2</v>
      </c>
      <c r="N274" s="146">
        <f t="shared" ca="1" si="143"/>
        <v>-2.1380794423423444E-2</v>
      </c>
      <c r="O274" s="147">
        <f t="shared" ca="1" si="143"/>
        <v>-4.6762656827375571E-2</v>
      </c>
      <c r="P274" s="147">
        <f t="shared" ca="1" si="143"/>
        <v>-7.6247553198686702E-2</v>
      </c>
      <c r="Q274" s="147">
        <f t="shared" ca="1" si="143"/>
        <v>-2.9901484696869041E-2</v>
      </c>
      <c r="R274" s="147">
        <f t="shared" ca="1" si="143"/>
        <v>-3.0015281961297768E-2</v>
      </c>
      <c r="S274" s="147">
        <f t="shared" ca="1" si="143"/>
        <v>-3.0457263635426335E-2</v>
      </c>
      <c r="T274" s="147">
        <f t="shared" ca="1" si="143"/>
        <v>-3.0754635640801498E-2</v>
      </c>
      <c r="U274" s="147">
        <f t="shared" ca="1" si="143"/>
        <v>-3.0251543914817658E-2</v>
      </c>
      <c r="V274" s="147">
        <f t="shared" ca="1" si="143"/>
        <v>-3.0127530945927461E-2</v>
      </c>
      <c r="W274" s="147">
        <f t="shared" ca="1" si="143"/>
        <v>-2.9585778621933123E-2</v>
      </c>
      <c r="X274" s="147">
        <f t="shared" ca="1" si="143"/>
        <v>-2.8955845428378924E-2</v>
      </c>
    </row>
    <row r="275" spans="1:24" x14ac:dyDescent="0.2">
      <c r="A275" s="82" t="s">
        <v>177</v>
      </c>
      <c r="D275" s="72"/>
      <c r="E275" s="222">
        <f t="shared" ref="E275:X275" si="144">E$133/D$133 -1</f>
        <v>-8.4625823962776403E-2</v>
      </c>
      <c r="F275" s="222">
        <f t="shared" si="144"/>
        <v>0.23625966324261349</v>
      </c>
      <c r="G275" s="222">
        <f t="shared" si="144"/>
        <v>-0.18605448004111691</v>
      </c>
      <c r="H275" s="222">
        <f t="shared" si="144"/>
        <v>0.4266470216796463</v>
      </c>
      <c r="I275" s="222">
        <f t="shared" si="144"/>
        <v>-8.7267630569489496E-2</v>
      </c>
      <c r="J275" s="122">
        <f t="shared" ca="1" si="144"/>
        <v>0.11961529136021998</v>
      </c>
      <c r="K275" s="122">
        <f t="shared" ca="1" si="144"/>
        <v>-0.1315960441781564</v>
      </c>
      <c r="L275" s="122">
        <f t="shared" ca="1" si="144"/>
        <v>-1.5045719035744032E-2</v>
      </c>
      <c r="M275" s="122">
        <f t="shared" ca="1" si="144"/>
        <v>5.2325090724953949E-3</v>
      </c>
      <c r="N275" s="122">
        <f t="shared" ca="1" si="144"/>
        <v>1.1250104945008887E-2</v>
      </c>
      <c r="O275" s="121">
        <f t="shared" ca="1" si="144"/>
        <v>-1.660440016604392E-2</v>
      </c>
      <c r="P275" s="121">
        <f t="shared" ca="1" si="144"/>
        <v>-4.601097509497698E-2</v>
      </c>
      <c r="Q275" s="121">
        <f t="shared" ca="1" si="144"/>
        <v>0</v>
      </c>
      <c r="R275" s="121">
        <f t="shared" ca="1" si="144"/>
        <v>0</v>
      </c>
      <c r="S275" s="121">
        <f t="shared" ca="1" si="144"/>
        <v>0</v>
      </c>
      <c r="T275" s="121">
        <f t="shared" ca="1" si="144"/>
        <v>0</v>
      </c>
      <c r="U275" s="121">
        <f t="shared" ca="1" si="144"/>
        <v>0</v>
      </c>
      <c r="V275" s="121">
        <f t="shared" ca="1" si="144"/>
        <v>0</v>
      </c>
      <c r="W275" s="121">
        <f t="shared" ca="1" si="144"/>
        <v>0</v>
      </c>
      <c r="X275" s="121">
        <f t="shared" ca="1" si="144"/>
        <v>0</v>
      </c>
    </row>
    <row r="276" spans="1:24" x14ac:dyDescent="0.2">
      <c r="K276" s="127"/>
    </row>
    <row r="277" spans="1:24" x14ac:dyDescent="0.2">
      <c r="A277" s="27" t="s">
        <v>536</v>
      </c>
      <c r="K277" s="127"/>
    </row>
    <row r="278" spans="1:24" x14ac:dyDescent="0.2">
      <c r="A278" s="28" t="s">
        <v>537</v>
      </c>
      <c r="D278" s="202" t="str">
        <f>IF(D$4&lt;=($C$4+'Forecast Adjuster'!$F$1),"History",D$4-$C$4-'Forecast Adjuster'!$F$1+1)</f>
        <v>History</v>
      </c>
      <c r="E278" s="202" t="str">
        <f>IF(E$4&lt;=($C$4+'Forecast Adjuster'!$F$1),"History",E$4-$C$4-'Forecast Adjuster'!$F$1+1)</f>
        <v>History</v>
      </c>
      <c r="F278" s="202" t="str">
        <f>IF(F$4&lt;=($C$4+'Forecast Adjuster'!$F$1),"History",F$4-$C$4-'Forecast Adjuster'!$F$1+1)</f>
        <v>History</v>
      </c>
      <c r="G278" s="202" t="str">
        <f>IF(G$4&lt;=($C$4+'Forecast Adjuster'!$F$1),"History",G$4-$C$4-'Forecast Adjuster'!$F$1+1)</f>
        <v>History</v>
      </c>
      <c r="H278" s="202" t="str">
        <f>IF(H$4&lt;=($C$4+'Forecast Adjuster'!$F$1),"History",H$4-$C$4-'Forecast Adjuster'!$F$1+1)</f>
        <v>History</v>
      </c>
      <c r="I278" s="202" t="str">
        <f>IF(I$4&lt;=($C$4+'Forecast Adjuster'!$F$1),"History",I$4-$C$4-'Forecast Adjuster'!$F$1+1)</f>
        <v>History</v>
      </c>
      <c r="J278" s="203">
        <f>IF(J$4&lt;=($C$4+'Forecast Adjuster'!$F$1),"History",J$4-$C$4-'Forecast Adjuster'!$F$1+1)</f>
        <v>2</v>
      </c>
      <c r="K278" s="203">
        <f>IF(K$4&lt;=($C$4+'Forecast Adjuster'!$F$1),"History",K$4-$C$4-'Forecast Adjuster'!$F$1+1)</f>
        <v>3</v>
      </c>
      <c r="L278" s="203">
        <f>IF(L$4&lt;=($C$4+'Forecast Adjuster'!$F$1),"History",L$4-$C$4-'Forecast Adjuster'!$F$1+1)</f>
        <v>4</v>
      </c>
      <c r="M278" s="203">
        <f>IF(M$4&lt;=($C$4+'Forecast Adjuster'!$F$1),"History",M$4-$C$4-'Forecast Adjuster'!$F$1+1)</f>
        <v>5</v>
      </c>
      <c r="N278" s="203">
        <f>IF(N$4&lt;=($C$4+'Forecast Adjuster'!$F$1),"History",N$4-$C$4-'Forecast Adjuster'!$F$1+1)</f>
        <v>6</v>
      </c>
      <c r="O278" s="203">
        <f>IF(O$4&lt;=($C$4+'Forecast Adjuster'!$F$1),"History",O$4-$C$4-'Forecast Adjuster'!$F$1+1)</f>
        <v>7</v>
      </c>
      <c r="P278" s="203">
        <f>IF(P$4&lt;=($C$4+'Forecast Adjuster'!$F$1),"History",P$4-$C$4-'Forecast Adjuster'!$F$1+1)</f>
        <v>8</v>
      </c>
    </row>
    <row r="279" spans="1:24" x14ac:dyDescent="0.2">
      <c r="A279" s="27" t="s">
        <v>367</v>
      </c>
      <c r="K279" s="127"/>
    </row>
    <row r="280" spans="1:24" x14ac:dyDescent="0.2">
      <c r="A280" s="28" t="s">
        <v>732</v>
      </c>
      <c r="J280" s="36">
        <f ca="1">IF($I$1="Yes",OFFSET('Forecast Adjuster'!$A$9,0,J$278)/1000,0)</f>
        <v>0</v>
      </c>
      <c r="K280" s="36">
        <f ca="1">IF($I$1="Yes",OFFSET('Forecast Adjuster'!$A$9,0,K$278)/1000,0)</f>
        <v>0</v>
      </c>
      <c r="L280" s="36">
        <f ca="1">IF($I$1="Yes",OFFSET('Forecast Adjuster'!$A$9,0,L$278)/1000,0)</f>
        <v>0</v>
      </c>
      <c r="M280" s="36">
        <f ca="1">IF($I$1="Yes",OFFSET('Forecast Adjuster'!$A$9,0,M$278)/1000,0)</f>
        <v>0</v>
      </c>
      <c r="N280" s="36">
        <f ca="1">IF($I$1="Yes",OFFSET('Forecast Adjuster'!$A$9,0,N$278)/1000,0)</f>
        <v>0</v>
      </c>
    </row>
    <row r="281" spans="1:24" x14ac:dyDescent="0.2">
      <c r="A281" s="28" t="s">
        <v>733</v>
      </c>
      <c r="J281" s="36">
        <f ca="1">IF($I$1="Yes",OFFSET('Forecast Adjuster'!$A$10,0,J$278)/1000,0)</f>
        <v>0</v>
      </c>
      <c r="K281" s="36">
        <f ca="1">IF($I$1="Yes",OFFSET('Forecast Adjuster'!$A$10,0,K$278)/1000,0)</f>
        <v>0</v>
      </c>
      <c r="L281" s="36">
        <f ca="1">IF($I$1="Yes",OFFSET('Forecast Adjuster'!$A$10,0,L$278)/1000,0)</f>
        <v>0</v>
      </c>
      <c r="M281" s="36">
        <f ca="1">IF($I$1="Yes",OFFSET('Forecast Adjuster'!$A$10,0,M$278)/1000,0)</f>
        <v>0</v>
      </c>
      <c r="N281" s="36">
        <f ca="1">IF($I$1="Yes",OFFSET('Forecast Adjuster'!$A$10,0,N$278)/1000,0)</f>
        <v>0</v>
      </c>
    </row>
    <row r="282" spans="1:24" x14ac:dyDescent="0.2">
      <c r="A282" s="28" t="s">
        <v>908</v>
      </c>
      <c r="J282" s="36">
        <f ca="1">IF($I$1="Yes",OFFSET('Forecast Adjuster'!$A$11,0,J$278)/1000,0)</f>
        <v>0</v>
      </c>
      <c r="K282" s="36">
        <f ca="1">IF($I$1="Yes",OFFSET('Forecast Adjuster'!$A$11,0,K$278)/1000,0)</f>
        <v>0</v>
      </c>
      <c r="L282" s="36">
        <f ca="1">IF($I$1="Yes",OFFSET('Forecast Adjuster'!$A$11,0,L$278)/1000,0)</f>
        <v>0</v>
      </c>
      <c r="M282" s="36">
        <f ca="1">IF($I$1="Yes",OFFSET('Forecast Adjuster'!$A$11,0,M$278)/1000,0)</f>
        <v>0</v>
      </c>
      <c r="N282" s="36">
        <f ca="1">IF($I$1="Yes",OFFSET('Forecast Adjuster'!$A$11,0,N$278)/1000,0)</f>
        <v>0</v>
      </c>
    </row>
    <row r="283" spans="1:24" x14ac:dyDescent="0.2">
      <c r="A283" s="28" t="s">
        <v>909</v>
      </c>
      <c r="J283" s="36">
        <f ca="1">IF($I$1="Yes",OFFSET('Forecast Adjuster'!$A$12,0,J$278)/1000,0)</f>
        <v>0</v>
      </c>
      <c r="K283" s="36">
        <f ca="1">IF($I$1="Yes",OFFSET('Forecast Adjuster'!$A$12,0,K$278)/1000,0)</f>
        <v>0</v>
      </c>
      <c r="L283" s="36">
        <f ca="1">IF($I$1="Yes",OFFSET('Forecast Adjuster'!$A$12,0,L$278)/1000,0)</f>
        <v>0</v>
      </c>
      <c r="M283" s="36">
        <f ca="1">IF($I$1="Yes",OFFSET('Forecast Adjuster'!$A$12,0,M$278)/1000,0)</f>
        <v>0</v>
      </c>
      <c r="N283" s="36">
        <f ca="1">IF($I$1="Yes",OFFSET('Forecast Adjuster'!$A$12,0,N$278)/1000,0)</f>
        <v>0</v>
      </c>
    </row>
    <row r="284" spans="1:24" x14ac:dyDescent="0.2">
      <c r="A284" s="28" t="s">
        <v>538</v>
      </c>
      <c r="J284" s="36">
        <f>IF($I$1="Yes",J$237*SUM(I$305,J$305)/2,0)</f>
        <v>0</v>
      </c>
      <c r="K284" s="36">
        <f>IF($I$1="Yes",K$237*SUM(J$305,K$305)/2,0)</f>
        <v>0</v>
      </c>
      <c r="L284" s="36">
        <f>IF($I$1="Yes",L$237*SUM(K$305,L$305)/2,0)</f>
        <v>0</v>
      </c>
      <c r="M284" s="36">
        <f>IF($I$1="Yes",M$237*SUM(L$305,M$305)/2,0)</f>
        <v>0</v>
      </c>
      <c r="N284" s="36">
        <f>IF($I$1="Yes",N$237*SUM(M$305,N$305)/2,0)</f>
        <v>0</v>
      </c>
    </row>
    <row r="285" spans="1:24" x14ac:dyDescent="0.2">
      <c r="A285" s="28" t="s">
        <v>841</v>
      </c>
      <c r="J285" s="36">
        <f>IF($I$1="Yes",J$237*SUM(I$306,J$306)/2,0)</f>
        <v>0</v>
      </c>
      <c r="K285" s="36">
        <f>IF($I$1="Yes",K$237*SUM(J$306,K$306)/2,0)</f>
        <v>0</v>
      </c>
      <c r="L285" s="36">
        <f>IF($I$1="Yes",L$237*SUM(K$306,L$306)/2,0)</f>
        <v>0</v>
      </c>
      <c r="M285" s="36">
        <f>IF($I$1="Yes",M$237*SUM(L$306,M$306)/2,0)</f>
        <v>0</v>
      </c>
      <c r="N285" s="36">
        <f>IF($I$1="Yes",N$237*SUM(M$306,N$306)/2,0)</f>
        <v>0</v>
      </c>
    </row>
    <row r="286" spans="1:24" x14ac:dyDescent="0.2">
      <c r="A286" s="28" t="s">
        <v>745</v>
      </c>
      <c r="J286" s="36">
        <f ca="1">IF($I$1="Yes",OFFSET('Forecast Adjuster'!$A$13,0,J$278)/1000,0)</f>
        <v>0</v>
      </c>
      <c r="K286" s="36">
        <f ca="1">IF($I$1="Yes",OFFSET('Forecast Adjuster'!$A$13,0,K$278)/1000,0)</f>
        <v>0</v>
      </c>
      <c r="L286" s="36">
        <f ca="1">IF($I$1="Yes",OFFSET('Forecast Adjuster'!$A$13,0,L$278)/1000,0)</f>
        <v>0</v>
      </c>
      <c r="M286" s="36">
        <f ca="1">IF($I$1="Yes",OFFSET('Forecast Adjuster'!$A$13,0,M$278)/1000,0)</f>
        <v>0</v>
      </c>
      <c r="N286" s="36">
        <f ca="1">IF($I$1="Yes",OFFSET('Forecast Adjuster'!$A$13,0,N$278)/1000,0)</f>
        <v>0</v>
      </c>
    </row>
    <row r="287" spans="1:24" s="73" customFormat="1" x14ac:dyDescent="0.2">
      <c r="A287" s="28" t="s">
        <v>829</v>
      </c>
      <c r="B287"/>
      <c r="C287" s="72"/>
      <c r="D287" s="127"/>
      <c r="E287" s="127"/>
      <c r="F287" s="127"/>
      <c r="G287" s="127"/>
      <c r="H287" s="127"/>
      <c r="I287" s="127"/>
      <c r="J287" s="36">
        <f ca="1">IF($I$1="Yes",OFFSET('Forecast Adjuster'!$A$15,0,J$278)/1000,0)</f>
        <v>0</v>
      </c>
      <c r="K287" s="36">
        <f ca="1">IF($I$1="Yes",OFFSET('Forecast Adjuster'!$A$15,0,K$278)/1000,0)</f>
        <v>0</v>
      </c>
      <c r="L287" s="36">
        <f ca="1">IF($I$1="Yes",OFFSET('Forecast Adjuster'!$A$15,0,L$278)/1000,0)</f>
        <v>0</v>
      </c>
      <c r="M287" s="36">
        <f ca="1">IF($I$1="Yes",OFFSET('Forecast Adjuster'!$A$15,0,M$278)/1000,0)</f>
        <v>0</v>
      </c>
      <c r="N287" s="36">
        <f ca="1">IF($I$1="Yes",OFFSET('Forecast Adjuster'!$A$15,0,N$278)/1000,0)</f>
        <v>0</v>
      </c>
    </row>
    <row r="288" spans="1:24" s="73" customFormat="1" x14ac:dyDescent="0.2">
      <c r="A288" s="28" t="s">
        <v>912</v>
      </c>
      <c r="B288"/>
      <c r="C288" s="72"/>
      <c r="D288" s="127"/>
      <c r="E288" s="127"/>
      <c r="F288" s="127"/>
      <c r="G288" s="127"/>
      <c r="H288" s="127"/>
      <c r="I288" s="127"/>
      <c r="J288" s="36">
        <f ca="1">IF($I$1="Yes",OFFSET('Forecast Adjuster'!$A$16,0,J$278)/1000,0)</f>
        <v>0</v>
      </c>
      <c r="K288" s="36">
        <f ca="1">IF($I$1="Yes",OFFSET('Forecast Adjuster'!$A$16,0,K$278)/1000,0)</f>
        <v>0</v>
      </c>
      <c r="L288" s="36">
        <f ca="1">IF($I$1="Yes",OFFSET('Forecast Adjuster'!$A$16,0,L$278)/1000,0)</f>
        <v>0</v>
      </c>
      <c r="M288" s="36">
        <f ca="1">IF($I$1="Yes",OFFSET('Forecast Adjuster'!$A$16,0,M$278)/1000,0)</f>
        <v>0</v>
      </c>
      <c r="N288" s="36">
        <f ca="1">IF($I$1="Yes",OFFSET('Forecast Adjuster'!$A$16,0,N$278)/1000,0)</f>
        <v>0</v>
      </c>
    </row>
    <row r="289" spans="1:14" s="73" customFormat="1" x14ac:dyDescent="0.2">
      <c r="A289" s="28" t="s">
        <v>916</v>
      </c>
      <c r="B289"/>
      <c r="C289" s="72"/>
      <c r="D289" s="127"/>
      <c r="E289" s="127"/>
      <c r="F289" s="127"/>
      <c r="G289" s="127"/>
      <c r="H289" s="127"/>
      <c r="I289" s="127"/>
      <c r="J289" s="36">
        <f ca="1">IF($I$1="Yes",OFFSET('Forecast Adjuster'!$A$17,0,J$278)/1000,0)</f>
        <v>0</v>
      </c>
      <c r="K289" s="36">
        <f ca="1">IF($I$1="Yes",OFFSET('Forecast Adjuster'!$A$17,0,K$278)/1000,0)</f>
        <v>0</v>
      </c>
      <c r="L289" s="36">
        <f ca="1">IF($I$1="Yes",OFFSET('Forecast Adjuster'!$A$17,0,L$278)/1000,0)</f>
        <v>0</v>
      </c>
      <c r="M289" s="36">
        <f ca="1">IF($I$1="Yes",OFFSET('Forecast Adjuster'!$A$17,0,M$278)/1000,0)</f>
        <v>0</v>
      </c>
      <c r="N289" s="36">
        <f ca="1">IF($I$1="Yes",OFFSET('Forecast Adjuster'!$A$17,0,N$278)/1000,0)</f>
        <v>0</v>
      </c>
    </row>
    <row r="290" spans="1:14" s="73" customFormat="1" x14ac:dyDescent="0.2">
      <c r="A290" s="28" t="s">
        <v>917</v>
      </c>
      <c r="B290"/>
      <c r="C290" s="72"/>
      <c r="D290" s="127"/>
      <c r="E290" s="127"/>
      <c r="F290" s="127"/>
      <c r="G290" s="127"/>
      <c r="H290" s="127"/>
      <c r="I290" s="127"/>
      <c r="J290" s="36">
        <f ca="1">IF($I$1="Yes",OFFSET('Forecast Adjuster'!$A$18,0,J$278)/1000,0)</f>
        <v>0</v>
      </c>
      <c r="K290" s="36">
        <f ca="1">IF($I$1="Yes",OFFSET('Forecast Adjuster'!$A$18,0,K$278)/1000,0)</f>
        <v>0</v>
      </c>
      <c r="L290" s="36">
        <f ca="1">IF($I$1="Yes",OFFSET('Forecast Adjuster'!$A$18,0,L$278)/1000,0)</f>
        <v>0</v>
      </c>
      <c r="M290" s="36">
        <f ca="1">IF($I$1="Yes",OFFSET('Forecast Adjuster'!$A$18,0,M$278)/1000,0)</f>
        <v>0</v>
      </c>
      <c r="N290" s="36">
        <f ca="1">IF($I$1="Yes",OFFSET('Forecast Adjuster'!$A$18,0,N$278)/1000,0)</f>
        <v>0</v>
      </c>
    </row>
    <row r="291" spans="1:14" s="73" customFormat="1" x14ac:dyDescent="0.2">
      <c r="A291" s="28" t="s">
        <v>921</v>
      </c>
      <c r="B291"/>
      <c r="C291" s="72"/>
      <c r="D291" s="127"/>
      <c r="E291" s="127"/>
      <c r="F291" s="127"/>
      <c r="G291" s="127"/>
      <c r="H291" s="127"/>
      <c r="I291" s="127"/>
      <c r="J291" s="36">
        <f ca="1">IF($I$1="Yes",OFFSET('Forecast Adjuster'!$A$19,0,J$278)/1000,0)</f>
        <v>0</v>
      </c>
      <c r="K291" s="36">
        <f ca="1">IF($I$1="Yes",OFFSET('Forecast Adjuster'!$A$19,0,K$278)/1000,0)</f>
        <v>0</v>
      </c>
      <c r="L291" s="36">
        <f ca="1">IF($I$1="Yes",OFFSET('Forecast Adjuster'!$A$19,0,L$278)/1000,0)</f>
        <v>0</v>
      </c>
      <c r="M291" s="36">
        <f ca="1">IF($I$1="Yes",OFFSET('Forecast Adjuster'!$A$19,0,M$278)/1000,0)</f>
        <v>0</v>
      </c>
      <c r="N291" s="36">
        <f ca="1">IF($I$1="Yes",OFFSET('Forecast Adjuster'!$A$19,0,N$278)/1000,0)</f>
        <v>0</v>
      </c>
    </row>
    <row r="292" spans="1:14" s="73" customFormat="1" x14ac:dyDescent="0.2">
      <c r="A292" s="28" t="s">
        <v>1002</v>
      </c>
      <c r="B292"/>
      <c r="C292" s="72"/>
      <c r="D292" s="127"/>
      <c r="E292" s="127"/>
      <c r="F292" s="127"/>
      <c r="G292" s="127"/>
      <c r="H292" s="127"/>
      <c r="I292" s="127"/>
      <c r="J292" s="36">
        <f ca="1">IF($I$1="Yes",OFFSET('Forecast Adjuster'!$A$20,0,J$278)/1000,0)</f>
        <v>0</v>
      </c>
      <c r="K292" s="36">
        <f ca="1">IF($I$1="Yes",OFFSET('Forecast Adjuster'!$A$20,0,K$278)/1000,0)</f>
        <v>0</v>
      </c>
      <c r="L292" s="36">
        <f ca="1">IF($I$1="Yes",OFFSET('Forecast Adjuster'!$A$20,0,L$278)/1000,0)</f>
        <v>0</v>
      </c>
      <c r="M292" s="36">
        <f ca="1">IF($I$1="Yes",OFFSET('Forecast Adjuster'!$A$20,0,M$278)/1000,0)</f>
        <v>0</v>
      </c>
      <c r="N292" s="36">
        <f ca="1">IF($I$1="Yes",OFFSET('Forecast Adjuster'!$A$20,0,N$278)/1000,0)</f>
        <v>0</v>
      </c>
    </row>
    <row r="293" spans="1:14" s="73" customFormat="1" x14ac:dyDescent="0.2">
      <c r="A293" s="28" t="s">
        <v>1013</v>
      </c>
      <c r="B293"/>
      <c r="C293" s="72"/>
      <c r="D293" s="127"/>
      <c r="E293" s="127"/>
      <c r="F293" s="127"/>
      <c r="G293" s="127"/>
      <c r="H293" s="127"/>
      <c r="I293" s="127"/>
      <c r="J293" s="36">
        <f ca="1">IF($I$1="Yes",OFFSET('Forecast Adjuster'!$A$21,0,J$278)/1000,0)</f>
        <v>0</v>
      </c>
      <c r="K293" s="36">
        <f ca="1">IF($I$1="Yes",OFFSET('Forecast Adjuster'!$A$21,0,K$278)/1000,0)</f>
        <v>0</v>
      </c>
      <c r="L293" s="36">
        <f ca="1">IF($I$1="Yes",OFFSET('Forecast Adjuster'!$A$21,0,L$278)/1000,0)</f>
        <v>0</v>
      </c>
      <c r="M293" s="36">
        <f ca="1">IF($I$1="Yes",OFFSET('Forecast Adjuster'!$A$21,0,M$278)/1000,0)</f>
        <v>0</v>
      </c>
      <c r="N293" s="36">
        <f ca="1">IF($I$1="Yes",OFFSET('Forecast Adjuster'!$A$21,0,N$278)/1000,0)</f>
        <v>0</v>
      </c>
    </row>
    <row r="294" spans="1:14" s="73" customFormat="1" x14ac:dyDescent="0.2">
      <c r="A294" s="28" t="s">
        <v>746</v>
      </c>
      <c r="B294"/>
      <c r="C294" s="72"/>
      <c r="D294" s="127"/>
      <c r="E294" s="127"/>
      <c r="F294" s="127"/>
      <c r="G294" s="127"/>
      <c r="H294" s="127"/>
      <c r="I294" s="127"/>
      <c r="J294" s="36">
        <f ca="1">IF($I$1="Yes",OFFSET('Forecast Adjuster'!$A$22,0,J$278)/1000,0)</f>
        <v>0</v>
      </c>
      <c r="K294" s="36">
        <f ca="1">IF($I$1="Yes",OFFSET('Forecast Adjuster'!$A$22,0,K$278)/1000,0)</f>
        <v>0</v>
      </c>
      <c r="L294" s="36">
        <f ca="1">IF($I$1="Yes",OFFSET('Forecast Adjuster'!$A$22,0,L$278)/1000,0)</f>
        <v>0</v>
      </c>
      <c r="M294" s="36">
        <f ca="1">IF($I$1="Yes",OFFSET('Forecast Adjuster'!$A$22,0,M$278)/1000,0)</f>
        <v>0</v>
      </c>
      <c r="N294" s="36">
        <f ca="1">IF($I$1="Yes",OFFSET('Forecast Adjuster'!$A$22,0,N$278)/1000,0)</f>
        <v>0</v>
      </c>
    </row>
    <row r="295" spans="1:14" s="73" customFormat="1" x14ac:dyDescent="0.2">
      <c r="A295" s="28" t="s">
        <v>843</v>
      </c>
      <c r="B295"/>
      <c r="C295" s="72"/>
      <c r="D295" s="127"/>
      <c r="E295" s="127"/>
      <c r="F295" s="127"/>
      <c r="G295" s="127"/>
      <c r="H295" s="127"/>
      <c r="I295" s="127"/>
      <c r="J295" s="36">
        <f ca="1">IF($I$1="Yes",OFFSET('Forecast Adjuster'!$A$23,0,J$278)/1000,0)</f>
        <v>0</v>
      </c>
      <c r="K295" s="36">
        <f ca="1">IF($I$1="Yes",OFFSET('Forecast Adjuster'!$A$23,0,K$278)/1000,0)</f>
        <v>0</v>
      </c>
      <c r="L295" s="36">
        <f ca="1">IF($I$1="Yes",OFFSET('Forecast Adjuster'!$A$23,0,L$278)/1000,0)</f>
        <v>0</v>
      </c>
      <c r="M295" s="36">
        <f ca="1">IF($I$1="Yes",OFFSET('Forecast Adjuster'!$A$23,0,M$278)/1000,0)</f>
        <v>0</v>
      </c>
      <c r="N295" s="36">
        <f ca="1">IF($I$1="Yes",OFFSET('Forecast Adjuster'!$A$23,0,N$278)/1000,0)</f>
        <v>0</v>
      </c>
    </row>
    <row r="296" spans="1:14" s="73" customFormat="1" x14ac:dyDescent="0.2">
      <c r="A296" s="28" t="s">
        <v>1008</v>
      </c>
      <c r="B296" s="50"/>
      <c r="C296" s="72"/>
      <c r="D296" s="127"/>
      <c r="E296" s="127"/>
      <c r="F296" s="127"/>
      <c r="G296" s="127"/>
      <c r="H296" s="127"/>
      <c r="I296" s="127"/>
      <c r="J296" s="36">
        <f ca="1">IF($I$1="Yes",OFFSET('Forecast Adjuster'!$A$24,0,J$278)/1000,0)</f>
        <v>0</v>
      </c>
      <c r="K296" s="36">
        <f ca="1">IF($I$1="Yes",OFFSET('Forecast Adjuster'!$A$24,0,K$278)/1000,0)</f>
        <v>0</v>
      </c>
      <c r="L296" s="36">
        <f ca="1">IF($I$1="Yes",OFFSET('Forecast Adjuster'!$A$24,0,L$278)/1000,0)</f>
        <v>0</v>
      </c>
      <c r="M296" s="36">
        <f ca="1">IF($I$1="Yes",OFFSET('Forecast Adjuster'!$A$24,0,M$278)/1000,0)</f>
        <v>0</v>
      </c>
      <c r="N296" s="36">
        <f ca="1">IF($I$1="Yes",OFFSET('Forecast Adjuster'!$A$24,0,N$278)/1000,0)</f>
        <v>0</v>
      </c>
    </row>
    <row r="297" spans="1:14" s="73" customFormat="1" x14ac:dyDescent="0.2">
      <c r="A297" s="28" t="s">
        <v>1009</v>
      </c>
      <c r="B297" s="50"/>
      <c r="C297" s="72"/>
      <c r="D297" s="127"/>
      <c r="E297" s="127"/>
      <c r="F297" s="127"/>
      <c r="G297" s="127"/>
      <c r="H297" s="127"/>
      <c r="I297" s="127"/>
      <c r="J297" s="36">
        <f ca="1">IF($I$1="Yes",OFFSET('Forecast Adjuster'!$A$25,0,J$278)/1000,0)</f>
        <v>0</v>
      </c>
      <c r="K297" s="36">
        <f ca="1">IF($I$1="Yes",OFFSET('Forecast Adjuster'!$A$25,0,K$278)/1000,0)</f>
        <v>0</v>
      </c>
      <c r="L297" s="36">
        <f ca="1">IF($I$1="Yes",OFFSET('Forecast Adjuster'!$A$25,0,L$278)/1000,0)</f>
        <v>0</v>
      </c>
      <c r="M297" s="36">
        <f ca="1">IF($I$1="Yes",OFFSET('Forecast Adjuster'!$A$25,0,M$278)/1000,0)</f>
        <v>0</v>
      </c>
      <c r="N297" s="36">
        <f ca="1">IF($I$1="Yes",OFFSET('Forecast Adjuster'!$A$25,0,N$278)/1000,0)</f>
        <v>0</v>
      </c>
    </row>
    <row r="298" spans="1:14" s="73" customFormat="1" x14ac:dyDescent="0.2">
      <c r="A298" s="28" t="s">
        <v>828</v>
      </c>
      <c r="B298"/>
      <c r="C298" s="72"/>
      <c r="D298" s="127"/>
      <c r="E298" s="127"/>
      <c r="F298" s="127"/>
      <c r="G298" s="127"/>
      <c r="H298" s="127"/>
      <c r="I298" s="127"/>
      <c r="J298" s="36">
        <f ca="1">IF($I$1="Yes",OFFSET('Forecast Adjuster'!$A$26,0,J$278)/1000,0)</f>
        <v>0</v>
      </c>
      <c r="K298" s="36">
        <f ca="1">IF($I$1="Yes",OFFSET('Forecast Adjuster'!$A$26,0,K$278)/1000,0)</f>
        <v>0</v>
      </c>
      <c r="L298" s="36">
        <f ca="1">IF($I$1="Yes",OFFSET('Forecast Adjuster'!$A$26,0,L$278)/1000,0)</f>
        <v>0</v>
      </c>
      <c r="M298" s="36">
        <f ca="1">IF($I$1="Yes",OFFSET('Forecast Adjuster'!$A$26,0,M$278)/1000,0)</f>
        <v>0</v>
      </c>
      <c r="N298" s="36">
        <f ca="1">IF($I$1="Yes",OFFSET('Forecast Adjuster'!$A$26,0,N$278)/1000,0)</f>
        <v>0</v>
      </c>
    </row>
    <row r="299" spans="1:14" s="73" customFormat="1" x14ac:dyDescent="0.2">
      <c r="A299" s="28" t="s">
        <v>836</v>
      </c>
      <c r="B299"/>
      <c r="C299" s="72"/>
      <c r="D299" s="127"/>
      <c r="E299" s="127"/>
      <c r="F299" s="127"/>
      <c r="G299" s="127"/>
      <c r="H299" s="127"/>
      <c r="I299" s="127"/>
      <c r="J299" s="36">
        <f ca="1">IF($I$1="Yes",OFFSET('Forecast Adjuster'!$A$27,0,J$278)/1000,0)</f>
        <v>0</v>
      </c>
      <c r="K299" s="36">
        <f ca="1">IF($I$1="Yes",OFFSET('Forecast Adjuster'!$A$27,0,K$278)/1000,0)</f>
        <v>0</v>
      </c>
      <c r="L299" s="36">
        <f ca="1">IF($I$1="Yes",OFFSET('Forecast Adjuster'!$A$27,0,L$278)/1000,0)</f>
        <v>0</v>
      </c>
      <c r="M299" s="36">
        <f ca="1">IF($I$1="Yes",OFFSET('Forecast Adjuster'!$A$27,0,M$278)/1000,0)</f>
        <v>0</v>
      </c>
      <c r="N299" s="36">
        <f ca="1">IF($I$1="Yes",OFFSET('Forecast Adjuster'!$A$27,0,N$278)/1000,0)</f>
        <v>0</v>
      </c>
    </row>
    <row r="300" spans="1:14" s="73" customFormat="1" x14ac:dyDescent="0.2">
      <c r="A300" s="28" t="s">
        <v>539</v>
      </c>
      <c r="B300"/>
      <c r="C300" s="72"/>
      <c r="D300" s="127"/>
      <c r="E300" s="127"/>
      <c r="F300" s="127"/>
      <c r="G300" s="127"/>
      <c r="H300" s="127"/>
      <c r="I300" s="127"/>
      <c r="J300" s="36">
        <f ca="1">IF($I$1="Yes",SUM(OFFSET('Forecast Adjuster'!$A$29,0,J$278)/1000,I$300),0)</f>
        <v>0</v>
      </c>
      <c r="K300" s="36">
        <f ca="1">IF($I$1="Yes",SUM(OFFSET('Forecast Adjuster'!$A$29,0,K$278)/1000,J$300),0)</f>
        <v>0</v>
      </c>
      <c r="L300" s="36">
        <f ca="1">IF($I$1="Yes",SUM(OFFSET('Forecast Adjuster'!$A$29,0,L$278)/1000,K$300),0)</f>
        <v>0</v>
      </c>
      <c r="M300" s="36">
        <f ca="1">IF($I$1="Yes",SUM(OFFSET('Forecast Adjuster'!$A$29,0,M$278)/1000,L$300),0)</f>
        <v>0</v>
      </c>
      <c r="N300" s="36">
        <f ca="1">IF($I$1="Yes",SUM(OFFSET('Forecast Adjuster'!$A$29,0,N$278)/1000,M$300),0)</f>
        <v>0</v>
      </c>
    </row>
    <row r="301" spans="1:14" s="73" customFormat="1" x14ac:dyDescent="0.2">
      <c r="A301" s="28" t="s">
        <v>786</v>
      </c>
      <c r="B301"/>
      <c r="C301" s="72"/>
      <c r="D301" s="127"/>
      <c r="E301" s="127"/>
      <c r="F301" s="127"/>
      <c r="G301" s="127"/>
      <c r="H301" s="127"/>
      <c r="I301" s="127"/>
      <c r="J301" s="36">
        <f ca="1">J$237*J$310/2</f>
        <v>0</v>
      </c>
      <c r="K301" s="36">
        <f ca="1">K$237*K$310/2</f>
        <v>0</v>
      </c>
      <c r="L301" s="36">
        <f ca="1">L$237*L$310/2</f>
        <v>0</v>
      </c>
      <c r="M301" s="36">
        <f ca="1">M$237*M$310/2</f>
        <v>0</v>
      </c>
      <c r="N301" s="36">
        <f ca="1">N$237*N$310/2</f>
        <v>0</v>
      </c>
    </row>
    <row r="302" spans="1:14" s="73" customFormat="1" x14ac:dyDescent="0.2">
      <c r="A302" s="28" t="s">
        <v>787</v>
      </c>
      <c r="B302"/>
      <c r="C302" s="72"/>
      <c r="D302" s="127"/>
      <c r="E302" s="127"/>
      <c r="F302" s="127"/>
      <c r="G302" s="127"/>
      <c r="H302" s="127"/>
      <c r="I302" s="127"/>
      <c r="J302" s="36">
        <f ca="1">J$237*J$301/2</f>
        <v>0</v>
      </c>
      <c r="K302" s="36">
        <f ca="1">K$237*K$301/2</f>
        <v>0</v>
      </c>
      <c r="L302" s="36">
        <f ca="1">L$237*L$301/2</f>
        <v>0</v>
      </c>
      <c r="M302" s="36">
        <f ca="1">M$237*M$301/2</f>
        <v>0</v>
      </c>
      <c r="N302" s="36">
        <f ca="1">N$237*N$301/2</f>
        <v>0</v>
      </c>
    </row>
    <row r="303" spans="1:14" s="73" customFormat="1" x14ac:dyDescent="0.2">
      <c r="A303" s="28" t="s">
        <v>788</v>
      </c>
      <c r="B303"/>
      <c r="C303" s="72"/>
      <c r="D303" s="127"/>
      <c r="E303" s="127"/>
      <c r="F303" s="127"/>
      <c r="G303" s="127"/>
      <c r="H303" s="127"/>
      <c r="I303" s="127"/>
      <c r="J303" s="36">
        <f ca="1">J$237*SUM($E$312:I$312)</f>
        <v>0</v>
      </c>
      <c r="K303" s="36">
        <f ca="1">K$237*SUM($E$312:J$312)</f>
        <v>0</v>
      </c>
      <c r="L303" s="36">
        <f ca="1">L$237*SUM($E$312:K$312)</f>
        <v>0</v>
      </c>
      <c r="M303" s="36">
        <f ca="1">M$237*SUM($E$312:L$312)</f>
        <v>0</v>
      </c>
      <c r="N303" s="36">
        <f ca="1">N$237*SUM($E$312:M$312)</f>
        <v>0</v>
      </c>
    </row>
    <row r="304" spans="1:14" s="73" customFormat="1" x14ac:dyDescent="0.2">
      <c r="A304" s="200" t="s">
        <v>734</v>
      </c>
      <c r="B304"/>
      <c r="C304" s="72"/>
      <c r="D304" s="127"/>
      <c r="E304" s="127"/>
      <c r="F304" s="127"/>
      <c r="G304" s="127"/>
      <c r="H304" s="127"/>
      <c r="I304" s="127"/>
      <c r="J304" s="42">
        <f ca="1">SUM(J$280:J$284)-SUM(J$286:J$303)</f>
        <v>0</v>
      </c>
      <c r="K304" s="42">
        <f ca="1">SUM(K$280:K$284)-SUM(K$286:K$303)</f>
        <v>0</v>
      </c>
      <c r="L304" s="42">
        <f ca="1">SUM(L$280:L$284)-SUM(L$286:L$303)</f>
        <v>0</v>
      </c>
      <c r="M304" s="42">
        <f ca="1">SUM(M$280:M$284)-SUM(M$286:M$303)</f>
        <v>0</v>
      </c>
      <c r="N304" s="42">
        <f ca="1">SUM(N$280:N$284)-SUM(N$286:N$303)</f>
        <v>0</v>
      </c>
    </row>
    <row r="305" spans="1:14" s="73" customFormat="1" x14ac:dyDescent="0.2">
      <c r="A305" s="28" t="s">
        <v>541</v>
      </c>
      <c r="B305"/>
      <c r="C305" s="72"/>
      <c r="D305" s="127"/>
      <c r="E305" s="127"/>
      <c r="F305" s="127"/>
      <c r="G305" s="127"/>
      <c r="H305" s="127"/>
      <c r="I305" s="127"/>
      <c r="J305" s="36">
        <f ca="1">IF($I$1="Yes",SUM(OFFSET('Forecast Adjuster'!$A$31,0,J$278)/1000,I$305),0)</f>
        <v>0</v>
      </c>
      <c r="K305" s="36">
        <f ca="1">IF($I$1="Yes",SUM(OFFSET('Forecast Adjuster'!$A$31,0,K$278)/1000,J$305),0)</f>
        <v>0</v>
      </c>
      <c r="L305" s="36">
        <f ca="1">IF($I$1="Yes",SUM(OFFSET('Forecast Adjuster'!$A$31,0,L$278)/1000,K$305),0)</f>
        <v>0</v>
      </c>
      <c r="M305" s="36">
        <f ca="1">IF($I$1="Yes",SUM(OFFSET('Forecast Adjuster'!$A$31,0,M$278)/1000,L$305),0)</f>
        <v>0</v>
      </c>
      <c r="N305" s="36">
        <f ca="1">IF($I$1="Yes",SUM(OFFSET('Forecast Adjuster'!$A$31,0,N$278)/1000,M$305),0)</f>
        <v>0</v>
      </c>
    </row>
    <row r="306" spans="1:14" s="73" customFormat="1" x14ac:dyDescent="0.2">
      <c r="A306" s="28" t="s">
        <v>840</v>
      </c>
      <c r="B306"/>
      <c r="C306" s="72"/>
      <c r="D306" s="127"/>
      <c r="E306" s="127"/>
      <c r="F306" s="127"/>
      <c r="G306" s="127"/>
      <c r="H306" s="127"/>
      <c r="I306" s="127"/>
      <c r="J306" s="36">
        <f ca="1">IF($I$1="Yes",SUM(OFFSET('Forecast Adjuster'!$A$32,0,J$278)/1000,I$306),0)</f>
        <v>0</v>
      </c>
      <c r="K306" s="36">
        <f ca="1">IF($I$1="Yes",SUM(OFFSET('Forecast Adjuster'!$A$32,0,K$278)/1000,J$306),0)</f>
        <v>0</v>
      </c>
      <c r="L306" s="36">
        <f ca="1">IF($I$1="Yes",SUM(OFFSET('Forecast Adjuster'!$A$32,0,L$278)/1000,K$306),0)</f>
        <v>0</v>
      </c>
      <c r="M306" s="36">
        <f ca="1">IF($I$1="Yes",SUM(OFFSET('Forecast Adjuster'!$A$32,0,M$278)/1000,L$306),0)</f>
        <v>0</v>
      </c>
      <c r="N306" s="36">
        <f ca="1">IF($I$1="Yes",SUM(OFFSET('Forecast Adjuster'!$A$32,0,N$278)/1000,M$306),0)</f>
        <v>0</v>
      </c>
    </row>
    <row r="307" spans="1:14" s="73" customFormat="1" x14ac:dyDescent="0.2">
      <c r="A307" s="28" t="s">
        <v>542</v>
      </c>
      <c r="B307"/>
      <c r="C307" s="72"/>
      <c r="D307" s="127"/>
      <c r="E307" s="127"/>
      <c r="F307" s="127"/>
      <c r="G307" s="127"/>
      <c r="H307" s="127"/>
      <c r="I307" s="127"/>
      <c r="J307" s="36">
        <f ca="1">IF($I$1="Yes",SUM(OFFSET('Forecast Adjuster'!$A$34,0,J$278)/1000,I$307),0)</f>
        <v>0</v>
      </c>
      <c r="K307" s="36">
        <f ca="1">IF($I$1="Yes",SUM(OFFSET('Forecast Adjuster'!$A$34,0,K$278)/1000,J$307),0)</f>
        <v>0</v>
      </c>
      <c r="L307" s="36">
        <f ca="1">IF($I$1="Yes",SUM(OFFSET('Forecast Adjuster'!$A$34,0,L$278)/1000,K$307),0)</f>
        <v>0</v>
      </c>
      <c r="M307" s="36">
        <f ca="1">IF($I$1="Yes",SUM(OFFSET('Forecast Adjuster'!$A$34,0,M$278)/1000,L$307),0)</f>
        <v>0</v>
      </c>
      <c r="N307" s="36">
        <f ca="1">IF($I$1="Yes",SUM(OFFSET('Forecast Adjuster'!$A$34,0,N$278)/1000,M$307),0)</f>
        <v>0</v>
      </c>
    </row>
    <row r="308" spans="1:14" s="73" customFormat="1" x14ac:dyDescent="0.2">
      <c r="A308" s="28" t="s">
        <v>543</v>
      </c>
      <c r="B308"/>
      <c r="C308" s="72"/>
      <c r="D308" s="127"/>
      <c r="E308" s="127"/>
      <c r="F308" s="127"/>
      <c r="G308" s="127"/>
      <c r="H308" s="127"/>
      <c r="I308" s="127"/>
      <c r="J308" s="36">
        <f ca="1">IF($I$1="Yes",SUM(OFFSET('Forecast Adjuster'!$A$35,0,J$278)/1000,I$308),0)</f>
        <v>0</v>
      </c>
      <c r="K308" s="36">
        <f ca="1">IF($I$1="Yes",SUM(OFFSET('Forecast Adjuster'!$A$35,0,K$278)/1000,J$308),0)</f>
        <v>0</v>
      </c>
      <c r="L308" s="36">
        <f ca="1">IF($I$1="Yes",SUM(OFFSET('Forecast Adjuster'!$A$35,0,L$278)/1000,K$308),0)</f>
        <v>0</v>
      </c>
      <c r="M308" s="36">
        <f ca="1">IF($I$1="Yes",SUM(OFFSET('Forecast Adjuster'!$A$35,0,M$278)/1000,L$308),0)</f>
        <v>0</v>
      </c>
      <c r="N308" s="36">
        <f ca="1">IF($I$1="Yes",SUM(OFFSET('Forecast Adjuster'!$A$35,0,N$278)/1000,M$308),0)</f>
        <v>0</v>
      </c>
    </row>
    <row r="309" spans="1:14" s="73" customFormat="1" x14ac:dyDescent="0.2">
      <c r="A309" s="200" t="s">
        <v>0</v>
      </c>
      <c r="B309"/>
      <c r="C309" s="72"/>
      <c r="D309" s="127"/>
      <c r="E309" s="127"/>
      <c r="F309" s="127"/>
      <c r="G309" s="127"/>
      <c r="H309" s="127"/>
      <c r="I309" s="127"/>
      <c r="J309" s="42">
        <f ca="1">SUM(J$305,J$307)-SUM(J$308,J$313)</f>
        <v>0</v>
      </c>
      <c r="K309" s="42">
        <f ca="1">SUM(K$305,K$307)-SUM(K$308,K$313)</f>
        <v>0</v>
      </c>
      <c r="L309" s="42">
        <f ca="1">SUM(L$305,L$307)-SUM(L$308,L$313)</f>
        <v>0</v>
      </c>
      <c r="M309" s="42">
        <f ca="1">SUM(M$305,M$307)-SUM(M$308,M$313)</f>
        <v>0</v>
      </c>
      <c r="N309" s="42">
        <f ca="1">SUM(N$305,N$307)-SUM(N$308,N$313)</f>
        <v>0</v>
      </c>
    </row>
    <row r="310" spans="1:14" s="73" customFormat="1" x14ac:dyDescent="0.2">
      <c r="A310" s="28" t="s">
        <v>735</v>
      </c>
      <c r="B310"/>
      <c r="C310" s="72"/>
      <c r="D310" s="127"/>
      <c r="E310" s="127"/>
      <c r="F310" s="127"/>
      <c r="G310" s="127"/>
      <c r="H310" s="127"/>
      <c r="I310" s="127"/>
      <c r="J310" s="242">
        <f ca="1">SUM(J$305,J$306,J$307)-SUM(I$305,I$306,I$307)-(J$308-I$308)-(SUM(J$280:J$284)-SUM(J$286:J$300))</f>
        <v>0</v>
      </c>
      <c r="K310" s="242">
        <f ca="1">SUM(K$305,K$306,K$307)-SUM(J$305,J$306,J$307)-(K$308-J$308)-(SUM(K$280:K$284)-SUM(K$286:K$300))</f>
        <v>0</v>
      </c>
      <c r="L310" s="242">
        <f ca="1">SUM(L$305,L$306,L$307)-SUM(K$305,K$306,K$307)-(L$308-K$308)-(SUM(L$280:L$284)-SUM(L$286:L$300))</f>
        <v>0</v>
      </c>
      <c r="M310" s="242">
        <f ca="1">SUM(M$305,M$306,M$307)-SUM(L$305,L$306,L$307)-(M$308-L$308)-(SUM(M$280:M$284)-SUM(M$286:M$300))</f>
        <v>0</v>
      </c>
      <c r="N310" s="242">
        <f ca="1">SUM(N$305,N$306,N$307)-SUM(M$305,M$306,M$307)-(N$308-M$308)-(SUM(N$280:N$284)-SUM(N$286:N$300))</f>
        <v>0</v>
      </c>
    </row>
    <row r="311" spans="1:14" s="73" customFormat="1" x14ac:dyDescent="0.2">
      <c r="A311" s="28" t="s">
        <v>951</v>
      </c>
      <c r="B311"/>
      <c r="C311" s="72"/>
      <c r="D311" s="127"/>
      <c r="E311" s="127"/>
      <c r="F311" s="127"/>
      <c r="G311" s="127"/>
      <c r="H311" s="127"/>
      <c r="I311" s="127"/>
      <c r="J311" s="36">
        <f ca="1">IF($I$1="Yes",SUM(OFFSET('Forecast Adjuster'!$A$36,0,J$278)/1000),0)</f>
        <v>0</v>
      </c>
      <c r="K311" s="36">
        <f ca="1">IF($I$1="Yes",SUM(OFFSET('Forecast Adjuster'!$A$36,0,K$278)/1000),0)</f>
        <v>0</v>
      </c>
      <c r="L311" s="36">
        <f ca="1">IF($I$1="Yes",SUM(OFFSET('Forecast Adjuster'!$A$36,0,L$278)/1000),0)</f>
        <v>0</v>
      </c>
      <c r="M311" s="36">
        <f ca="1">IF($I$1="Yes",SUM(OFFSET('Forecast Adjuster'!$A$36,0,M$278)/1000),0)</f>
        <v>0</v>
      </c>
      <c r="N311" s="36">
        <f ca="1">IF($I$1="Yes",SUM(OFFSET('Forecast Adjuster'!$A$36,0,N$278)/1000),0)</f>
        <v>0</v>
      </c>
    </row>
    <row r="312" spans="1:14" s="73" customFormat="1" x14ac:dyDescent="0.2">
      <c r="A312" s="28" t="s">
        <v>540</v>
      </c>
      <c r="B312"/>
      <c r="C312" s="72"/>
      <c r="D312" s="127"/>
      <c r="E312" s="127"/>
      <c r="F312" s="127"/>
      <c r="G312" s="127"/>
      <c r="H312" s="127"/>
      <c r="I312" s="127"/>
      <c r="J312" s="242">
        <f ca="1">SUM(J$310,J$311,J$301:J$303)</f>
        <v>0</v>
      </c>
      <c r="K312" s="242">
        <f ca="1">SUM(K$310,K$311,K$301:K$303)</f>
        <v>0</v>
      </c>
      <c r="L312" s="242">
        <f ca="1">SUM(L$310,L$311,L$301:L$303)</f>
        <v>0</v>
      </c>
      <c r="M312" s="242">
        <f ca="1">SUM(M$310,M$311,M$301:M$303)</f>
        <v>0</v>
      </c>
      <c r="N312" s="242">
        <f ca="1">SUM(N$310,N$311,N$301:N$303)</f>
        <v>0</v>
      </c>
    </row>
    <row r="313" spans="1:14" s="73" customFormat="1" x14ac:dyDescent="0.2">
      <c r="A313" s="200" t="s">
        <v>736</v>
      </c>
      <c r="B313"/>
      <c r="C313" s="72"/>
      <c r="D313" s="127"/>
      <c r="E313" s="127"/>
      <c r="F313" s="127"/>
      <c r="G313" s="127"/>
      <c r="H313" s="127"/>
      <c r="I313" s="127"/>
      <c r="J313" s="42">
        <f ca="1">SUM($E$312:J$312)</f>
        <v>0</v>
      </c>
      <c r="K313" s="42">
        <f ca="1">SUM($E$312:K$312)</f>
        <v>0</v>
      </c>
      <c r="L313" s="42">
        <f ca="1">SUM($E$312:L$312)</f>
        <v>0</v>
      </c>
      <c r="M313" s="42">
        <f ca="1">SUM($E$312:M$312)</f>
        <v>0</v>
      </c>
      <c r="N313" s="42">
        <f ca="1">SUM($E$312:N$312)</f>
        <v>0</v>
      </c>
    </row>
    <row r="314" spans="1:14" s="73" customFormat="1" x14ac:dyDescent="0.2">
      <c r="A314" s="200" t="s">
        <v>755</v>
      </c>
      <c r="B314"/>
      <c r="C314" s="72"/>
      <c r="D314" s="127"/>
      <c r="E314" s="127"/>
      <c r="F314" s="127"/>
      <c r="G314" s="127"/>
      <c r="H314" s="127"/>
      <c r="I314" s="127"/>
      <c r="J314" s="42">
        <f ca="1">J$313-J$305</f>
        <v>0</v>
      </c>
      <c r="K314" s="42">
        <f ca="1">K$313-K$305</f>
        <v>0</v>
      </c>
      <c r="L314" s="42">
        <f ca="1">L$313-L$305</f>
        <v>0</v>
      </c>
      <c r="M314" s="42">
        <f ca="1">M$313-M$305</f>
        <v>0</v>
      </c>
      <c r="N314" s="42">
        <f ca="1">N$313-N$305</f>
        <v>0</v>
      </c>
    </row>
    <row r="315" spans="1:14" s="73" customFormat="1" x14ac:dyDescent="0.2">
      <c r="A315" s="27" t="s">
        <v>222</v>
      </c>
      <c r="B315"/>
      <c r="C315" s="72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</row>
    <row r="316" spans="1:14" s="73" customFormat="1" x14ac:dyDescent="0.2">
      <c r="A316" s="28" t="s">
        <v>1</v>
      </c>
      <c r="B316"/>
      <c r="C316" s="72"/>
      <c r="D316" s="127"/>
      <c r="E316" s="127"/>
      <c r="F316" s="127"/>
      <c r="G316" s="127"/>
      <c r="H316" s="127"/>
      <c r="I316" s="127"/>
      <c r="J316" s="36">
        <f ca="1">IF($F$1="Yes",SUM(SUM(Data!I$124:I$132)*(OFFSET('Forecast Adjuster'!$A$58,0,J$278)-1),SUM(Data!I$101,Data!I$102,Data!I$104)*(OFFSET('Forecast Adjuster'!$A$60,0,J$278)-1),Data!I$103*(OFFSET('Forecast Adjuster'!$A$61,0,J$278)-1) ),0)</f>
        <v>0</v>
      </c>
      <c r="K316" s="36">
        <f ca="1">IF($F$1="Yes",SUM(SUM(Data!J$124:J$132)*(OFFSET('Forecast Adjuster'!$A$58,0,K$278)-1),SUM(Data!J$101,Data!J$102,Data!J$104)*(OFFSET('Forecast Adjuster'!$A$60,0,K$278)-1),Data!J$103*(OFFSET('Forecast Adjuster'!$A$61,0,K$278)-1) ),0)</f>
        <v>0</v>
      </c>
      <c r="L316" s="36">
        <f ca="1">IF($F$1="Yes",SUM(SUM(Data!K$124:K$132)*(OFFSET('Forecast Adjuster'!$A$58,0,L$278)-1),SUM(Data!K$101,Data!K$102,Data!K$104)*(OFFSET('Forecast Adjuster'!$A$60,0,L$278)-1),Data!K$103*(OFFSET('Forecast Adjuster'!$A$61,0,L$278)-1) ),0)</f>
        <v>0</v>
      </c>
      <c r="M316" s="36">
        <f ca="1">IF($F$1="Yes",SUM(SUM(Data!L$124:L$132)*(OFFSET('Forecast Adjuster'!$A$58,0,M$278)-1),SUM(Data!L$101,Data!L$102,Data!L$104)*(OFFSET('Forecast Adjuster'!$A$60,0,M$278)-1),Data!L$103*(OFFSET('Forecast Adjuster'!$A$61,0,M$278)-1) ),0)</f>
        <v>0</v>
      </c>
      <c r="N316" s="36">
        <f ca="1">IF($F$1="Yes",SUM(SUM(Data!M$124:M$132)*(OFFSET('Forecast Adjuster'!$A$58,0,N$278)-1),SUM(Data!M$101,Data!M$102,Data!M$104)*(OFFSET('Forecast Adjuster'!$A$60,0,N$278)-1),Data!M$103*(OFFSET('Forecast Adjuster'!$A$61,0,N$278)-1) ),0)</f>
        <v>0</v>
      </c>
    </row>
    <row r="317" spans="1:14" s="73" customFormat="1" x14ac:dyDescent="0.2">
      <c r="A317" s="28" t="s">
        <v>113</v>
      </c>
      <c r="B317"/>
      <c r="C317" s="72"/>
      <c r="D317" s="127"/>
      <c r="E317" s="127"/>
      <c r="F317" s="127"/>
      <c r="G317" s="127"/>
      <c r="H317" s="127"/>
      <c r="I317" s="127"/>
      <c r="J317" s="36">
        <f ca="1">IF($F$1="Yes",SUM((Data!I$39-SUM(Data!I$140,Data!I$142))*(OFFSET('Forecast Adjuster'!$A$60,0,J$278)-1),(SUM(Data!I$41:I$52,Data!I$55)-SUM(J$127:J$127))*(OFFSET('Forecast Adjuster'!$A$60,0,J$278)*OFFSET('Forecast Adjuster'!$A$63,0,J$278)-1),Data!I$140*(OFFSET('Forecast Adjuster'!$A$65,0,J$278)-1),Data!I$142*(OFFSET('Forecast Adjuster'!$A$60,0,J$278)*OFFSET('Forecast Adjuster'!$A$66,0,J$278)-1)),0)</f>
        <v>0</v>
      </c>
      <c r="K317" s="36">
        <f ca="1">IF($F$1="Yes",SUM((Data!J$39-SUM(Data!J$140,Data!J$142))*(OFFSET('Forecast Adjuster'!$A$60,0,K$278)-1),(SUM(Data!J$41:J$52,Data!J$55)-SUM(K$127:K$127))*(OFFSET('Forecast Adjuster'!$A$60,0,K$278)*OFFSET('Forecast Adjuster'!$A$63,0,K$278)-1),Data!J$140*(OFFSET('Forecast Adjuster'!$A$65,0,K$278)-1),Data!J$142*(OFFSET('Forecast Adjuster'!$A$60,0,K$278)*OFFSET('Forecast Adjuster'!$A$66,0,K$278)-1)),0)</f>
        <v>0</v>
      </c>
      <c r="L317" s="36">
        <f ca="1">IF($F$1="Yes",SUM((Data!K$39-SUM(Data!K$140,Data!K$142))*(OFFSET('Forecast Adjuster'!$A$60,0,L$278)-1),(SUM(Data!K$41:K$52,Data!K$55)-SUM(L$127:L$127))*(OFFSET('Forecast Adjuster'!$A$60,0,L$278)*OFFSET('Forecast Adjuster'!$A$63,0,L$278)-1),Data!K$140*(OFFSET('Forecast Adjuster'!$A$65,0,L$278)-1),Data!K$142*(OFFSET('Forecast Adjuster'!$A$60,0,L$278)*OFFSET('Forecast Adjuster'!$A$66,0,L$278)-1)),0)</f>
        <v>0</v>
      </c>
      <c r="M317" s="36">
        <f ca="1">IF($F$1="Yes",SUM((Data!L$39-SUM(Data!L$140,Data!L$142))*(OFFSET('Forecast Adjuster'!$A$60,0,M$278)-1),(SUM(Data!L$41:L$52,Data!L$55)-SUM(M$127:M$127))*(OFFSET('Forecast Adjuster'!$A$60,0,M$278)*OFFSET('Forecast Adjuster'!$A$63,0,M$278)-1),Data!L$140*(OFFSET('Forecast Adjuster'!$A$65,0,M$278)-1),Data!L$142*(OFFSET('Forecast Adjuster'!$A$60,0,M$278)*OFFSET('Forecast Adjuster'!$A$66,0,M$278)-1)),0)</f>
        <v>0</v>
      </c>
      <c r="N317" s="36">
        <f ca="1">IF($F$1="Yes",SUM((Data!M$39-SUM(Data!M$140,Data!M$142))*(OFFSET('Forecast Adjuster'!$A$60,0,N$278)-1),(SUM(Data!M$41:M$52,Data!M$55)-SUM(N$127:N$127))*(OFFSET('Forecast Adjuster'!$A$60,0,N$278)*OFFSET('Forecast Adjuster'!$A$63,0,N$278)-1),Data!M$140*(OFFSET('Forecast Adjuster'!$A$65,0,N$278)-1),Data!M$142*(OFFSET('Forecast Adjuster'!$A$60,0,N$278)*OFFSET('Forecast Adjuster'!$A$66,0,N$278)-1)),0)</f>
        <v>0</v>
      </c>
    </row>
    <row r="318" spans="1:14" s="73" customFormat="1" x14ac:dyDescent="0.2">
      <c r="A318" s="28" t="s">
        <v>825</v>
      </c>
      <c r="B318"/>
      <c r="C318" s="72"/>
      <c r="D318" s="127"/>
      <c r="E318" s="127"/>
      <c r="F318" s="127"/>
      <c r="G318" s="127"/>
      <c r="H318" s="127"/>
      <c r="I318" s="127"/>
      <c r="J318" s="36">
        <f ca="1">IF($F$1="Yes",Data!I$53*(OFFSET('Forecast Adjuster'!$A$61,0,J$278)-1),0)</f>
        <v>0</v>
      </c>
      <c r="K318" s="36">
        <f ca="1">IF($F$1="Yes",Data!J$53*(OFFSET('Forecast Adjuster'!$A$61,0,K$278)-1),0)</f>
        <v>0</v>
      </c>
      <c r="L318" s="36">
        <f ca="1">IF($F$1="Yes",Data!K$53*(OFFSET('Forecast Adjuster'!$A$61,0,L$278)-1),0)</f>
        <v>0</v>
      </c>
      <c r="M318" s="36">
        <f ca="1">IF($F$1="Yes",Data!L$53*(OFFSET('Forecast Adjuster'!$A$61,0,M$278)-1),0)</f>
        <v>0</v>
      </c>
      <c r="N318" s="36">
        <f ca="1">IF($F$1="Yes",Data!M$53*(OFFSET('Forecast Adjuster'!$A$61,0,N$278)-1),0)</f>
        <v>0</v>
      </c>
    </row>
    <row r="319" spans="1:14" s="73" customFormat="1" x14ac:dyDescent="0.2">
      <c r="A319" s="28" t="s">
        <v>789</v>
      </c>
      <c r="B319"/>
      <c r="C319" s="72"/>
      <c r="D319" s="127"/>
      <c r="E319" s="127"/>
      <c r="F319" s="127"/>
      <c r="G319" s="127"/>
      <c r="H319" s="127"/>
      <c r="I319" s="127"/>
      <c r="J319" s="36">
        <f ca="1">J$237*J$324/2</f>
        <v>0</v>
      </c>
      <c r="K319" s="36">
        <f ca="1">K$237*K$324/2</f>
        <v>0</v>
      </c>
      <c r="L319" s="36">
        <f ca="1">L$237*L$324/2</f>
        <v>0</v>
      </c>
      <c r="M319" s="36">
        <f ca="1">M$237*M$324/2</f>
        <v>0</v>
      </c>
      <c r="N319" s="36">
        <f ca="1">N$237*N$324/2</f>
        <v>0</v>
      </c>
    </row>
    <row r="320" spans="1:14" s="73" customFormat="1" x14ac:dyDescent="0.2">
      <c r="A320" s="28" t="s">
        <v>790</v>
      </c>
      <c r="B320"/>
      <c r="C320" s="72"/>
      <c r="D320" s="127"/>
      <c r="E320" s="127"/>
      <c r="F320" s="127"/>
      <c r="G320" s="127"/>
      <c r="H320" s="127"/>
      <c r="I320" s="127"/>
      <c r="J320" s="36">
        <f ca="1">J$237*J$319/2</f>
        <v>0</v>
      </c>
      <c r="K320" s="36">
        <f ca="1">K$237*K$319/2</f>
        <v>0</v>
      </c>
      <c r="L320" s="36">
        <f ca="1">L$237*L$319/2</f>
        <v>0</v>
      </c>
      <c r="M320" s="36">
        <f ca="1">M$237*M$319/2</f>
        <v>0</v>
      </c>
      <c r="N320" s="36">
        <f ca="1">N$237*N$319/2</f>
        <v>0</v>
      </c>
    </row>
    <row r="321" spans="1:14" s="73" customFormat="1" x14ac:dyDescent="0.2">
      <c r="A321" s="28" t="s">
        <v>791</v>
      </c>
      <c r="B321"/>
      <c r="C321" s="72"/>
      <c r="D321" s="127"/>
      <c r="E321" s="127"/>
      <c r="F321" s="127"/>
      <c r="G321" s="127"/>
      <c r="H321" s="127"/>
      <c r="I321" s="127"/>
      <c r="J321" s="36">
        <f ca="1">J$237*SUM($E$325:I$325)</f>
        <v>0</v>
      </c>
      <c r="K321" s="36">
        <f ca="1">K$237*SUM($E$325:J$325)</f>
        <v>0</v>
      </c>
      <c r="L321" s="36">
        <f ca="1">L$237*SUM($E$325:K$325)</f>
        <v>0</v>
      </c>
      <c r="M321" s="36">
        <f ca="1">M$237*SUM($E$325:L$325)</f>
        <v>0</v>
      </c>
      <c r="N321" s="36">
        <f ca="1">N$237*SUM($E$325:M$325)</f>
        <v>0</v>
      </c>
    </row>
    <row r="322" spans="1:14" s="73" customFormat="1" x14ac:dyDescent="0.2">
      <c r="A322" s="200" t="s">
        <v>737</v>
      </c>
      <c r="B322"/>
      <c r="C322" s="72"/>
      <c r="D322" s="127"/>
      <c r="E322" s="127"/>
      <c r="F322" s="127"/>
      <c r="G322" s="127"/>
      <c r="H322" s="127"/>
      <c r="I322" s="127"/>
      <c r="J322" s="42">
        <f ca="1">J$316-SUM(J$317:J$321)</f>
        <v>0</v>
      </c>
      <c r="K322" s="42">
        <f ca="1">K$316-SUM(K$317:K$321)</f>
        <v>0</v>
      </c>
      <c r="L322" s="42">
        <f ca="1">L$316-SUM(L$317:L$321)</f>
        <v>0</v>
      </c>
      <c r="M322" s="42">
        <f ca="1">M$316-SUM(M$317:M$321)</f>
        <v>0</v>
      </c>
      <c r="N322" s="42">
        <f ca="1">N$316-SUM(N$317:N$321)</f>
        <v>0</v>
      </c>
    </row>
    <row r="323" spans="1:14" s="73" customFormat="1" x14ac:dyDescent="0.2">
      <c r="A323" s="200" t="s">
        <v>798</v>
      </c>
      <c r="B323"/>
      <c r="C323" s="72"/>
      <c r="D323" s="127"/>
      <c r="E323" s="127"/>
      <c r="F323" s="127"/>
      <c r="G323" s="127"/>
      <c r="H323" s="127"/>
      <c r="I323" s="127"/>
      <c r="J323" s="42">
        <f ca="1">-J$326</f>
        <v>0</v>
      </c>
      <c r="K323" s="42">
        <f ca="1">-K$326</f>
        <v>0</v>
      </c>
      <c r="L323" s="42">
        <f ca="1">-L$326</f>
        <v>0</v>
      </c>
      <c r="M323" s="42">
        <f ca="1">-M$326</f>
        <v>0</v>
      </c>
      <c r="N323" s="42">
        <f ca="1">-N$326</f>
        <v>0</v>
      </c>
    </row>
    <row r="324" spans="1:14" s="73" customFormat="1" x14ac:dyDescent="0.2">
      <c r="A324" s="28" t="s">
        <v>795</v>
      </c>
      <c r="B324"/>
      <c r="C324" s="72"/>
      <c r="D324" s="127"/>
      <c r="E324" s="127"/>
      <c r="F324" s="127"/>
      <c r="G324" s="127"/>
      <c r="H324" s="127"/>
      <c r="I324" s="127"/>
      <c r="J324" s="242">
        <f ca="1">-(J$316-J$317)</f>
        <v>0</v>
      </c>
      <c r="K324" s="242">
        <f ca="1">-(K$316-K$317)</f>
        <v>0</v>
      </c>
      <c r="L324" s="242">
        <f ca="1">-(L$316-L$317)</f>
        <v>0</v>
      </c>
      <c r="M324" s="242">
        <f ca="1">-(M$316-M$317)</f>
        <v>0</v>
      </c>
      <c r="N324" s="242">
        <f ca="1">-(N$316-N$317)</f>
        <v>0</v>
      </c>
    </row>
    <row r="325" spans="1:14" s="73" customFormat="1" x14ac:dyDescent="0.2">
      <c r="A325" s="28" t="s">
        <v>114</v>
      </c>
      <c r="B325"/>
      <c r="C325" s="72"/>
      <c r="D325" s="127"/>
      <c r="E325" s="127"/>
      <c r="F325" s="127"/>
      <c r="G325" s="127"/>
      <c r="H325" s="127"/>
      <c r="I325" s="127"/>
      <c r="J325" s="242">
        <f ca="1">SUM(J$324,J$318:J$321)</f>
        <v>0</v>
      </c>
      <c r="K325" s="242">
        <f ca="1">SUM(K$324,K$318:K$321)</f>
        <v>0</v>
      </c>
      <c r="L325" s="242">
        <f ca="1">SUM(L$324,L$318:L$321)</f>
        <v>0</v>
      </c>
      <c r="M325" s="242">
        <f ca="1">SUM(M$324,M$318:M$321)</f>
        <v>0</v>
      </c>
      <c r="N325" s="242">
        <f ca="1">SUM(N$324,N$318:N$321)</f>
        <v>0</v>
      </c>
    </row>
    <row r="326" spans="1:14" s="73" customFormat="1" x14ac:dyDescent="0.2">
      <c r="A326" s="200" t="s">
        <v>796</v>
      </c>
      <c r="B326"/>
      <c r="C326" s="72"/>
      <c r="D326" s="127"/>
      <c r="E326" s="127"/>
      <c r="F326" s="127"/>
      <c r="G326" s="127"/>
      <c r="H326" s="127"/>
      <c r="I326" s="127"/>
      <c r="J326" s="42">
        <f ca="1">SUM($E$325:J$325)</f>
        <v>0</v>
      </c>
      <c r="K326" s="42">
        <f ca="1">SUM($E$325:K$325)</f>
        <v>0</v>
      </c>
      <c r="L326" s="42">
        <f ca="1">SUM($E$325:L$325)</f>
        <v>0</v>
      </c>
      <c r="M326" s="42">
        <f ca="1">SUM($E$325:M$325)</f>
        <v>0</v>
      </c>
      <c r="N326" s="42">
        <f ca="1">SUM($E$325:N$325)</f>
        <v>0</v>
      </c>
    </row>
    <row r="327" spans="1:14" s="73" customFormat="1" x14ac:dyDescent="0.2">
      <c r="A327" s="200" t="s">
        <v>797</v>
      </c>
      <c r="B327"/>
      <c r="C327" s="72"/>
      <c r="D327" s="127"/>
      <c r="E327" s="127"/>
      <c r="F327" s="127"/>
      <c r="G327" s="127"/>
      <c r="H327" s="127"/>
      <c r="I327" s="127"/>
      <c r="J327" s="42">
        <f ca="1">J$326</f>
        <v>0</v>
      </c>
      <c r="K327" s="42">
        <f ca="1">K$326</f>
        <v>0</v>
      </c>
      <c r="L327" s="42">
        <f ca="1">L$326</f>
        <v>0</v>
      </c>
      <c r="M327" s="42">
        <f ca="1">M$326</f>
        <v>0</v>
      </c>
      <c r="N327" s="42">
        <f ca="1">N$326</f>
        <v>0</v>
      </c>
    </row>
    <row r="328" spans="1:14" s="73" customFormat="1" x14ac:dyDescent="0.2">
      <c r="A328" s="27" t="s">
        <v>749</v>
      </c>
      <c r="B328"/>
      <c r="C328" s="72"/>
      <c r="D328" s="127"/>
      <c r="E328" s="127"/>
      <c r="F328" s="127"/>
      <c r="G328" s="127"/>
      <c r="H328" s="127"/>
      <c r="I328" s="127"/>
      <c r="J328" s="42"/>
      <c r="K328" s="42"/>
      <c r="L328" s="42"/>
      <c r="M328" s="42"/>
      <c r="N328" s="42"/>
    </row>
    <row r="329" spans="1:14" s="73" customFormat="1" x14ac:dyDescent="0.2">
      <c r="A329" s="30" t="s">
        <v>751</v>
      </c>
      <c r="B329"/>
      <c r="C329" s="72"/>
      <c r="D329" s="127"/>
      <c r="E329" s="127"/>
      <c r="F329" s="127"/>
      <c r="G329" s="127"/>
      <c r="H329" s="127"/>
      <c r="I329" s="127"/>
      <c r="J329" s="36">
        <f ca="1">IF($L$1="Yes",IF(OFFSET(Tracks!$L$7,0,J$278)=0,OFFSET('Forecast Adjuster'!$L$74,0,J$278),Data!I$194*(OFFSET('Forecast Adjuster'!$L$74,0,J$278)/OFFSET(Tracks!$L$7,0,J$278)-1)),0)</f>
        <v>0</v>
      </c>
      <c r="K329" s="36">
        <f ca="1">IF($L$1="Yes",IF(OFFSET(Tracks!$L$7,0,K$278)=0,OFFSET('Forecast Adjuster'!$L$74,0,K$278),Data!J$194*(OFFSET('Forecast Adjuster'!$L$74,0,K$278)/OFFSET(Tracks!$L$7,0,K$278)-1)),0)</f>
        <v>0</v>
      </c>
      <c r="L329" s="36">
        <f ca="1">IF($L$1="Yes",IF(OFFSET(Tracks!$L$7,0,L$278)=0,OFFSET('Forecast Adjuster'!$L$74,0,L$278),Data!K$194*(OFFSET('Forecast Adjuster'!$L$74,0,L$278)/OFFSET(Tracks!$L$7,0,L$278)-1)),0)</f>
        <v>0</v>
      </c>
      <c r="M329" s="36">
        <f ca="1">IF($L$1="Yes",IF(OFFSET(Tracks!$L$7,0,M$278)=0,OFFSET('Forecast Adjuster'!$L$74,0,M$278),Data!L$194*(OFFSET('Forecast Adjuster'!$L$74,0,M$278)/OFFSET(Tracks!$L$7,0,M$278)-1)),0)</f>
        <v>0</v>
      </c>
      <c r="N329" s="36">
        <f ca="1">IF($L$1="Yes",IF(OFFSET(Tracks!$L$7,0,N$278)=0,OFFSET('Forecast Adjuster'!$L$74,0,N$278),Data!M$194*(OFFSET('Forecast Adjuster'!$L$74,0,N$278)/OFFSET(Tracks!$L$7,0,N$278)-1)),0)</f>
        <v>0</v>
      </c>
    </row>
    <row r="330" spans="1:14" s="73" customFormat="1" x14ac:dyDescent="0.2">
      <c r="A330" s="28" t="s">
        <v>740</v>
      </c>
      <c r="B330"/>
      <c r="C330" s="72"/>
      <c r="D330" s="127"/>
      <c r="E330" s="127"/>
      <c r="F330" s="127"/>
      <c r="G330" s="127"/>
      <c r="H330" s="127"/>
      <c r="I330" s="127"/>
      <c r="J330" s="36">
        <f ca="1">IF($L$1="Yes",IF(OFFSET(Tracks!$L$6,0,J$278)=0,(Data!I$192/SUM(Data!I$192,Data!I$195))*OFFSET('Forecast Adjuster'!$L$73,0,J$278),Data!I$192*(OFFSET('Forecast Adjuster'!$L$73,0,J$278)/OFFSET(Tracks!$L$6,0,J$278)-1)),0)</f>
        <v>0</v>
      </c>
      <c r="K330" s="36">
        <f ca="1">IF($L$1="Yes",IF(OFFSET(Tracks!$L$6,0,K$278)=0,(Data!J$192/SUM(Data!J$192,Data!J$195))*OFFSET('Forecast Adjuster'!$L$73,0,K$278),Data!J$192*(OFFSET('Forecast Adjuster'!$L$73,0,K$278)/OFFSET(Tracks!$L$6,0,K$278)-1)),0)</f>
        <v>0</v>
      </c>
      <c r="L330" s="36">
        <f ca="1">IF($L$1="Yes",IF(OFFSET(Tracks!$L$6,0,L$278)=0,(Data!K$192/SUM(Data!K$192,Data!K$195))*OFFSET('Forecast Adjuster'!$L$73,0,L$278),Data!K$192*(OFFSET('Forecast Adjuster'!$L$73,0,L$278)/OFFSET(Tracks!$L$6,0,L$278)-1)),0)</f>
        <v>0</v>
      </c>
      <c r="M330" s="36">
        <f ca="1">IF($L$1="Yes",IF(OFFSET(Tracks!$L$6,0,M$278)=0,(Data!L$192/SUM(Data!L$192,Data!L$195))*OFFSET('Forecast Adjuster'!$L$73,0,M$278),Data!L$192*(OFFSET('Forecast Adjuster'!$L$73,0,M$278)/OFFSET(Tracks!$L$6,0,M$278)-1)),0)</f>
        <v>0</v>
      </c>
      <c r="N330" s="36">
        <f ca="1">IF($L$1="Yes",IF(OFFSET(Tracks!$L$6,0,N$278)=0,(Data!M$192/SUM(Data!M$192,Data!M$195))*OFFSET('Forecast Adjuster'!$L$73,0,N$278),Data!M$192*(OFFSET('Forecast Adjuster'!$L$73,0,N$278)/OFFSET(Tracks!$L$6,0,N$278)-1)),0)</f>
        <v>0</v>
      </c>
    </row>
    <row r="331" spans="1:14" s="73" customFormat="1" x14ac:dyDescent="0.2">
      <c r="A331" s="28" t="s">
        <v>741</v>
      </c>
      <c r="B331"/>
      <c r="C331" s="72"/>
      <c r="D331" s="127"/>
      <c r="E331" s="127"/>
      <c r="F331" s="127"/>
      <c r="G331" s="127"/>
      <c r="H331" s="127"/>
      <c r="I331" s="127"/>
      <c r="J331" s="36">
        <f ca="1">IF($L$1="Yes",IF(OFFSET(Tracks!$L$6,0,J$278)=0,(Data!I$195/SUM(Data!I$192,Data!I$195))*OFFSET('Forecast Adjuster'!$L$73,0,J$278),Data!I$195*(OFFSET('Forecast Adjuster'!$L$73,0,J$278)/OFFSET(Tracks!$L$6,0,J$278)-1)),0)</f>
        <v>0</v>
      </c>
      <c r="K331" s="36">
        <f ca="1">IF($L$1="Yes",IF(OFFSET(Tracks!$L$6,0,K$278)=0,(Data!J$195/SUM(Data!J$192,Data!J$195))*OFFSET('Forecast Adjuster'!$L$73,0,K$278),Data!J$195*(OFFSET('Forecast Adjuster'!$L$73,0,K$278)/OFFSET(Tracks!$L$6,0,K$278)-1)),0)</f>
        <v>0</v>
      </c>
      <c r="L331" s="36">
        <f ca="1">IF($L$1="Yes",IF(OFFSET(Tracks!$L$6,0,L$278)=0,(Data!K$195/SUM(Data!K$192,Data!K$195))*OFFSET('Forecast Adjuster'!$L$73,0,L$278),Data!K$195*(OFFSET('Forecast Adjuster'!$L$73,0,L$278)/OFFSET(Tracks!$L$6,0,L$278)-1)),0)</f>
        <v>0</v>
      </c>
      <c r="M331" s="36">
        <f ca="1">IF($L$1="Yes",IF(OFFSET(Tracks!$L$6,0,M$278)=0,(Data!L$195/SUM(Data!L$192,Data!L$195))*OFFSET('Forecast Adjuster'!$L$73,0,M$278),Data!L$195*(OFFSET('Forecast Adjuster'!$L$73,0,M$278)/OFFSET(Tracks!$L$6,0,M$278)-1)),0)</f>
        <v>0</v>
      </c>
      <c r="N331" s="36">
        <f ca="1">IF($L$1="Yes",IF(OFFSET(Tracks!$L$6,0,N$278)=0,(Data!M$195/SUM(Data!M$192,Data!M$195))*OFFSET('Forecast Adjuster'!$L$73,0,N$278),Data!M$195*(OFFSET('Forecast Adjuster'!$L$73,0,N$278)/OFFSET(Tracks!$L$6,0,N$278)-1)),0)</f>
        <v>0</v>
      </c>
    </row>
    <row r="332" spans="1:14" s="73" customFormat="1" x14ac:dyDescent="0.2">
      <c r="A332" s="30" t="s">
        <v>957</v>
      </c>
      <c r="B332"/>
      <c r="C332" s="72"/>
      <c r="D332" s="127"/>
      <c r="E332" s="127"/>
      <c r="F332" s="127"/>
      <c r="G332" s="127"/>
      <c r="H332" s="127"/>
      <c r="I332" s="127"/>
      <c r="J332" s="36">
        <f ca="1">IF($L$1="Yes",IF(OFFSET(Tracks!$L$6,0,J$278)=0,0,Data!I$193*(OFFSET('Forecast Adjuster'!$L$73,0,J$278)/OFFSET(Tracks!$L$6,0,J$278)-1)),0)</f>
        <v>0</v>
      </c>
      <c r="K332" s="36">
        <f ca="1">IF($L$1="Yes",IF(OFFSET(Tracks!$L$6,0,K$278)=0,0,Data!J$193*(OFFSET('Forecast Adjuster'!$L$73,0,K$278)/OFFSET(Tracks!$L$6,0,K$278)-1)),0)</f>
        <v>0</v>
      </c>
      <c r="L332" s="36">
        <f ca="1">IF($L$1="Yes",IF(OFFSET(Tracks!$L$6,0,L$278)=0,0,Data!K$193*(OFFSET('Forecast Adjuster'!$L$73,0,L$278)/OFFSET(Tracks!$L$6,0,L$278)-1)),0)</f>
        <v>0</v>
      </c>
      <c r="M332" s="36">
        <f ca="1">IF($L$1="Yes",IF(OFFSET(Tracks!$L$6,0,M$278)=0,0,Data!L$193*(OFFSET('Forecast Adjuster'!$L$73,0,M$278)/OFFSET(Tracks!$L$6,0,M$278)-1)),0)</f>
        <v>0</v>
      </c>
      <c r="N332" s="36">
        <f ca="1">IF($L$1="Yes",IF(OFFSET(Tracks!$L$6,0,N$278)=0,0,Data!M$193*(OFFSET('Forecast Adjuster'!$L$73,0,N$278)/OFFSET(Tracks!$L$6,0,N$278)-1)),0)</f>
        <v>0</v>
      </c>
    </row>
    <row r="333" spans="1:14" s="73" customFormat="1" x14ac:dyDescent="0.2">
      <c r="A333" s="28" t="s">
        <v>792</v>
      </c>
      <c r="B333"/>
      <c r="C333" s="72"/>
      <c r="D333" s="127"/>
      <c r="E333" s="127"/>
      <c r="F333" s="127"/>
      <c r="G333" s="127"/>
      <c r="H333" s="127"/>
      <c r="I333" s="127"/>
      <c r="J333" s="36">
        <f ca="1">J$237*J$342/2</f>
        <v>0</v>
      </c>
      <c r="K333" s="36">
        <f ca="1">K$237*K$342/2</f>
        <v>0</v>
      </c>
      <c r="L333" s="36">
        <f ca="1">L$237*L$342/2</f>
        <v>0</v>
      </c>
      <c r="M333" s="36">
        <f ca="1">M$237*M$342/2</f>
        <v>0</v>
      </c>
      <c r="N333" s="36">
        <f ca="1">N$237*N$342/2</f>
        <v>0</v>
      </c>
    </row>
    <row r="334" spans="1:14" s="73" customFormat="1" x14ac:dyDescent="0.2">
      <c r="A334" s="28" t="s">
        <v>793</v>
      </c>
      <c r="B334"/>
      <c r="C334" s="72"/>
      <c r="D334" s="127"/>
      <c r="E334" s="127"/>
      <c r="F334" s="127"/>
      <c r="G334" s="127"/>
      <c r="H334" s="127"/>
      <c r="I334" s="127"/>
      <c r="J334" s="36">
        <f ca="1">J$237*J$333/2</f>
        <v>0</v>
      </c>
      <c r="K334" s="36">
        <f ca="1">K$237*K$333/2</f>
        <v>0</v>
      </c>
      <c r="L334" s="36">
        <f ca="1">L$237*L$333/2</f>
        <v>0</v>
      </c>
      <c r="M334" s="36">
        <f ca="1">M$237*M$333/2</f>
        <v>0</v>
      </c>
      <c r="N334" s="36">
        <f ca="1">N$237*N$333/2</f>
        <v>0</v>
      </c>
    </row>
    <row r="335" spans="1:14" s="73" customFormat="1" x14ac:dyDescent="0.2">
      <c r="A335" s="28" t="s">
        <v>794</v>
      </c>
      <c r="B335"/>
      <c r="C335" s="72"/>
      <c r="D335" s="127"/>
      <c r="E335" s="127"/>
      <c r="F335" s="127"/>
      <c r="G335" s="127"/>
      <c r="H335" s="127"/>
      <c r="I335" s="127"/>
      <c r="J335" s="36">
        <f ca="1">J$237*SUM($E$343:I$343)</f>
        <v>0</v>
      </c>
      <c r="K335" s="36">
        <f ca="1">K$237*SUM($E$343:J$343)</f>
        <v>0</v>
      </c>
      <c r="L335" s="36">
        <f ca="1">L$237*SUM($E$343:K$343)</f>
        <v>0</v>
      </c>
      <c r="M335" s="36">
        <f ca="1">M$237*SUM($E$343:L$343)</f>
        <v>0</v>
      </c>
      <c r="N335" s="36">
        <f ca="1">N$237*SUM($E$343:M$343)</f>
        <v>0</v>
      </c>
    </row>
    <row r="336" spans="1:14" s="73" customFormat="1" x14ac:dyDescent="0.2">
      <c r="A336" s="200" t="s">
        <v>742</v>
      </c>
      <c r="B336"/>
      <c r="C336" s="72"/>
      <c r="D336" s="127"/>
      <c r="E336" s="127"/>
      <c r="F336" s="127"/>
      <c r="G336" s="127"/>
      <c r="H336" s="127"/>
      <c r="I336" s="127"/>
      <c r="J336" s="42">
        <f ca="1">SUM(J$330,J$331)-SUM(J$333:J$335)</f>
        <v>0</v>
      </c>
      <c r="K336" s="42">
        <f ca="1">SUM(K$330,K$331)-SUM(K$333:K$335)</f>
        <v>0</v>
      </c>
      <c r="L336" s="42">
        <f ca="1">SUM(L$330,L$331)-SUM(L$333:L$335)</f>
        <v>0</v>
      </c>
      <c r="M336" s="42">
        <f ca="1">SUM(M$330,M$331)-SUM(M$333:M$335)</f>
        <v>0</v>
      </c>
      <c r="N336" s="42">
        <f ca="1">SUM(N$330,N$331)-SUM(N$333:N$335)</f>
        <v>0</v>
      </c>
    </row>
    <row r="337" spans="1:14" s="73" customFormat="1" x14ac:dyDescent="0.2">
      <c r="A337" s="30" t="s">
        <v>752</v>
      </c>
      <c r="B337"/>
      <c r="C337" s="72"/>
      <c r="D337" s="127"/>
      <c r="E337" s="127"/>
      <c r="F337" s="127"/>
      <c r="G337" s="127"/>
      <c r="H337" s="127"/>
      <c r="I337" s="127"/>
      <c r="J337" s="36">
        <f ca="1">IF($L$1="Yes",IF(OFFSET(Tracks!$L$5,0,J$278)=0,OFFSET('Forecast Adjuster'!$L$72,0,J$278),Data!I$197*(OFFSET('Forecast Adjuster'!$L$72,0,J$278)/OFFSET(Tracks!$L$5,0,J$278)-1)),0)</f>
        <v>0</v>
      </c>
      <c r="K337" s="36">
        <f ca="1">IF($L$1="Yes",IF(OFFSET(Tracks!$L$5,0,K$278)=0,OFFSET('Forecast Adjuster'!$L$72,0,K$278),Data!J$197*(OFFSET('Forecast Adjuster'!$L$72,0,K$278)/OFFSET(Tracks!$L$5,0,K$278)-1)),0)</f>
        <v>0</v>
      </c>
      <c r="L337" s="36">
        <f ca="1">IF($L$1="Yes",IF(OFFSET(Tracks!$L$5,0,L$278)=0,OFFSET('Forecast Adjuster'!$L$72,0,L$278),Data!K$197*(OFFSET('Forecast Adjuster'!$L$72,0,L$278)/OFFSET(Tracks!$L$5,0,L$278)-1)),0)</f>
        <v>0</v>
      </c>
      <c r="M337" s="36">
        <f ca="1">IF($L$1="Yes",IF(OFFSET(Tracks!$L$5,0,M$278)=0,OFFSET('Forecast Adjuster'!$L$72,0,M$278),Data!L$197*(OFFSET('Forecast Adjuster'!$L$72,0,M$278)/OFFSET(Tracks!$L$5,0,M$278)-1)),0)</f>
        <v>0</v>
      </c>
      <c r="N337" s="36">
        <f ca="1">IF($L$1="Yes",IF(OFFSET(Tracks!$L$5,0,N$278)=0,OFFSET('Forecast Adjuster'!$L$72,0,N$278),Data!M$197*(OFFSET('Forecast Adjuster'!$L$72,0,N$278)/OFFSET(Tracks!$L$5,0,N$278)-1)),0)</f>
        <v>0</v>
      </c>
    </row>
    <row r="338" spans="1:14" s="73" customFormat="1" x14ac:dyDescent="0.2">
      <c r="A338" s="30" t="s">
        <v>758</v>
      </c>
      <c r="B338"/>
      <c r="C338" s="72"/>
      <c r="D338" s="127"/>
      <c r="E338" s="127"/>
      <c r="F338" s="127"/>
      <c r="G338" s="127"/>
      <c r="H338" s="127"/>
      <c r="I338" s="127"/>
      <c r="J338" s="36">
        <f ca="1">IF($L$1="Yes",IF(OFFSET(Tracks!$L$8,0,J$278)=0,0,Data!I$198*(OFFSET('Forecast Adjuster'!$L$75,0,J$278)/OFFSET(Tracks!$L$8,0,J$278)-1)),0)</f>
        <v>0</v>
      </c>
      <c r="K338" s="36">
        <f ca="1">IF($L$1="Yes",IF(OFFSET(Tracks!$L$8,0,K$278)=0,0,Data!J$198*(OFFSET('Forecast Adjuster'!$L$75,0,K$278)/OFFSET(Tracks!$L$8,0,K$278)-1)),0)</f>
        <v>0</v>
      </c>
      <c r="L338" s="36">
        <f ca="1">IF($L$1="Yes",IF(OFFSET(Tracks!$L$8,0,L$278)=0,0,Data!K$198*(OFFSET('Forecast Adjuster'!$L$75,0,L$278)/OFFSET(Tracks!$L$8,0,L$278)-1)),0)</f>
        <v>0</v>
      </c>
      <c r="M338" s="36">
        <f ca="1">IF($L$1="Yes",IF(OFFSET(Tracks!$L$8,0,M$278)=0,0,Data!L$198*(OFFSET('Forecast Adjuster'!$L$75,0,M$278)/OFFSET(Tracks!$L$8,0,M$278)-1)),0)</f>
        <v>0</v>
      </c>
      <c r="N338" s="36">
        <f ca="1">IF($L$1="Yes",IF(OFFSET(Tracks!$L$8,0,N$278)=0,0,Data!M$198*(OFFSET('Forecast Adjuster'!$L$75,0,N$278)/OFFSET(Tracks!$L$8,0,N$278)-1)),0)</f>
        <v>0</v>
      </c>
    </row>
    <row r="339" spans="1:14" s="73" customFormat="1" x14ac:dyDescent="0.2">
      <c r="A339" s="28" t="s">
        <v>753</v>
      </c>
      <c r="B339"/>
      <c r="C339" s="72"/>
      <c r="D339" s="127"/>
      <c r="E339" s="127"/>
      <c r="F339" s="127"/>
      <c r="G339" s="127"/>
      <c r="H339" s="127"/>
      <c r="I339" s="127"/>
      <c r="J339" s="36">
        <f ca="1">IF($L$1="Yes",IF(OFFSET(Tracks!$L$9,0,J$278)=0,(Data!I$170/Data!I$199)*OFFSET('Forecast Adjuster'!$L$76,0,J$278),Data!I$170*(OFFSET('Forecast Adjuster'!$L$76,0,J$278)/OFFSET(Tracks!$L$9,0,J$278)-1)),0)</f>
        <v>0</v>
      </c>
      <c r="K339" s="36">
        <f ca="1">IF($L$1="Yes",IF(OFFSET(Tracks!$L$9,0,K$278)=0,(Data!J$170/Data!J$199)*OFFSET('Forecast Adjuster'!$L$76,0,K$278),Data!J$170*(OFFSET('Forecast Adjuster'!$L$76,0,K$278)/OFFSET(Tracks!$L$9,0,K$278)-1)),0)</f>
        <v>0</v>
      </c>
      <c r="L339" s="36">
        <f ca="1">IF($L$1="Yes",IF(OFFSET(Tracks!$L$9,0,L$278)=0,(Data!K$170/Data!K$199)*OFFSET('Forecast Adjuster'!$L$76,0,L$278),Data!K$170*(OFFSET('Forecast Adjuster'!$L$76,0,L$278)/OFFSET(Tracks!$L$9,0,L$278)-1)),0)</f>
        <v>0</v>
      </c>
      <c r="M339" s="36">
        <f ca="1">IF($L$1="Yes",IF(OFFSET(Tracks!$L$9,0,M$278)=0,(Data!L$170/Data!L$199)*OFFSET('Forecast Adjuster'!$L$76,0,M$278),Data!L$170*(OFFSET('Forecast Adjuster'!$L$76,0,M$278)/OFFSET(Tracks!$L$9,0,M$278)-1)),0)</f>
        <v>0</v>
      </c>
      <c r="N339" s="36">
        <f ca="1">IF($L$1="Yes",IF(OFFSET(Tracks!$L$9,0,N$278)=0,(Data!M$170/Data!M$199)*OFFSET('Forecast Adjuster'!$L$76,0,N$278),Data!M$170*(OFFSET('Forecast Adjuster'!$L$76,0,N$278)/OFFSET(Tracks!$L$9,0,N$278)-1)),0)</f>
        <v>0</v>
      </c>
    </row>
    <row r="340" spans="1:14" s="73" customFormat="1" x14ac:dyDescent="0.2">
      <c r="A340" s="28" t="s">
        <v>754</v>
      </c>
      <c r="B340"/>
      <c r="C340" s="72"/>
      <c r="D340" s="127"/>
      <c r="E340" s="127"/>
      <c r="F340" s="127"/>
      <c r="G340" s="127"/>
      <c r="H340" s="127"/>
      <c r="I340" s="127"/>
      <c r="J340" s="36">
        <f ca="1">IF($L$1="Yes",IF(OFFSET(Tracks!$L$9,0,J$278)=0,(1-Data!I$170/Data!I$199)*OFFSET('Forecast Adjuster'!$L$76,0,J$278),(Data!I$199-Data!I$170)*(OFFSET('Forecast Adjuster'!$L$76,0,J$278)/OFFSET(Tracks!$L$9,0,J$278)-1)),0)</f>
        <v>0</v>
      </c>
      <c r="K340" s="36">
        <f ca="1">IF($L$1="Yes",IF(OFFSET(Tracks!$L$9,0,K$278)=0,(1-Data!J$170/Data!J$199)*OFFSET('Forecast Adjuster'!$L$76,0,K$278),(Data!J$199-Data!J$170)*(OFFSET('Forecast Adjuster'!$L$76,0,K$278)/OFFSET(Tracks!$L$9,0,K$278)-1)),0)</f>
        <v>0</v>
      </c>
      <c r="L340" s="36">
        <f ca="1">IF($L$1="Yes",IF(OFFSET(Tracks!$L$9,0,L$278)=0,(1-Data!K$170/Data!K$199)*OFFSET('Forecast Adjuster'!$L$76,0,L$278),(Data!K$199-Data!K$170)*(OFFSET('Forecast Adjuster'!$L$76,0,L$278)/OFFSET(Tracks!$L$9,0,L$278)-1)),0)</f>
        <v>0</v>
      </c>
      <c r="M340" s="36">
        <f ca="1">IF($L$1="Yes",IF(OFFSET(Tracks!$L$9,0,M$278)=0,(1-Data!L$170/Data!L$199)*OFFSET('Forecast Adjuster'!$L$76,0,M$278),(Data!L$199-Data!L$170)*(OFFSET('Forecast Adjuster'!$L$76,0,M$278)/OFFSET(Tracks!$L$9,0,M$278)-1)),0)</f>
        <v>0</v>
      </c>
      <c r="N340" s="36">
        <f ca="1">IF($L$1="Yes",IF(OFFSET(Tracks!$L$9,0,N$278)=0,(1-Data!M$170/Data!M$199)*OFFSET('Forecast Adjuster'!$L$76,0,N$278),(Data!M$199-Data!M$170)*(OFFSET('Forecast Adjuster'!$L$76,0,N$278)/OFFSET(Tracks!$L$9,0,N$278)-1)),0)</f>
        <v>0</v>
      </c>
    </row>
    <row r="341" spans="1:14" s="73" customFormat="1" x14ac:dyDescent="0.2">
      <c r="A341" s="200" t="s">
        <v>744</v>
      </c>
      <c r="B341"/>
      <c r="C341" s="72"/>
      <c r="D341" s="127"/>
      <c r="E341" s="127"/>
      <c r="F341" s="127"/>
      <c r="G341" s="127"/>
      <c r="H341" s="127"/>
      <c r="I341" s="127"/>
      <c r="J341" s="42">
        <f ca="1">SUM(J$339,J$340)-J$344</f>
        <v>0</v>
      </c>
      <c r="K341" s="42">
        <f ca="1">SUM(K$339,K$340)-K$344</f>
        <v>0</v>
      </c>
      <c r="L341" s="42">
        <f ca="1">SUM(L$339,L$340)-L$344</f>
        <v>0</v>
      </c>
      <c r="M341" s="42">
        <f ca="1">SUM(M$339,M$340)-M$344</f>
        <v>0</v>
      </c>
      <c r="N341" s="42">
        <f ca="1">SUM(N$339,N$340)-N$344</f>
        <v>0</v>
      </c>
    </row>
    <row r="342" spans="1:14" s="73" customFormat="1" x14ac:dyDescent="0.2">
      <c r="A342" s="28" t="s">
        <v>759</v>
      </c>
      <c r="B342"/>
      <c r="C342" s="72"/>
      <c r="D342" s="127"/>
      <c r="E342" s="127"/>
      <c r="F342" s="127"/>
      <c r="G342" s="127"/>
      <c r="H342" s="127"/>
      <c r="I342" s="127"/>
      <c r="J342" s="242">
        <f ca="1">SUM(J$339,J$340)-SUM(I$339,I$340)-SUM(J$330,J$331,-J$332)</f>
        <v>0</v>
      </c>
      <c r="K342" s="242">
        <f ca="1">SUM(K$339,K$340)-SUM(J$339,J$340)-SUM(K$330,K$331,-K$332)</f>
        <v>0</v>
      </c>
      <c r="L342" s="242">
        <f ca="1">SUM(L$339,L$340)-SUM(K$339,K$340)-SUM(L$330,L$331,-L$332)</f>
        <v>0</v>
      </c>
      <c r="M342" s="242">
        <f ca="1">SUM(M$339,M$340)-SUM(L$339,L$340)-SUM(M$330,M$331,-M$332)</f>
        <v>0</v>
      </c>
      <c r="N342" s="242">
        <f ca="1">SUM(N$339,N$340)-SUM(M$339,M$340)-SUM(N$330,N$331,-N$332)</f>
        <v>0</v>
      </c>
    </row>
    <row r="343" spans="1:14" s="73" customFormat="1" x14ac:dyDescent="0.2">
      <c r="A343" s="28" t="s">
        <v>760</v>
      </c>
      <c r="B343"/>
      <c r="C343" s="72"/>
      <c r="D343" s="127"/>
      <c r="E343" s="127"/>
      <c r="F343" s="127"/>
      <c r="G343" s="127"/>
      <c r="H343" s="127"/>
      <c r="I343" s="127"/>
      <c r="J343" s="242">
        <f ca="1">SUM(J$342,J$333:J$335)</f>
        <v>0</v>
      </c>
      <c r="K343" s="242">
        <f ca="1">SUM(K$342,K$333:K$335)</f>
        <v>0</v>
      </c>
      <c r="L343" s="242">
        <f ca="1">SUM(L$342,L$333:L$335)</f>
        <v>0</v>
      </c>
      <c r="M343" s="242">
        <f ca="1">SUM(M$342,M$333:M$335)</f>
        <v>0</v>
      </c>
      <c r="N343" s="242">
        <f ca="1">SUM(N$342,N$333:N$335)</f>
        <v>0</v>
      </c>
    </row>
    <row r="344" spans="1:14" s="73" customFormat="1" x14ac:dyDescent="0.2">
      <c r="A344" s="200" t="s">
        <v>743</v>
      </c>
      <c r="B344"/>
      <c r="C344" s="72"/>
      <c r="D344" s="127"/>
      <c r="E344" s="127"/>
      <c r="F344" s="127"/>
      <c r="G344" s="127"/>
      <c r="H344" s="127"/>
      <c r="I344" s="127"/>
      <c r="J344" s="42">
        <f ca="1">SUM($E$343:J$343)</f>
        <v>0</v>
      </c>
      <c r="K344" s="42">
        <f ca="1">SUM($E$343:K$343)</f>
        <v>0</v>
      </c>
      <c r="L344" s="42">
        <f ca="1">SUM($E$343:L$343)</f>
        <v>0</v>
      </c>
      <c r="M344" s="42">
        <f ca="1">SUM($E$343:M$343)</f>
        <v>0</v>
      </c>
      <c r="N344" s="42">
        <f ca="1">SUM($E$343:N$343)</f>
        <v>0</v>
      </c>
    </row>
    <row r="345" spans="1:14" s="73" customFormat="1" x14ac:dyDescent="0.2">
      <c r="A345" s="200" t="s">
        <v>756</v>
      </c>
      <c r="B345"/>
      <c r="C345" s="72"/>
      <c r="D345" s="127"/>
      <c r="E345" s="127"/>
      <c r="F345" s="127"/>
      <c r="G345" s="127"/>
      <c r="H345" s="127"/>
      <c r="I345" s="127"/>
      <c r="J345" s="42">
        <f ca="1">J$344-J$339</f>
        <v>0</v>
      </c>
      <c r="K345" s="42">
        <f ca="1">K$344-K$339</f>
        <v>0</v>
      </c>
      <c r="L345" s="42">
        <f ca="1">L$344-L$339</f>
        <v>0</v>
      </c>
      <c r="M345" s="42">
        <f ca="1">M$344-M$339</f>
        <v>0</v>
      </c>
      <c r="N345" s="42">
        <f ca="1">N$344-N$339</f>
        <v>0</v>
      </c>
    </row>
    <row r="346" spans="1:14" s="73" customFormat="1" ht="13.5" x14ac:dyDescent="0.25">
      <c r="A346" s="201"/>
      <c r="B346"/>
      <c r="C346" s="72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</row>
    <row r="347" spans="1:14" s="73" customFormat="1" x14ac:dyDescent="0.2">
      <c r="A347" s="200" t="s">
        <v>738</v>
      </c>
      <c r="B347"/>
      <c r="C347" s="72"/>
      <c r="D347" s="127"/>
      <c r="E347" s="127"/>
      <c r="F347" s="127"/>
      <c r="G347" s="127"/>
      <c r="H347" s="127"/>
      <c r="I347" s="127"/>
      <c r="J347" s="42">
        <f ca="1">SUM(J$285,J$304,J$322,J$336)</f>
        <v>0</v>
      </c>
      <c r="K347" s="42">
        <f ca="1">SUM(K$285,K$304,K$322,K$336)</f>
        <v>0</v>
      </c>
      <c r="L347" s="42">
        <f ca="1">SUM(L$285,L$304,L$322,L$336)</f>
        <v>0</v>
      </c>
      <c r="M347" s="42">
        <f ca="1">SUM(M$285,M$304,M$322,M$336)</f>
        <v>0</v>
      </c>
      <c r="N347" s="42">
        <f ca="1">SUM(N$285,N$304,N$322,N$336)</f>
        <v>0</v>
      </c>
    </row>
    <row r="348" spans="1:14" s="73" customFormat="1" ht="13.5" x14ac:dyDescent="0.25">
      <c r="A348" s="201" t="s">
        <v>115</v>
      </c>
      <c r="B348"/>
      <c r="C348" s="72"/>
      <c r="D348" s="127"/>
      <c r="E348" s="127"/>
      <c r="F348" s="127"/>
      <c r="G348" s="127"/>
      <c r="H348" s="127"/>
      <c r="I348" s="127"/>
      <c r="J348" s="132" t="str">
        <f ca="1">IF(ROUND(Data!I$17-(J$15-J$347),3)=0,"OK","ERROR")</f>
        <v>OK</v>
      </c>
      <c r="K348" s="132" t="str">
        <f ca="1">IF(ROUND(Data!J$17-(K$15-K$347),3)=0,"OK","ERROR")</f>
        <v>OK</v>
      </c>
      <c r="L348" s="132" t="str">
        <f ca="1">IF(ROUND(Data!K$17-(L$15-L$347),3)=0,"OK","ERROR")</f>
        <v>OK</v>
      </c>
      <c r="M348" s="132" t="str">
        <f ca="1">IF(ROUND(Data!L$17-(M$15-M$347),3)=0,"OK","ERROR")</f>
        <v>OK</v>
      </c>
      <c r="N348" s="132" t="str">
        <f ca="1">IF(ROUND(Data!M$17-(N$15-N$347),3)=0,"OK","ERROR")</f>
        <v>OK</v>
      </c>
    </row>
    <row r="349" spans="1:14" s="73" customFormat="1" x14ac:dyDescent="0.2">
      <c r="A349" s="200" t="s">
        <v>739</v>
      </c>
      <c r="B349"/>
      <c r="C349" s="72"/>
      <c r="D349" s="127"/>
      <c r="E349" s="127"/>
      <c r="F349" s="127"/>
      <c r="G349" s="127"/>
      <c r="H349" s="127"/>
      <c r="I349" s="127"/>
      <c r="J349" s="42">
        <f ca="1">SUM(J$313,J$326,J$344)</f>
        <v>0</v>
      </c>
      <c r="K349" s="42">
        <f ca="1">SUM(K$313,K$326,K$344)</f>
        <v>0</v>
      </c>
      <c r="L349" s="42">
        <f ca="1">SUM(L$313,L$326,L$344)</f>
        <v>0</v>
      </c>
      <c r="M349" s="42">
        <f ca="1">SUM(M$313,M$326,M$344)</f>
        <v>0</v>
      </c>
      <c r="N349" s="42">
        <f ca="1">SUM(N$313,N$326,N$344)</f>
        <v>0</v>
      </c>
    </row>
    <row r="350" spans="1:14" s="73" customFormat="1" ht="13.5" x14ac:dyDescent="0.25">
      <c r="A350" s="201" t="s">
        <v>115</v>
      </c>
      <c r="B350"/>
      <c r="C350" s="72"/>
      <c r="D350" s="127"/>
      <c r="E350" s="127"/>
      <c r="F350" s="127"/>
      <c r="G350" s="127"/>
      <c r="H350" s="127"/>
      <c r="I350" s="127"/>
      <c r="J350" s="132" t="str">
        <f ca="1">IF(ROUND(Data!I$74-(J$29-J$349),3)=0,"OK","ERROR")</f>
        <v>OK</v>
      </c>
      <c r="K350" s="132" t="str">
        <f ca="1">IF(ROUND(Data!J$74-(K$29-K$349),3)=0,"OK","ERROR")</f>
        <v>OK</v>
      </c>
      <c r="L350" s="132" t="str">
        <f ca="1">IF(ROUND(Data!K$74-(L$29-L$349),3)=0,"OK","ERROR")</f>
        <v>OK</v>
      </c>
      <c r="M350" s="132" t="str">
        <f ca="1">IF(ROUND(Data!L$74-(M$29-M$349),3)=0,"OK","ERROR")</f>
        <v>OK</v>
      </c>
      <c r="N350" s="132" t="str">
        <f ca="1">IF(ROUND(Data!M$74-(N$29-N$349),3)=0,"OK","ERROR")</f>
        <v>OK</v>
      </c>
    </row>
    <row r="351" spans="1:14" s="73" customFormat="1" x14ac:dyDescent="0.2">
      <c r="A351" s="200" t="s">
        <v>116</v>
      </c>
      <c r="B351"/>
      <c r="C351" s="72"/>
      <c r="D351" s="127"/>
      <c r="E351" s="127"/>
      <c r="F351" s="127"/>
      <c r="G351" s="127"/>
      <c r="H351" s="127"/>
      <c r="I351" s="127"/>
      <c r="J351" s="42">
        <f ca="1">SUM(J$306,J$309,J$323,J$341)</f>
        <v>0</v>
      </c>
      <c r="K351" s="42">
        <f ca="1">SUM(K$306,K$309,K$323,K$341)</f>
        <v>0</v>
      </c>
      <c r="L351" s="42">
        <f ca="1">SUM(L$306,L$309,L$323,L$341)</f>
        <v>0</v>
      </c>
      <c r="M351" s="42">
        <f ca="1">SUM(M$306,M$309,M$323,M$341)</f>
        <v>0</v>
      </c>
      <c r="N351" s="42">
        <f ca="1">SUM(N$306,N$309,N$323,N$341)</f>
        <v>0</v>
      </c>
    </row>
    <row r="352" spans="1:14" s="73" customFormat="1" ht="13.5" x14ac:dyDescent="0.25">
      <c r="A352" s="201" t="s">
        <v>115</v>
      </c>
      <c r="B352"/>
      <c r="C352" s="72"/>
      <c r="D352" s="127"/>
      <c r="E352" s="127"/>
      <c r="F352" s="127"/>
      <c r="G352" s="127"/>
      <c r="H352" s="127"/>
      <c r="I352" s="127"/>
      <c r="J352" s="132" t="str">
        <f ca="1">IF(ROUND(Data!I$79-(J$31-J$351),3)=0,"OK","ERROR")</f>
        <v>OK</v>
      </c>
      <c r="K352" s="132" t="str">
        <f ca="1">IF(ROUND(Data!J$79-(K$31-K$351),3)=0,"OK","ERROR")</f>
        <v>OK</v>
      </c>
      <c r="L352" s="132" t="str">
        <f ca="1">IF(ROUND(Data!K$79-(L$31-L$351),3)=0,"OK","ERROR")</f>
        <v>OK</v>
      </c>
      <c r="M352" s="132" t="str">
        <f ca="1">IF(ROUND(Data!L$79-(M$31-M$351),3)=0,"OK","ERROR")</f>
        <v>OK</v>
      </c>
      <c r="N352" s="132" t="str">
        <f ca="1">IF(ROUND(Data!M$79-(N$31-N$351),3)=0,"OK","ERROR")</f>
        <v>OK</v>
      </c>
    </row>
    <row r="353" spans="1:14" s="73" customFormat="1" x14ac:dyDescent="0.2">
      <c r="A353" s="200" t="s">
        <v>757</v>
      </c>
      <c r="B353"/>
      <c r="C353" s="72"/>
      <c r="D353" s="127"/>
      <c r="E353" s="127"/>
      <c r="F353" s="127"/>
      <c r="G353" s="127"/>
      <c r="H353" s="127"/>
      <c r="I353" s="127"/>
      <c r="J353" s="42">
        <f ca="1">SUM(J$314,J$327,J$345,J$339)</f>
        <v>0</v>
      </c>
      <c r="K353" s="42">
        <f ca="1">SUM(K$314,K$327,K$345,K$339)</f>
        <v>0</v>
      </c>
      <c r="L353" s="42">
        <f ca="1">SUM(L$314,L$327,L$345,L$339)</f>
        <v>0</v>
      </c>
      <c r="M353" s="42">
        <f ca="1">SUM(M$314,M$327,M$345,M$339)</f>
        <v>0</v>
      </c>
      <c r="N353" s="42">
        <f ca="1">SUM(N$314,N$327,N$345,N$339)</f>
        <v>0</v>
      </c>
    </row>
    <row r="354" spans="1:14" s="73" customFormat="1" ht="13.5" x14ac:dyDescent="0.25">
      <c r="A354" s="201" t="s">
        <v>115</v>
      </c>
      <c r="B354"/>
      <c r="C354" s="72"/>
      <c r="D354" s="127"/>
      <c r="E354" s="127"/>
      <c r="F354" s="127"/>
      <c r="G354" s="127"/>
      <c r="H354" s="127"/>
      <c r="I354" s="127"/>
      <c r="J354" s="132" t="str">
        <f ca="1">IF(ROUND(Data!I$93-(J$38-J$353),3)=0,"OK","ERROR")</f>
        <v>OK</v>
      </c>
      <c r="K354" s="132" t="str">
        <f ca="1">IF(ROUND(Data!J$93-(K$38-K$353),3)=0,"OK","ERROR")</f>
        <v>OK</v>
      </c>
      <c r="L354" s="132" t="str">
        <f ca="1">IF(ROUND(Data!K$93-(L$38-L$353),3)=0,"OK","ERROR")</f>
        <v>OK</v>
      </c>
      <c r="M354" s="132" t="str">
        <f ca="1">IF(ROUND(Data!L$93-(M$38-M$353),3)=0,"OK","ERROR")</f>
        <v>OK</v>
      </c>
      <c r="N354" s="132" t="str">
        <f ca="1">IF(ROUND(Data!M$93-(N$38-N$353),3)=0,"OK","ERROR")</f>
        <v>OK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6225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4</xdr:row>
                    <xdr:rowOff>0</xdr:rowOff>
                  </from>
                  <to>
                    <xdr:col>0</xdr:col>
                    <xdr:colOff>4714875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59"/>
  <sheetViews>
    <sheetView workbookViewId="0">
      <pane xSplit="1" ySplit="5" topLeftCell="B65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2.75" x14ac:dyDescent="0.2"/>
  <cols>
    <col min="1" max="1" width="70.7109375" style="124" customWidth="1"/>
    <col min="2" max="2" width="8.7109375" customWidth="1"/>
    <col min="3" max="3" width="4.7109375" style="72" customWidth="1"/>
    <col min="4" max="10" width="8.7109375" style="127" customWidth="1"/>
    <col min="11" max="24" width="8.7109375" style="73" customWidth="1"/>
  </cols>
  <sheetData>
    <row r="1" spans="1:25" ht="15.75" x14ac:dyDescent="0.25">
      <c r="A1" s="165" t="s">
        <v>394</v>
      </c>
      <c r="B1" s="24" t="s">
        <v>1028</v>
      </c>
      <c r="C1" s="164" t="e">
        <f>MATCH($B$1,Scenarios!$B$3:$C$3,0)</f>
        <v>#N/A</v>
      </c>
      <c r="D1" s="204" t="s">
        <v>117</v>
      </c>
      <c r="E1" s="205"/>
      <c r="F1" s="206" t="s">
        <v>118</v>
      </c>
      <c r="G1" s="207" t="s">
        <v>119</v>
      </c>
      <c r="H1" s="208"/>
      <c r="I1" s="209" t="s">
        <v>118</v>
      </c>
      <c r="J1" s="245" t="s">
        <v>747</v>
      </c>
      <c r="K1" s="243"/>
      <c r="L1" s="244" t="s">
        <v>118</v>
      </c>
      <c r="M1" s="291" t="s">
        <v>773</v>
      </c>
      <c r="N1" s="292"/>
      <c r="O1" s="293" t="s">
        <v>118</v>
      </c>
      <c r="P1" s="232" t="s">
        <v>774</v>
      </c>
    </row>
    <row r="2" spans="1:25" ht="13.5" x14ac:dyDescent="0.25">
      <c r="A2" s="166" t="s">
        <v>701</v>
      </c>
      <c r="B2" s="231"/>
      <c r="C2" s="232" t="s">
        <v>601</v>
      </c>
      <c r="D2"/>
      <c r="E2"/>
      <c r="F2"/>
      <c r="G2"/>
      <c r="H2"/>
      <c r="I2"/>
      <c r="J2"/>
      <c r="K2"/>
      <c r="L2"/>
      <c r="M2"/>
      <c r="N2"/>
      <c r="O2" s="117" t="s">
        <v>152</v>
      </c>
      <c r="P2"/>
      <c r="Q2"/>
      <c r="R2"/>
      <c r="S2"/>
      <c r="T2"/>
      <c r="U2"/>
      <c r="V2"/>
      <c r="W2"/>
      <c r="X2"/>
    </row>
    <row r="3" spans="1:25" ht="15.75" x14ac:dyDescent="0.25">
      <c r="A3" s="52" t="s">
        <v>136</v>
      </c>
      <c r="B3" s="163"/>
      <c r="C3" s="163"/>
      <c r="D3" s="163" t="s">
        <v>445</v>
      </c>
      <c r="E3" s="163" t="s">
        <v>446</v>
      </c>
      <c r="F3" s="163" t="s">
        <v>447</v>
      </c>
      <c r="G3" s="163" t="s">
        <v>448</v>
      </c>
      <c r="H3" s="163" t="s">
        <v>449</v>
      </c>
      <c r="I3" s="163" t="s">
        <v>450</v>
      </c>
      <c r="J3" s="140" t="s">
        <v>451</v>
      </c>
      <c r="K3" s="140" t="s">
        <v>452</v>
      </c>
      <c r="L3" s="140" t="s">
        <v>453</v>
      </c>
      <c r="M3" s="140" t="s">
        <v>454</v>
      </c>
      <c r="N3" s="140" t="s">
        <v>455</v>
      </c>
      <c r="O3" s="139" t="s">
        <v>456</v>
      </c>
      <c r="P3" s="139" t="s">
        <v>457</v>
      </c>
      <c r="Q3" s="139" t="s">
        <v>458</v>
      </c>
      <c r="R3" s="139" t="s">
        <v>459</v>
      </c>
      <c r="S3" s="139" t="s">
        <v>460</v>
      </c>
      <c r="T3" s="139" t="s">
        <v>461</v>
      </c>
      <c r="U3" s="139" t="s">
        <v>462</v>
      </c>
      <c r="V3" s="139" t="s">
        <v>463</v>
      </c>
      <c r="W3" s="139" t="s">
        <v>464</v>
      </c>
      <c r="X3" s="139" t="s">
        <v>465</v>
      </c>
    </row>
    <row r="4" spans="1:25" ht="13.5" x14ac:dyDescent="0.25">
      <c r="A4" s="157" t="s">
        <v>350</v>
      </c>
      <c r="B4" s="220" t="s">
        <v>366</v>
      </c>
      <c r="C4" s="353">
        <v>2006</v>
      </c>
      <c r="D4" s="353">
        <f>$C$4+1</f>
        <v>2007</v>
      </c>
      <c r="E4" s="353">
        <f>$C$4+2</f>
        <v>2008</v>
      </c>
      <c r="F4" s="353">
        <f>$C$4+3</f>
        <v>2009</v>
      </c>
      <c r="G4" s="353">
        <f>$C$4+4</f>
        <v>2010</v>
      </c>
      <c r="H4" s="353">
        <f>$C$4+5</f>
        <v>2011</v>
      </c>
      <c r="I4" s="353">
        <f>$C$4+6</f>
        <v>2012</v>
      </c>
      <c r="J4" s="354">
        <f>$C$4+7</f>
        <v>2013</v>
      </c>
      <c r="K4" s="354">
        <f>$C$4+8</f>
        <v>2014</v>
      </c>
      <c r="L4" s="354">
        <f>$C$4+9</f>
        <v>2015</v>
      </c>
      <c r="M4" s="354">
        <f>$C$4+10</f>
        <v>2016</v>
      </c>
      <c r="N4" s="354">
        <f>$C$4+11</f>
        <v>2017</v>
      </c>
      <c r="O4" s="355">
        <f>$C$4+12</f>
        <v>2018</v>
      </c>
      <c r="P4" s="355">
        <f>$C$4+13</f>
        <v>2019</v>
      </c>
      <c r="Q4" s="355">
        <f>$C$4+14</f>
        <v>2020</v>
      </c>
      <c r="R4" s="355">
        <f>$C$4+15</f>
        <v>2021</v>
      </c>
      <c r="S4" s="355">
        <f>$C$4+16</f>
        <v>2022</v>
      </c>
      <c r="T4" s="355">
        <f>$C$4+17</f>
        <v>2023</v>
      </c>
      <c r="U4" s="355">
        <f>$C$4+18</f>
        <v>2024</v>
      </c>
      <c r="V4" s="355">
        <f>$C$4+19</f>
        <v>2025</v>
      </c>
      <c r="W4" s="355">
        <f>$C$4+20</f>
        <v>2026</v>
      </c>
      <c r="X4" s="355">
        <f>$C$4+21</f>
        <v>2027</v>
      </c>
    </row>
    <row r="5" spans="1:25" ht="21" customHeight="1" x14ac:dyDescent="0.2">
      <c r="A5" s="27"/>
      <c r="C5"/>
      <c r="D5" s="119" t="e">
        <f ca="1">OFFSET(D$7,Offsets!$B$1,0)/D$237</f>
        <v>#REF!</v>
      </c>
      <c r="E5" s="119" t="e">
        <f ca="1">OFFSET(E$7,Offsets!$B$1,0)/E$237</f>
        <v>#REF!</v>
      </c>
      <c r="F5" s="119" t="e">
        <f ca="1">OFFSET(F$7,Offsets!$B$1,0)/F$237</f>
        <v>#REF!</v>
      </c>
      <c r="G5" s="119" t="e">
        <f ca="1">OFFSET(G$7,Offsets!$B$1,0)/G$237</f>
        <v>#REF!</v>
      </c>
      <c r="H5" s="119" t="e">
        <f ca="1">OFFSET(H$7,Offsets!$B$1,0)/H$237</f>
        <v>#REF!</v>
      </c>
      <c r="I5" s="119" t="e">
        <f ca="1">OFFSET(I$7,Offsets!$B$1,0)/I$237</f>
        <v>#REF!</v>
      </c>
      <c r="J5" s="123" t="e">
        <f ca="1">OFFSET(J$7,Offsets!$B$1,0)/J$237</f>
        <v>#REF!</v>
      </c>
      <c r="K5" s="123" t="e">
        <f ca="1">OFFSET(K$7,Offsets!$B$1,0)/K$237</f>
        <v>#REF!</v>
      </c>
      <c r="L5" s="123" t="e">
        <f ca="1">OFFSET(L$7,Offsets!$B$1,0)/L$237</f>
        <v>#REF!</v>
      </c>
      <c r="M5" s="123" t="e">
        <f ca="1">OFFSET(M$7,Offsets!$B$1,0)/M$237</f>
        <v>#REF!</v>
      </c>
      <c r="N5" s="123" t="e">
        <f ca="1">OFFSET(N$7,Offsets!$B$1,0)/N$237</f>
        <v>#REF!</v>
      </c>
      <c r="O5" s="120" t="e">
        <f ca="1">OFFSET(O$7,Offsets!$B$1,0)/O$237</f>
        <v>#REF!</v>
      </c>
      <c r="P5" s="120" t="e">
        <f ca="1">OFFSET(P$7,Offsets!$B$1,0)/P$237</f>
        <v>#REF!</v>
      </c>
      <c r="Q5" s="120" t="e">
        <f ca="1">OFFSET(Q$7,Offsets!$B$1,0)/Q$237</f>
        <v>#REF!</v>
      </c>
      <c r="R5" s="120" t="e">
        <f ca="1">OFFSET(R$7,Offsets!$B$1,0)/R$237</f>
        <v>#REF!</v>
      </c>
      <c r="S5" s="120" t="e">
        <f ca="1">OFFSET(S$7,Offsets!$B$1,0)/S$237</f>
        <v>#REF!</v>
      </c>
      <c r="T5" s="120" t="e">
        <f ca="1">OFFSET(T$7,Offsets!$B$1,0)/T$237</f>
        <v>#REF!</v>
      </c>
      <c r="U5" s="120" t="e">
        <f ca="1">OFFSET(U$7,Offsets!$B$1,0)/U$237</f>
        <v>#REF!</v>
      </c>
      <c r="V5" s="120" t="e">
        <f ca="1">OFFSET(V$7,Offsets!$B$1,0)/V$237</f>
        <v>#REF!</v>
      </c>
      <c r="W5" s="120" t="e">
        <f ca="1">OFFSET(W$7,Offsets!$B$1,0)/W$237</f>
        <v>#REF!</v>
      </c>
      <c r="X5" s="120" t="e">
        <f ca="1">OFFSET(X$7,Offsets!$B$1,0)/X$237</f>
        <v>#REF!</v>
      </c>
    </row>
    <row r="6" spans="1:25" ht="15.75" customHeight="1" x14ac:dyDescent="0.25">
      <c r="A6" s="153" t="s">
        <v>386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5" x14ac:dyDescent="0.2">
      <c r="A7" s="27" t="s">
        <v>158</v>
      </c>
      <c r="C7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5" x14ac:dyDescent="0.2">
      <c r="A8" s="225" t="s">
        <v>681</v>
      </c>
      <c r="B8" s="69"/>
      <c r="C8"/>
      <c r="D8" s="69" t="e">
        <f t="shared" ref="D8:X8" si="0">D$52</f>
        <v>#REF!</v>
      </c>
      <c r="E8" s="69" t="e">
        <f t="shared" si="0"/>
        <v>#REF!</v>
      </c>
      <c r="F8" s="69" t="e">
        <f t="shared" si="0"/>
        <v>#REF!</v>
      </c>
      <c r="G8" s="69" t="e">
        <f t="shared" si="0"/>
        <v>#REF!</v>
      </c>
      <c r="H8" s="69" t="e">
        <f t="shared" si="0"/>
        <v>#REF!</v>
      </c>
      <c r="I8" s="69" t="e">
        <f t="shared" si="0"/>
        <v>#REF!</v>
      </c>
      <c r="J8" s="125" t="e">
        <f t="shared" ca="1" si="0"/>
        <v>#REF!</v>
      </c>
      <c r="K8" s="125" t="e">
        <f t="shared" ca="1" si="0"/>
        <v>#REF!</v>
      </c>
      <c r="L8" s="125" t="e">
        <f t="shared" ca="1" si="0"/>
        <v>#REF!</v>
      </c>
      <c r="M8" s="125" t="e">
        <f t="shared" ca="1" si="0"/>
        <v>#REF!</v>
      </c>
      <c r="N8" s="125" t="e">
        <f t="shared" ca="1" si="0"/>
        <v>#REF!</v>
      </c>
      <c r="O8" s="73" t="e">
        <f t="shared" ca="1" si="0"/>
        <v>#N/A</v>
      </c>
      <c r="P8" s="73" t="e">
        <f t="shared" ca="1" si="0"/>
        <v>#N/A</v>
      </c>
      <c r="Q8" s="73" t="e">
        <f t="shared" ca="1" si="0"/>
        <v>#N/A</v>
      </c>
      <c r="R8" s="73" t="e">
        <f t="shared" ca="1" si="0"/>
        <v>#N/A</v>
      </c>
      <c r="S8" s="73" t="e">
        <f t="shared" ca="1" si="0"/>
        <v>#N/A</v>
      </c>
      <c r="T8" s="73" t="e">
        <f t="shared" ca="1" si="0"/>
        <v>#N/A</v>
      </c>
      <c r="U8" s="73" t="e">
        <f t="shared" ca="1" si="0"/>
        <v>#N/A</v>
      </c>
      <c r="V8" s="73" t="e">
        <f t="shared" ca="1" si="0"/>
        <v>#N/A</v>
      </c>
      <c r="W8" s="73" t="e">
        <f t="shared" ca="1" si="0"/>
        <v>#N/A</v>
      </c>
      <c r="X8" s="73" t="e">
        <f t="shared" ca="1" si="0"/>
        <v>#N/A</v>
      </c>
      <c r="Y8" s="36"/>
    </row>
    <row r="9" spans="1:25" x14ac:dyDescent="0.2">
      <c r="A9" s="225" t="s">
        <v>320</v>
      </c>
      <c r="B9" s="69"/>
      <c r="C9"/>
      <c r="D9" s="69" t="e">
        <f t="shared" ref="D9:X9" si="1">SUM(D$8,D$64,D$72)</f>
        <v>#REF!</v>
      </c>
      <c r="E9" s="69" t="e">
        <f t="shared" si="1"/>
        <v>#REF!</v>
      </c>
      <c r="F9" s="69" t="e">
        <f t="shared" si="1"/>
        <v>#REF!</v>
      </c>
      <c r="G9" s="69" t="e">
        <f t="shared" si="1"/>
        <v>#REF!</v>
      </c>
      <c r="H9" s="69" t="e">
        <f t="shared" si="1"/>
        <v>#REF!</v>
      </c>
      <c r="I9" s="69" t="e">
        <f t="shared" si="1"/>
        <v>#REF!</v>
      </c>
      <c r="J9" s="125" t="e">
        <f t="shared" ca="1" si="1"/>
        <v>#REF!</v>
      </c>
      <c r="K9" s="125" t="e">
        <f t="shared" ca="1" si="1"/>
        <v>#REF!</v>
      </c>
      <c r="L9" s="125" t="e">
        <f t="shared" ca="1" si="1"/>
        <v>#REF!</v>
      </c>
      <c r="M9" s="125" t="e">
        <f t="shared" ca="1" si="1"/>
        <v>#REF!</v>
      </c>
      <c r="N9" s="125" t="e">
        <f t="shared" ca="1" si="1"/>
        <v>#REF!</v>
      </c>
      <c r="O9" s="73" t="e">
        <f t="shared" ca="1" si="1"/>
        <v>#N/A</v>
      </c>
      <c r="P9" s="73" t="e">
        <f t="shared" ca="1" si="1"/>
        <v>#N/A</v>
      </c>
      <c r="Q9" s="73" t="e">
        <f t="shared" ca="1" si="1"/>
        <v>#N/A</v>
      </c>
      <c r="R9" s="73" t="e">
        <f t="shared" ca="1" si="1"/>
        <v>#N/A</v>
      </c>
      <c r="S9" s="73" t="e">
        <f t="shared" ca="1" si="1"/>
        <v>#N/A</v>
      </c>
      <c r="T9" s="73" t="e">
        <f t="shared" ca="1" si="1"/>
        <v>#N/A</v>
      </c>
      <c r="U9" s="73" t="e">
        <f t="shared" ca="1" si="1"/>
        <v>#N/A</v>
      </c>
      <c r="V9" s="73" t="e">
        <f t="shared" ca="1" si="1"/>
        <v>#N/A</v>
      </c>
      <c r="W9" s="73" t="e">
        <f t="shared" ca="1" si="1"/>
        <v>#N/A</v>
      </c>
      <c r="X9" s="73" t="e">
        <f t="shared" ca="1" si="1"/>
        <v>#N/A</v>
      </c>
      <c r="Y9" s="36"/>
    </row>
    <row r="10" spans="1:25" x14ac:dyDescent="0.2">
      <c r="A10" s="225" t="s">
        <v>321</v>
      </c>
      <c r="B10" s="69"/>
      <c r="C10"/>
      <c r="D10" s="69" t="e">
        <f t="shared" ref="D10:X10" si="2">SUM(D$11,D$141)</f>
        <v>#REF!</v>
      </c>
      <c r="E10" s="69" t="e">
        <f t="shared" si="2"/>
        <v>#REF!</v>
      </c>
      <c r="F10" s="69" t="e">
        <f t="shared" si="2"/>
        <v>#REF!</v>
      </c>
      <c r="G10" s="69" t="e">
        <f t="shared" si="2"/>
        <v>#REF!</v>
      </c>
      <c r="H10" s="69" t="e">
        <f t="shared" si="2"/>
        <v>#REF!</v>
      </c>
      <c r="I10" s="69" t="e">
        <f t="shared" si="2"/>
        <v>#REF!</v>
      </c>
      <c r="J10" s="125" t="e">
        <f t="shared" ca="1" si="2"/>
        <v>#REF!</v>
      </c>
      <c r="K10" s="125" t="e">
        <f t="shared" ca="1" si="2"/>
        <v>#REF!</v>
      </c>
      <c r="L10" s="125" t="e">
        <f t="shared" ca="1" si="2"/>
        <v>#REF!</v>
      </c>
      <c r="M10" s="125" t="e">
        <f t="shared" ca="1" si="2"/>
        <v>#REF!</v>
      </c>
      <c r="N10" s="125" t="e">
        <f t="shared" ca="1" si="2"/>
        <v>#REF!</v>
      </c>
      <c r="O10" s="73" t="e">
        <f t="shared" ca="1" si="2"/>
        <v>#REF!</v>
      </c>
      <c r="P10" s="73" t="e">
        <f t="shared" ca="1" si="2"/>
        <v>#REF!</v>
      </c>
      <c r="Q10" s="73" t="e">
        <f t="shared" ca="1" si="2"/>
        <v>#REF!</v>
      </c>
      <c r="R10" s="73" t="e">
        <f t="shared" ca="1" si="2"/>
        <v>#REF!</v>
      </c>
      <c r="S10" s="73" t="e">
        <f t="shared" ca="1" si="2"/>
        <v>#REF!</v>
      </c>
      <c r="T10" s="73" t="e">
        <f t="shared" ca="1" si="2"/>
        <v>#REF!</v>
      </c>
      <c r="U10" s="73" t="e">
        <f t="shared" ca="1" si="2"/>
        <v>#REF!</v>
      </c>
      <c r="V10" s="73" t="e">
        <f t="shared" ca="1" si="2"/>
        <v>#REF!</v>
      </c>
      <c r="W10" s="73" t="e">
        <f t="shared" ca="1" si="2"/>
        <v>#REF!</v>
      </c>
      <c r="X10" s="73" t="e">
        <f t="shared" ca="1" si="2"/>
        <v>#REF!</v>
      </c>
      <c r="Y10" s="36"/>
    </row>
    <row r="11" spans="1:25" x14ac:dyDescent="0.2">
      <c r="A11" s="225" t="s">
        <v>326</v>
      </c>
      <c r="B11" s="69"/>
      <c r="C11"/>
      <c r="D11" s="69" t="e">
        <f>SUM(D$88,D$99,D$103,D$112,D$116,D$122,D$128,D$137,$D$143:D$143)</f>
        <v>#REF!</v>
      </c>
      <c r="E11" s="69" t="e">
        <f>SUM(E$88,E$99,E$103,E$112,E$116,E$122,E$128,E$137,$D$143:E$143)</f>
        <v>#REF!</v>
      </c>
      <c r="F11" s="69" t="e">
        <f>SUM(F$88,F$99,F$103,F$112,F$116,F$122,F$128,F$137,$D$143:F$143)</f>
        <v>#REF!</v>
      </c>
      <c r="G11" s="69" t="e">
        <f>SUM(G$88,G$99,G$103,G$112,G$116,G$122,G$128,G$137,$D$143:G$143)</f>
        <v>#REF!</v>
      </c>
      <c r="H11" s="69" t="e">
        <f>SUM(H$88,H$99,H$103,H$112,H$116,H$122,H$128,H$137,$D$143:H$143)</f>
        <v>#REF!</v>
      </c>
      <c r="I11" s="69" t="e">
        <f>SUM(I$88,I$99,I$103,I$112,I$116,I$122,I$128,I$137,$D$143:I$143)</f>
        <v>#REF!</v>
      </c>
      <c r="J11" s="125" t="e">
        <f ca="1">SUM(J$88,J$99,J$103,J$112,J$116,J$122,J$128,J$137,$D$143:J$143)</f>
        <v>#REF!</v>
      </c>
      <c r="K11" s="125" t="e">
        <f ca="1">SUM(K$88,K$99,K$103,K$112,K$116,K$122,K$128,K$137,$D$143:K$143)</f>
        <v>#REF!</v>
      </c>
      <c r="L11" s="125" t="e">
        <f ca="1">SUM(L$88,L$99,L$103,L$112,L$116,L$122,L$128,L$137,$D$143:L$143)</f>
        <v>#REF!</v>
      </c>
      <c r="M11" s="125" t="e">
        <f ca="1">SUM(M$88,M$99,M$103,M$112,M$116,M$122,M$128,M$137,$D$143:M$143)</f>
        <v>#REF!</v>
      </c>
      <c r="N11" s="125" t="e">
        <f ca="1">SUM(N$88,N$99,N$103,N$112,N$116,N$122,N$128,N$137,$D$143:N$143)</f>
        <v>#REF!</v>
      </c>
      <c r="O11" s="73" t="e">
        <f ca="1">SUM(O$88,O$99,O$103,O$112,O$116,O$122,O$128,O$137,$D$143:O$143)</f>
        <v>#REF!</v>
      </c>
      <c r="P11" s="73" t="e">
        <f ca="1">SUM(P$88,P$99,P$103,P$112,P$116,P$122,P$128,P$137,$D$143:P$143)</f>
        <v>#REF!</v>
      </c>
      <c r="Q11" s="73" t="e">
        <f ca="1">SUM(Q$88,Q$99,Q$103,Q$112,Q$116,Q$122,Q$128,Q$137,$D$143:Q$143)</f>
        <v>#REF!</v>
      </c>
      <c r="R11" s="73" t="e">
        <f ca="1">SUM(R$88,R$99,R$103,R$112,R$116,R$122,R$128,R$137,$D$143:R$143)</f>
        <v>#REF!</v>
      </c>
      <c r="S11" s="73" t="e">
        <f ca="1">SUM(S$88,S$99,S$103,S$112,S$116,S$122,S$128,S$137,$D$143:S$143)</f>
        <v>#REF!</v>
      </c>
      <c r="T11" s="73" t="e">
        <f ca="1">SUM(T$88,T$99,T$103,T$112,T$116,T$122,T$128,T$137,$D$143:T$143)</f>
        <v>#REF!</v>
      </c>
      <c r="U11" s="73" t="e">
        <f ca="1">SUM(U$88,U$99,U$103,U$112,U$116,U$122,U$128,U$137,$D$143:U$143)</f>
        <v>#REF!</v>
      </c>
      <c r="V11" s="73" t="e">
        <f ca="1">SUM(V$88,V$99,V$103,V$112,V$116,V$122,V$128,V$137,$D$143:V$143)</f>
        <v>#REF!</v>
      </c>
      <c r="W11" s="73" t="e">
        <f ca="1">SUM(W$88,W$99,W$103,W$112,W$116,W$122,W$128,W$137,$D$143:W$143)</f>
        <v>#REF!</v>
      </c>
      <c r="X11" s="73" t="e">
        <f ca="1">SUM(X$88,X$99,X$103,X$112,X$116,X$122,X$128,X$137,$D$143:X$143)</f>
        <v>#REF!</v>
      </c>
      <c r="Y11" s="36"/>
    </row>
    <row r="12" spans="1:25" x14ac:dyDescent="0.2">
      <c r="A12" s="225" t="s">
        <v>904</v>
      </c>
      <c r="B12" s="233"/>
      <c r="C12"/>
      <c r="D12" s="69" t="e">
        <f>#REF!</f>
        <v>#REF!</v>
      </c>
      <c r="E12" s="69" t="e">
        <f>#REF!</f>
        <v>#REF!</v>
      </c>
      <c r="F12" s="69" t="e">
        <f>#REF!</f>
        <v>#REF!</v>
      </c>
      <c r="G12" s="69" t="e">
        <f>#REF!</f>
        <v>#REF!</v>
      </c>
      <c r="H12" s="69" t="e">
        <f>#REF!</f>
        <v>#REF!</v>
      </c>
      <c r="I12" s="69" t="e">
        <f>#REF!</f>
        <v>#REF!</v>
      </c>
      <c r="J12" s="125" t="e">
        <f>#REF!</f>
        <v>#REF!</v>
      </c>
      <c r="K12" s="125" t="e">
        <f>#REF!</f>
        <v>#REF!</v>
      </c>
      <c r="L12" s="125" t="e">
        <f>#REF!</f>
        <v>#REF!</v>
      </c>
      <c r="M12" s="125" t="e">
        <f>#REF!</f>
        <v>#REF!</v>
      </c>
      <c r="N12" s="125" t="e">
        <f>#REF!</f>
        <v>#REF!</v>
      </c>
      <c r="O12" s="73" t="e">
        <f t="shared" ref="O12:X12" ca="1" si="3">N$12*O$159/N$159</f>
        <v>#REF!</v>
      </c>
      <c r="P12" s="73" t="e">
        <f t="shared" ca="1" si="3"/>
        <v>#REF!</v>
      </c>
      <c r="Q12" s="73" t="e">
        <f t="shared" ca="1" si="3"/>
        <v>#REF!</v>
      </c>
      <c r="R12" s="73" t="e">
        <f t="shared" ca="1" si="3"/>
        <v>#REF!</v>
      </c>
      <c r="S12" s="73" t="e">
        <f t="shared" ca="1" si="3"/>
        <v>#REF!</v>
      </c>
      <c r="T12" s="73" t="e">
        <f t="shared" ca="1" si="3"/>
        <v>#REF!</v>
      </c>
      <c r="U12" s="73" t="e">
        <f t="shared" ca="1" si="3"/>
        <v>#REF!</v>
      </c>
      <c r="V12" s="73" t="e">
        <f t="shared" ca="1" si="3"/>
        <v>#REF!</v>
      </c>
      <c r="W12" s="73" t="e">
        <f t="shared" ca="1" si="3"/>
        <v>#REF!</v>
      </c>
      <c r="X12" s="73" t="e">
        <f t="shared" ca="1" si="3"/>
        <v>#REF!</v>
      </c>
      <c r="Y12" s="36"/>
    </row>
    <row r="13" spans="1:25" x14ac:dyDescent="0.2">
      <c r="A13" s="225" t="s">
        <v>322</v>
      </c>
      <c r="B13" s="69"/>
      <c r="C13"/>
      <c r="D13" s="69" t="e">
        <f>D$9-SUM(D$10,D$12)</f>
        <v>#REF!</v>
      </c>
      <c r="E13" s="69" t="e">
        <f t="shared" ref="E13:X13" si="4">E$9-SUM(E$10,E$12)</f>
        <v>#REF!</v>
      </c>
      <c r="F13" s="69" t="e">
        <f t="shared" si="4"/>
        <v>#REF!</v>
      </c>
      <c r="G13" s="69" t="e">
        <f t="shared" si="4"/>
        <v>#REF!</v>
      </c>
      <c r="H13" s="69" t="e">
        <f t="shared" si="4"/>
        <v>#REF!</v>
      </c>
      <c r="I13" s="69" t="e">
        <f t="shared" si="4"/>
        <v>#REF!</v>
      </c>
      <c r="J13" s="125" t="e">
        <f t="shared" ca="1" si="4"/>
        <v>#REF!</v>
      </c>
      <c r="K13" s="125" t="e">
        <f t="shared" ca="1" si="4"/>
        <v>#REF!</v>
      </c>
      <c r="L13" s="125" t="e">
        <f ca="1">L$9-SUM(L$10,L$12)</f>
        <v>#REF!</v>
      </c>
      <c r="M13" s="125" t="e">
        <f t="shared" ca="1" si="4"/>
        <v>#REF!</v>
      </c>
      <c r="N13" s="125" t="e">
        <f t="shared" ca="1" si="4"/>
        <v>#REF!</v>
      </c>
      <c r="O13" s="73" t="e">
        <f t="shared" ca="1" si="4"/>
        <v>#N/A</v>
      </c>
      <c r="P13" s="73" t="e">
        <f t="shared" ca="1" si="4"/>
        <v>#N/A</v>
      </c>
      <c r="Q13" s="73" t="e">
        <f t="shared" ca="1" si="4"/>
        <v>#N/A</v>
      </c>
      <c r="R13" s="73" t="e">
        <f t="shared" ca="1" si="4"/>
        <v>#N/A</v>
      </c>
      <c r="S13" s="73" t="e">
        <f t="shared" ca="1" si="4"/>
        <v>#N/A</v>
      </c>
      <c r="T13" s="73" t="e">
        <f t="shared" ca="1" si="4"/>
        <v>#N/A</v>
      </c>
      <c r="U13" s="73" t="e">
        <f t="shared" ca="1" si="4"/>
        <v>#N/A</v>
      </c>
      <c r="V13" s="73" t="e">
        <f t="shared" ca="1" si="4"/>
        <v>#N/A</v>
      </c>
      <c r="W13" s="73" t="e">
        <f t="shared" ca="1" si="4"/>
        <v>#N/A</v>
      </c>
      <c r="X13" s="73" t="e">
        <f t="shared" ca="1" si="4"/>
        <v>#N/A</v>
      </c>
      <c r="Y13" s="36"/>
    </row>
    <row r="14" spans="1:25" x14ac:dyDescent="0.2">
      <c r="A14" s="225" t="s">
        <v>567</v>
      </c>
      <c r="B14" s="233"/>
      <c r="C14"/>
      <c r="D14" s="69" t="e">
        <f>SUM(#REF!)</f>
        <v>#REF!</v>
      </c>
      <c r="E14" s="69" t="e">
        <f>SUM(#REF!)</f>
        <v>#REF!</v>
      </c>
      <c r="F14" s="69" t="e">
        <f>SUM(#REF!)</f>
        <v>#REF!</v>
      </c>
      <c r="G14" s="69" t="e">
        <f>SUM(#REF!)</f>
        <v>#REF!</v>
      </c>
      <c r="H14" s="69" t="e">
        <f>SUM(#REF!)</f>
        <v>#REF!</v>
      </c>
      <c r="I14" s="69" t="e">
        <f>SUM(#REF!)</f>
        <v>#REF!</v>
      </c>
      <c r="J14" s="125" t="e">
        <f>SUM(#REF!) + IF($L$1="Yes",J$335,0)</f>
        <v>#REF!</v>
      </c>
      <c r="K14" s="125" t="e">
        <f>SUM(#REF!) + IF($L$1="Yes",K$335,0)</f>
        <v>#REF!</v>
      </c>
      <c r="L14" s="125" t="e">
        <f>SUM(#REF!) + IF($L$1="Yes",L$335,0)</f>
        <v>#REF!</v>
      </c>
      <c r="M14" s="125" t="e">
        <f>SUM(#REF!) + IF($L$1="Yes",M$335,0)</f>
        <v>#REF!</v>
      </c>
      <c r="N14" s="125" t="e">
        <f>SUM(#REF!) + IF($L$1="Yes",N$335,0)</f>
        <v>#REF!</v>
      </c>
      <c r="O14" s="73" t="e">
        <f t="shared" ref="O14:X14" ca="1" si="5">SUM(N$14,(O$166-N$166),(N$14-N$23)*O$238)</f>
        <v>#REF!</v>
      </c>
      <c r="P14" s="73" t="e">
        <f t="shared" ca="1" si="5"/>
        <v>#REF!</v>
      </c>
      <c r="Q14" s="73" t="e">
        <f t="shared" ca="1" si="5"/>
        <v>#REF!</v>
      </c>
      <c r="R14" s="73" t="e">
        <f t="shared" ca="1" si="5"/>
        <v>#REF!</v>
      </c>
      <c r="S14" s="73" t="e">
        <f t="shared" ca="1" si="5"/>
        <v>#REF!</v>
      </c>
      <c r="T14" s="73" t="e">
        <f t="shared" ca="1" si="5"/>
        <v>#REF!</v>
      </c>
      <c r="U14" s="73" t="e">
        <f t="shared" ca="1" si="5"/>
        <v>#REF!</v>
      </c>
      <c r="V14" s="73" t="e">
        <f t="shared" ca="1" si="5"/>
        <v>#REF!</v>
      </c>
      <c r="W14" s="73" t="e">
        <f t="shared" ca="1" si="5"/>
        <v>#REF!</v>
      </c>
      <c r="X14" s="73" t="e">
        <f t="shared" ca="1" si="5"/>
        <v>#REF!</v>
      </c>
      <c r="Y14" s="36"/>
    </row>
    <row r="15" spans="1:25" x14ac:dyDescent="0.2">
      <c r="A15" s="225" t="s">
        <v>129</v>
      </c>
      <c r="B15" s="70"/>
      <c r="C15"/>
      <c r="D15" s="69" t="e">
        <f t="shared" ref="D15:X15" si="6">SUM(D$13,D$14)</f>
        <v>#REF!</v>
      </c>
      <c r="E15" s="69" t="e">
        <f t="shared" si="6"/>
        <v>#REF!</v>
      </c>
      <c r="F15" s="69" t="e">
        <f t="shared" si="6"/>
        <v>#REF!</v>
      </c>
      <c r="G15" s="69" t="e">
        <f t="shared" si="6"/>
        <v>#REF!</v>
      </c>
      <c r="H15" s="69" t="e">
        <f t="shared" si="6"/>
        <v>#REF!</v>
      </c>
      <c r="I15" s="69" t="e">
        <f t="shared" si="6"/>
        <v>#REF!</v>
      </c>
      <c r="J15" s="125" t="e">
        <f t="shared" ca="1" si="6"/>
        <v>#REF!</v>
      </c>
      <c r="K15" s="125" t="e">
        <f t="shared" ca="1" si="6"/>
        <v>#REF!</v>
      </c>
      <c r="L15" s="125" t="e">
        <f t="shared" ca="1" si="6"/>
        <v>#REF!</v>
      </c>
      <c r="M15" s="125" t="e">
        <f t="shared" ca="1" si="6"/>
        <v>#REF!</v>
      </c>
      <c r="N15" s="125" t="e">
        <f t="shared" ca="1" si="6"/>
        <v>#REF!</v>
      </c>
      <c r="O15" s="73" t="e">
        <f t="shared" ca="1" si="6"/>
        <v>#N/A</v>
      </c>
      <c r="P15" s="73" t="e">
        <f t="shared" ca="1" si="6"/>
        <v>#N/A</v>
      </c>
      <c r="Q15" s="73" t="e">
        <f t="shared" ca="1" si="6"/>
        <v>#N/A</v>
      </c>
      <c r="R15" s="73" t="e">
        <f t="shared" ca="1" si="6"/>
        <v>#N/A</v>
      </c>
      <c r="S15" s="73" t="e">
        <f t="shared" ca="1" si="6"/>
        <v>#N/A</v>
      </c>
      <c r="T15" s="73" t="e">
        <f t="shared" ca="1" si="6"/>
        <v>#N/A</v>
      </c>
      <c r="U15" s="73" t="e">
        <f t="shared" ca="1" si="6"/>
        <v>#N/A</v>
      </c>
      <c r="V15" s="73" t="e">
        <f t="shared" ca="1" si="6"/>
        <v>#N/A</v>
      </c>
      <c r="W15" s="73" t="e">
        <f t="shared" ca="1" si="6"/>
        <v>#N/A</v>
      </c>
      <c r="X15" s="73" t="e">
        <f t="shared" ca="1" si="6"/>
        <v>#N/A</v>
      </c>
      <c r="Y15" s="36"/>
    </row>
    <row r="16" spans="1:25" x14ac:dyDescent="0.2">
      <c r="A16" s="27" t="s">
        <v>161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36"/>
    </row>
    <row r="17" spans="1:25" x14ac:dyDescent="0.2">
      <c r="A17" s="225" t="s">
        <v>681</v>
      </c>
      <c r="B17" s="69"/>
      <c r="C17"/>
      <c r="D17" s="69" t="e">
        <f t="shared" ref="D17:X17" si="7">D$54</f>
        <v>#REF!</v>
      </c>
      <c r="E17" s="69" t="e">
        <f t="shared" si="7"/>
        <v>#REF!</v>
      </c>
      <c r="F17" s="69" t="e">
        <f t="shared" si="7"/>
        <v>#REF!</v>
      </c>
      <c r="G17" s="69" t="e">
        <f t="shared" si="7"/>
        <v>#REF!</v>
      </c>
      <c r="H17" s="69" t="e">
        <f t="shared" si="7"/>
        <v>#REF!</v>
      </c>
      <c r="I17" s="69" t="e">
        <f t="shared" si="7"/>
        <v>#REF!</v>
      </c>
      <c r="J17" s="125" t="e">
        <f t="shared" ca="1" si="7"/>
        <v>#REF!</v>
      </c>
      <c r="K17" s="125" t="e">
        <f t="shared" ca="1" si="7"/>
        <v>#REF!</v>
      </c>
      <c r="L17" s="125" t="e">
        <f t="shared" ca="1" si="7"/>
        <v>#REF!</v>
      </c>
      <c r="M17" s="125" t="e">
        <f t="shared" ca="1" si="7"/>
        <v>#REF!</v>
      </c>
      <c r="N17" s="125" t="e">
        <f t="shared" ca="1" si="7"/>
        <v>#REF!</v>
      </c>
      <c r="O17" s="73" t="e">
        <f t="shared" ca="1" si="7"/>
        <v>#N/A</v>
      </c>
      <c r="P17" s="73" t="e">
        <f t="shared" ca="1" si="7"/>
        <v>#N/A</v>
      </c>
      <c r="Q17" s="73" t="e">
        <f t="shared" ca="1" si="7"/>
        <v>#N/A</v>
      </c>
      <c r="R17" s="73" t="e">
        <f t="shared" ca="1" si="7"/>
        <v>#N/A</v>
      </c>
      <c r="S17" s="73" t="e">
        <f t="shared" ca="1" si="7"/>
        <v>#N/A</v>
      </c>
      <c r="T17" s="73" t="e">
        <f t="shared" ca="1" si="7"/>
        <v>#N/A</v>
      </c>
      <c r="U17" s="73" t="e">
        <f t="shared" ca="1" si="7"/>
        <v>#N/A</v>
      </c>
      <c r="V17" s="73" t="e">
        <f t="shared" ca="1" si="7"/>
        <v>#N/A</v>
      </c>
      <c r="W17" s="73" t="e">
        <f t="shared" ca="1" si="7"/>
        <v>#N/A</v>
      </c>
      <c r="X17" s="73" t="e">
        <f t="shared" ca="1" si="7"/>
        <v>#N/A</v>
      </c>
      <c r="Y17" s="36"/>
    </row>
    <row r="18" spans="1:25" x14ac:dyDescent="0.2">
      <c r="A18" s="225" t="s">
        <v>320</v>
      </c>
      <c r="B18" s="69"/>
      <c r="C18"/>
      <c r="D18" s="69" t="e">
        <f t="shared" ref="D18:X18" si="8">SUM(D$17,D$59,D$70)</f>
        <v>#REF!</v>
      </c>
      <c r="E18" s="69" t="e">
        <f t="shared" si="8"/>
        <v>#REF!</v>
      </c>
      <c r="F18" s="69" t="e">
        <f t="shared" si="8"/>
        <v>#REF!</v>
      </c>
      <c r="G18" s="69" t="e">
        <f t="shared" si="8"/>
        <v>#REF!</v>
      </c>
      <c r="H18" s="69" t="e">
        <f t="shared" si="8"/>
        <v>#REF!</v>
      </c>
      <c r="I18" s="69" t="e">
        <f t="shared" si="8"/>
        <v>#REF!</v>
      </c>
      <c r="J18" s="125" t="e">
        <f t="shared" ca="1" si="8"/>
        <v>#REF!</v>
      </c>
      <c r="K18" s="125" t="e">
        <f t="shared" ca="1" si="8"/>
        <v>#REF!</v>
      </c>
      <c r="L18" s="125" t="e">
        <f t="shared" ca="1" si="8"/>
        <v>#REF!</v>
      </c>
      <c r="M18" s="125" t="e">
        <f t="shared" ca="1" si="8"/>
        <v>#REF!</v>
      </c>
      <c r="N18" s="125" t="e">
        <f t="shared" ca="1" si="8"/>
        <v>#REF!</v>
      </c>
      <c r="O18" s="73" t="e">
        <f t="shared" ca="1" si="8"/>
        <v>#N/A</v>
      </c>
      <c r="P18" s="73" t="e">
        <f t="shared" ca="1" si="8"/>
        <v>#N/A</v>
      </c>
      <c r="Q18" s="73" t="e">
        <f t="shared" ca="1" si="8"/>
        <v>#N/A</v>
      </c>
      <c r="R18" s="73" t="e">
        <f t="shared" ca="1" si="8"/>
        <v>#N/A</v>
      </c>
      <c r="S18" s="73" t="e">
        <f t="shared" ca="1" si="8"/>
        <v>#N/A</v>
      </c>
      <c r="T18" s="73" t="e">
        <f t="shared" ca="1" si="8"/>
        <v>#N/A</v>
      </c>
      <c r="U18" s="73" t="e">
        <f t="shared" ca="1" si="8"/>
        <v>#N/A</v>
      </c>
      <c r="V18" s="73" t="e">
        <f t="shared" ca="1" si="8"/>
        <v>#N/A</v>
      </c>
      <c r="W18" s="73" t="e">
        <f t="shared" ca="1" si="8"/>
        <v>#N/A</v>
      </c>
      <c r="X18" s="73" t="e">
        <f t="shared" ca="1" si="8"/>
        <v>#N/A</v>
      </c>
      <c r="Y18" s="36"/>
    </row>
    <row r="19" spans="1:25" x14ac:dyDescent="0.2">
      <c r="A19" s="225" t="s">
        <v>321</v>
      </c>
      <c r="B19" s="69"/>
      <c r="C19"/>
      <c r="D19" s="69" t="e">
        <f>SUM(D$20,D$140)</f>
        <v>#REF!</v>
      </c>
      <c r="E19" s="69" t="e">
        <f t="shared" ref="E19:X19" si="9">SUM(E$20,E$140)</f>
        <v>#REF!</v>
      </c>
      <c r="F19" s="69" t="e">
        <f t="shared" si="9"/>
        <v>#REF!</v>
      </c>
      <c r="G19" s="69" t="e">
        <f t="shared" si="9"/>
        <v>#REF!</v>
      </c>
      <c r="H19" s="69" t="e">
        <f t="shared" si="9"/>
        <v>#REF!</v>
      </c>
      <c r="I19" s="69" t="e">
        <f t="shared" si="9"/>
        <v>#REF!</v>
      </c>
      <c r="J19" s="272" t="e">
        <f t="shared" ca="1" si="9"/>
        <v>#REF!</v>
      </c>
      <c r="K19" s="272" t="e">
        <f t="shared" ca="1" si="9"/>
        <v>#REF!</v>
      </c>
      <c r="L19" s="272" t="e">
        <f t="shared" ca="1" si="9"/>
        <v>#REF!</v>
      </c>
      <c r="M19" s="272" t="e">
        <f t="shared" ca="1" si="9"/>
        <v>#REF!</v>
      </c>
      <c r="N19" s="272" t="e">
        <f t="shared" ca="1" si="9"/>
        <v>#REF!</v>
      </c>
      <c r="O19" s="267" t="e">
        <f t="shared" ca="1" si="9"/>
        <v>#REF!</v>
      </c>
      <c r="P19" s="267" t="e">
        <f t="shared" ca="1" si="9"/>
        <v>#REF!</v>
      </c>
      <c r="Q19" s="267" t="e">
        <f t="shared" ca="1" si="9"/>
        <v>#REF!</v>
      </c>
      <c r="R19" s="267" t="e">
        <f t="shared" ca="1" si="9"/>
        <v>#REF!</v>
      </c>
      <c r="S19" s="267" t="e">
        <f t="shared" ca="1" si="9"/>
        <v>#REF!</v>
      </c>
      <c r="T19" s="267" t="e">
        <f t="shared" ca="1" si="9"/>
        <v>#REF!</v>
      </c>
      <c r="U19" s="267" t="e">
        <f t="shared" ca="1" si="9"/>
        <v>#REF!</v>
      </c>
      <c r="V19" s="267" t="e">
        <f t="shared" ca="1" si="9"/>
        <v>#REF!</v>
      </c>
      <c r="W19" s="267" t="e">
        <f t="shared" ca="1" si="9"/>
        <v>#REF!</v>
      </c>
      <c r="X19" s="267" t="e">
        <f t="shared" ca="1" si="9"/>
        <v>#REF!</v>
      </c>
      <c r="Y19" s="36"/>
    </row>
    <row r="20" spans="1:25" x14ac:dyDescent="0.2">
      <c r="A20" s="225" t="s">
        <v>326</v>
      </c>
      <c r="B20" s="69"/>
      <c r="C20"/>
      <c r="D20" s="271" t="e">
        <f>SUM(D$86,D$98,D$102,D$111,D$115,D$121,D$127,D$136,$D$143:D$143)</f>
        <v>#REF!</v>
      </c>
      <c r="E20" s="271" t="e">
        <f>SUM(E$86,E$98,E$102,E$111,E$115,E$121,E$127,E$136,$D$143:E$143)</f>
        <v>#REF!</v>
      </c>
      <c r="F20" s="271" t="e">
        <f>SUM(F$86,F$98,F$102,F$111,F$115,F$121,F$127,F$136,$D$143:F$143)</f>
        <v>#REF!</v>
      </c>
      <c r="G20" s="271" t="e">
        <f>SUM(G$86,G$98,G$102,G$111,G$115,G$121,G$127,G$136,$D$143:G$143)</f>
        <v>#REF!</v>
      </c>
      <c r="H20" s="271" t="e">
        <f>SUM(H$86,H$98,H$102,H$111,H$115,H$121,H$127,H$136,$D$143:H$143)</f>
        <v>#REF!</v>
      </c>
      <c r="I20" s="271" t="e">
        <f>SUM(I$86,I$98,I$102,I$111,I$115,I$121,I$127,I$136,$D$143:I$143)</f>
        <v>#REF!</v>
      </c>
      <c r="J20" s="272" t="e">
        <f ca="1">SUM(J$86,J$98,J$102,J$111,J$115,J$121,J$127,J$136,$D$143:J$143)</f>
        <v>#REF!</v>
      </c>
      <c r="K20" s="272" t="e">
        <f ca="1">SUM(K$86,K$98,K$102,K$111,K$115,K$121,K$127,K$136,$D$143:K$143)</f>
        <v>#REF!</v>
      </c>
      <c r="L20" s="272" t="e">
        <f ca="1">SUM(L$86,L$98,L$102,L$111,L$115,L$121,L$127,L$136,$D$143:L$143)</f>
        <v>#REF!</v>
      </c>
      <c r="M20" s="272" t="e">
        <f ca="1">SUM(M$86,M$98,M$102,M$111,M$115,M$121,M$127,M$136,$D$143:M$143)</f>
        <v>#REF!</v>
      </c>
      <c r="N20" s="272" t="e">
        <f ca="1">SUM(N$86,N$98,N$102,N$111,N$115,N$121,N$127,N$136,$D$143:N$143)</f>
        <v>#REF!</v>
      </c>
      <c r="O20" s="267" t="e">
        <f ca="1">SUM(O$86,O$98,O$102,O$111,O$115,O$121,O$127,O$136,$D$143:O$143)</f>
        <v>#REF!</v>
      </c>
      <c r="P20" s="267" t="e">
        <f ca="1">SUM(P$86,P$98,P$102,P$111,P$115,P$121,P$127,P$136,$D$143:P$143)</f>
        <v>#REF!</v>
      </c>
      <c r="Q20" s="267" t="e">
        <f ca="1">SUM(Q$86,Q$98,Q$102,Q$111,Q$115,Q$121,Q$127,Q$136,$D$143:Q$143)</f>
        <v>#REF!</v>
      </c>
      <c r="R20" s="267" t="e">
        <f ca="1">SUM(R$86,R$98,R$102,R$111,R$115,R$121,R$127,R$136,$D$143:R$143)</f>
        <v>#REF!</v>
      </c>
      <c r="S20" s="267" t="e">
        <f ca="1">SUM(S$86,S$98,S$102,S$111,S$115,S$121,S$127,S$136,$D$143:S$143)</f>
        <v>#REF!</v>
      </c>
      <c r="T20" s="267" t="e">
        <f ca="1">SUM(T$86,T$98,T$102,T$111,T$115,T$121,T$127,T$136,$D$143:T$143)</f>
        <v>#REF!</v>
      </c>
      <c r="U20" s="267" t="e">
        <f ca="1">SUM(U$86,U$98,U$102,U$111,U$115,U$121,U$127,U$136,$D$143:U$143)</f>
        <v>#REF!</v>
      </c>
      <c r="V20" s="267" t="e">
        <f ca="1">SUM(V$86,V$98,V$102,V$111,V$115,V$121,V$127,V$136,$D$143:V$143)</f>
        <v>#REF!</v>
      </c>
      <c r="W20" s="267" t="e">
        <f ca="1">SUM(W$86,W$98,W$102,W$111,W$115,W$121,W$127,W$136,$D$143:W$143)</f>
        <v>#REF!</v>
      </c>
      <c r="X20" s="267" t="e">
        <f ca="1">SUM(X$86,X$98,X$102,X$111,X$115,X$121,X$127,X$136,$D$143:X$143)</f>
        <v>#REF!</v>
      </c>
      <c r="Y20" s="36"/>
    </row>
    <row r="21" spans="1:25" x14ac:dyDescent="0.2">
      <c r="A21" s="225" t="s">
        <v>822</v>
      </c>
      <c r="B21" s="69"/>
      <c r="C21"/>
      <c r="D21" s="271" t="e">
        <f t="shared" ref="D21:X21" si="10">D$19-SUM(D$86,D$140)</f>
        <v>#REF!</v>
      </c>
      <c r="E21" s="271" t="e">
        <f t="shared" si="10"/>
        <v>#REF!</v>
      </c>
      <c r="F21" s="271" t="e">
        <f t="shared" si="10"/>
        <v>#REF!</v>
      </c>
      <c r="G21" s="271" t="e">
        <f t="shared" si="10"/>
        <v>#REF!</v>
      </c>
      <c r="H21" s="271" t="e">
        <f t="shared" si="10"/>
        <v>#REF!</v>
      </c>
      <c r="I21" s="271" t="e">
        <f t="shared" si="10"/>
        <v>#REF!</v>
      </c>
      <c r="J21" s="272" t="e">
        <f t="shared" ca="1" si="10"/>
        <v>#REF!</v>
      </c>
      <c r="K21" s="272" t="e">
        <f t="shared" ca="1" si="10"/>
        <v>#REF!</v>
      </c>
      <c r="L21" s="272" t="e">
        <f t="shared" ca="1" si="10"/>
        <v>#REF!</v>
      </c>
      <c r="M21" s="272" t="e">
        <f t="shared" ca="1" si="10"/>
        <v>#REF!</v>
      </c>
      <c r="N21" s="272" t="e">
        <f t="shared" ca="1" si="10"/>
        <v>#REF!</v>
      </c>
      <c r="O21" s="267" t="e">
        <f t="shared" ca="1" si="10"/>
        <v>#REF!</v>
      </c>
      <c r="P21" s="267" t="e">
        <f t="shared" ca="1" si="10"/>
        <v>#REF!</v>
      </c>
      <c r="Q21" s="267" t="e">
        <f t="shared" ca="1" si="10"/>
        <v>#REF!</v>
      </c>
      <c r="R21" s="267" t="e">
        <f t="shared" ca="1" si="10"/>
        <v>#REF!</v>
      </c>
      <c r="S21" s="267" t="e">
        <f t="shared" ca="1" si="10"/>
        <v>#REF!</v>
      </c>
      <c r="T21" s="267" t="e">
        <f t="shared" ca="1" si="10"/>
        <v>#REF!</v>
      </c>
      <c r="U21" s="267" t="e">
        <f t="shared" ca="1" si="10"/>
        <v>#REF!</v>
      </c>
      <c r="V21" s="267" t="e">
        <f t="shared" ca="1" si="10"/>
        <v>#REF!</v>
      </c>
      <c r="W21" s="267" t="e">
        <f t="shared" ca="1" si="10"/>
        <v>#REF!</v>
      </c>
      <c r="X21" s="267" t="e">
        <f t="shared" ca="1" si="10"/>
        <v>#REF!</v>
      </c>
      <c r="Y21" s="36"/>
    </row>
    <row r="22" spans="1:25" x14ac:dyDescent="0.2">
      <c r="A22" s="225" t="s">
        <v>322</v>
      </c>
      <c r="B22" s="69"/>
      <c r="C22"/>
      <c r="D22" s="271" t="e">
        <f>D$18-D$19</f>
        <v>#REF!</v>
      </c>
      <c r="E22" s="271" t="e">
        <f t="shared" ref="E22:X22" si="11">E$18-E$19</f>
        <v>#REF!</v>
      </c>
      <c r="F22" s="271" t="e">
        <f t="shared" si="11"/>
        <v>#REF!</v>
      </c>
      <c r="G22" s="271" t="e">
        <f t="shared" si="11"/>
        <v>#REF!</v>
      </c>
      <c r="H22" s="271" t="e">
        <f t="shared" si="11"/>
        <v>#REF!</v>
      </c>
      <c r="I22" s="271" t="e">
        <f t="shared" si="11"/>
        <v>#REF!</v>
      </c>
      <c r="J22" s="125" t="e">
        <f t="shared" ca="1" si="11"/>
        <v>#REF!</v>
      </c>
      <c r="K22" s="125" t="e">
        <f t="shared" ca="1" si="11"/>
        <v>#REF!</v>
      </c>
      <c r="L22" s="125" t="e">
        <f t="shared" ca="1" si="11"/>
        <v>#REF!</v>
      </c>
      <c r="M22" s="125" t="e">
        <f t="shared" ca="1" si="11"/>
        <v>#REF!</v>
      </c>
      <c r="N22" s="125" t="e">
        <f t="shared" ca="1" si="11"/>
        <v>#REF!</v>
      </c>
      <c r="O22" s="73" t="e">
        <f t="shared" ca="1" si="11"/>
        <v>#N/A</v>
      </c>
      <c r="P22" s="73" t="e">
        <f t="shared" ca="1" si="11"/>
        <v>#N/A</v>
      </c>
      <c r="Q22" s="73" t="e">
        <f t="shared" ca="1" si="11"/>
        <v>#N/A</v>
      </c>
      <c r="R22" s="73" t="e">
        <f t="shared" ca="1" si="11"/>
        <v>#N/A</v>
      </c>
      <c r="S22" s="73" t="e">
        <f t="shared" ca="1" si="11"/>
        <v>#N/A</v>
      </c>
      <c r="T22" s="73" t="e">
        <f t="shared" ca="1" si="11"/>
        <v>#N/A</v>
      </c>
      <c r="U22" s="73" t="e">
        <f t="shared" ca="1" si="11"/>
        <v>#N/A</v>
      </c>
      <c r="V22" s="73" t="e">
        <f t="shared" ca="1" si="11"/>
        <v>#N/A</v>
      </c>
      <c r="W22" s="73" t="e">
        <f t="shared" ca="1" si="11"/>
        <v>#N/A</v>
      </c>
      <c r="X22" s="73" t="e">
        <f t="shared" ca="1" si="11"/>
        <v>#N/A</v>
      </c>
      <c r="Y22" s="36"/>
    </row>
    <row r="23" spans="1:25" x14ac:dyDescent="0.2">
      <c r="A23" s="225" t="s">
        <v>567</v>
      </c>
      <c r="B23" s="233"/>
      <c r="C23"/>
      <c r="D23" s="69" t="e">
        <f>SUM(#REF!)</f>
        <v>#REF!</v>
      </c>
      <c r="E23" s="69" t="e">
        <f>SUM(#REF!)</f>
        <v>#REF!</v>
      </c>
      <c r="F23" s="69" t="e">
        <f>SUM(#REF!)</f>
        <v>#REF!</v>
      </c>
      <c r="G23" s="69" t="e">
        <f>SUM(#REF!)</f>
        <v>#REF!</v>
      </c>
      <c r="H23" s="69" t="e">
        <f>SUM(#REF!)</f>
        <v>#REF!</v>
      </c>
      <c r="I23" s="69" t="e">
        <f>SUM(#REF!)</f>
        <v>#REF!</v>
      </c>
      <c r="J23" s="125" t="e">
        <f>SUM(#REF!) + IF($L$1="Yes",J$335,0)</f>
        <v>#REF!</v>
      </c>
      <c r="K23" s="125" t="e">
        <f>SUM(#REF!) + IF($L$1="Yes",K$335,0)</f>
        <v>#REF!</v>
      </c>
      <c r="L23" s="125" t="e">
        <f>SUM(#REF!) + IF($L$1="Yes",L$335,0)</f>
        <v>#REF!</v>
      </c>
      <c r="M23" s="125" t="e">
        <f>SUM(#REF!) + IF($L$1="Yes",M$335,0)</f>
        <v>#REF!</v>
      </c>
      <c r="N23" s="125" t="e">
        <f>SUM(#REF!) + IF($L$1="Yes",N$335,0)</f>
        <v>#REF!</v>
      </c>
      <c r="O23" s="267" t="e">
        <f t="shared" ref="O23:X23" si="12">SUM(N$23,O$166-N$166)</f>
        <v>#REF!</v>
      </c>
      <c r="P23" s="267" t="e">
        <f t="shared" si="12"/>
        <v>#REF!</v>
      </c>
      <c r="Q23" s="267" t="e">
        <f t="shared" si="12"/>
        <v>#REF!</v>
      </c>
      <c r="R23" s="267" t="e">
        <f t="shared" si="12"/>
        <v>#REF!</v>
      </c>
      <c r="S23" s="267" t="e">
        <f t="shared" si="12"/>
        <v>#REF!</v>
      </c>
      <c r="T23" s="267" t="e">
        <f t="shared" si="12"/>
        <v>#REF!</v>
      </c>
      <c r="U23" s="267" t="e">
        <f t="shared" si="12"/>
        <v>#REF!</v>
      </c>
      <c r="V23" s="267" t="e">
        <f t="shared" si="12"/>
        <v>#REF!</v>
      </c>
      <c r="W23" s="267" t="e">
        <f t="shared" si="12"/>
        <v>#REF!</v>
      </c>
      <c r="X23" s="267" t="e">
        <f t="shared" si="12"/>
        <v>#REF!</v>
      </c>
      <c r="Y23" s="36"/>
    </row>
    <row r="24" spans="1:25" x14ac:dyDescent="0.2">
      <c r="A24" s="225" t="s">
        <v>129</v>
      </c>
      <c r="B24" s="69"/>
      <c r="C24"/>
      <c r="D24" s="271" t="e">
        <f>SUM(D$22,D$23)</f>
        <v>#REF!</v>
      </c>
      <c r="E24" s="271" t="e">
        <f t="shared" ref="E24:X24" si="13">SUM(E$22,E$23)</f>
        <v>#REF!</v>
      </c>
      <c r="F24" s="271" t="e">
        <f t="shared" si="13"/>
        <v>#REF!</v>
      </c>
      <c r="G24" s="271" t="e">
        <f t="shared" si="13"/>
        <v>#REF!</v>
      </c>
      <c r="H24" s="271" t="e">
        <f t="shared" si="13"/>
        <v>#REF!</v>
      </c>
      <c r="I24" s="271" t="e">
        <f t="shared" si="13"/>
        <v>#REF!</v>
      </c>
      <c r="J24" s="125" t="e">
        <f t="shared" ca="1" si="13"/>
        <v>#REF!</v>
      </c>
      <c r="K24" s="125" t="e">
        <f t="shared" ca="1" si="13"/>
        <v>#REF!</v>
      </c>
      <c r="L24" s="125" t="e">
        <f t="shared" ca="1" si="13"/>
        <v>#REF!</v>
      </c>
      <c r="M24" s="125" t="e">
        <f t="shared" ca="1" si="13"/>
        <v>#REF!</v>
      </c>
      <c r="N24" s="125" t="e">
        <f t="shared" ca="1" si="13"/>
        <v>#REF!</v>
      </c>
      <c r="O24" s="73" t="e">
        <f t="shared" ca="1" si="13"/>
        <v>#N/A</v>
      </c>
      <c r="P24" s="73" t="e">
        <f t="shared" ca="1" si="13"/>
        <v>#N/A</v>
      </c>
      <c r="Q24" s="73" t="e">
        <f t="shared" ca="1" si="13"/>
        <v>#N/A</v>
      </c>
      <c r="R24" s="73" t="e">
        <f t="shared" ca="1" si="13"/>
        <v>#N/A</v>
      </c>
      <c r="S24" s="73" t="e">
        <f t="shared" ca="1" si="13"/>
        <v>#N/A</v>
      </c>
      <c r="T24" s="73" t="e">
        <f t="shared" ca="1" si="13"/>
        <v>#N/A</v>
      </c>
      <c r="U24" s="73" t="e">
        <f t="shared" ca="1" si="13"/>
        <v>#N/A</v>
      </c>
      <c r="V24" s="73" t="e">
        <f t="shared" ca="1" si="13"/>
        <v>#N/A</v>
      </c>
      <c r="W24" s="73" t="e">
        <f t="shared" ca="1" si="13"/>
        <v>#N/A</v>
      </c>
      <c r="X24" s="73" t="e">
        <f t="shared" ca="1" si="13"/>
        <v>#N/A</v>
      </c>
      <c r="Y24" s="36"/>
    </row>
    <row r="25" spans="1:25" x14ac:dyDescent="0.2">
      <c r="A25" s="225" t="s">
        <v>823</v>
      </c>
      <c r="B25" s="69"/>
      <c r="C25"/>
      <c r="D25" s="271" t="e">
        <f t="shared" ref="D25:X25" si="14">(D$18-D$70)-(D$19-D$140)</f>
        <v>#REF!</v>
      </c>
      <c r="E25" s="271" t="e">
        <f t="shared" si="14"/>
        <v>#REF!</v>
      </c>
      <c r="F25" s="271" t="e">
        <f t="shared" si="14"/>
        <v>#REF!</v>
      </c>
      <c r="G25" s="271" t="e">
        <f t="shared" si="14"/>
        <v>#REF!</v>
      </c>
      <c r="H25" s="271" t="e">
        <f t="shared" si="14"/>
        <v>#REF!</v>
      </c>
      <c r="I25" s="271" t="e">
        <f t="shared" si="14"/>
        <v>#REF!</v>
      </c>
      <c r="J25" s="125" t="e">
        <f t="shared" ca="1" si="14"/>
        <v>#REF!</v>
      </c>
      <c r="K25" s="125" t="e">
        <f t="shared" ca="1" si="14"/>
        <v>#REF!</v>
      </c>
      <c r="L25" s="125" t="e">
        <f t="shared" ca="1" si="14"/>
        <v>#REF!</v>
      </c>
      <c r="M25" s="125" t="e">
        <f t="shared" ca="1" si="14"/>
        <v>#REF!</v>
      </c>
      <c r="N25" s="125" t="e">
        <f t="shared" ca="1" si="14"/>
        <v>#REF!</v>
      </c>
      <c r="O25" s="73" t="e">
        <f t="shared" ca="1" si="14"/>
        <v>#N/A</v>
      </c>
      <c r="P25" s="73" t="e">
        <f t="shared" ca="1" si="14"/>
        <v>#N/A</v>
      </c>
      <c r="Q25" s="73" t="e">
        <f t="shared" ca="1" si="14"/>
        <v>#N/A</v>
      </c>
      <c r="R25" s="73" t="e">
        <f t="shared" ca="1" si="14"/>
        <v>#N/A</v>
      </c>
      <c r="S25" s="73" t="e">
        <f t="shared" ca="1" si="14"/>
        <v>#N/A</v>
      </c>
      <c r="T25" s="73" t="e">
        <f t="shared" ca="1" si="14"/>
        <v>#N/A</v>
      </c>
      <c r="U25" s="73" t="e">
        <f t="shared" ca="1" si="14"/>
        <v>#N/A</v>
      </c>
      <c r="V25" s="73" t="e">
        <f t="shared" ca="1" si="14"/>
        <v>#N/A</v>
      </c>
      <c r="W25" s="73" t="e">
        <f t="shared" ca="1" si="14"/>
        <v>#N/A</v>
      </c>
      <c r="X25" s="73" t="e">
        <f t="shared" ca="1" si="14"/>
        <v>#N/A</v>
      </c>
      <c r="Y25" s="36"/>
    </row>
    <row r="26" spans="1:25" ht="15.75" customHeight="1" x14ac:dyDescent="0.25">
      <c r="A26" s="153" t="s">
        <v>387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36"/>
    </row>
    <row r="27" spans="1:25" x14ac:dyDescent="0.2">
      <c r="A27" s="27" t="s">
        <v>160</v>
      </c>
      <c r="B27" s="70"/>
      <c r="C27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36"/>
    </row>
    <row r="28" spans="1:25" x14ac:dyDescent="0.2">
      <c r="A28" s="225" t="s">
        <v>688</v>
      </c>
      <c r="B28" s="70"/>
      <c r="C28"/>
      <c r="D28" s="69" t="e">
        <f>SUM(D$148,D$150,D$160,D$180,D$195,$D$197:D$197,D$205)</f>
        <v>#REF!</v>
      </c>
      <c r="E28" s="69" t="e">
        <f>SUM(E$148,E$150,E$160,E$180,E$195,$D$197:E$197,E$205)</f>
        <v>#REF!</v>
      </c>
      <c r="F28" s="69" t="e">
        <f>SUM(F$148,F$150,F$160,F$180,F$195,$D$197:F$197,F$205)</f>
        <v>#REF!</v>
      </c>
      <c r="G28" s="69" t="e">
        <f>SUM(G$148,G$150,G$160,G$180,G$195,$D$197:G$197,G$205)</f>
        <v>#REF!</v>
      </c>
      <c r="H28" s="69" t="e">
        <f>SUM(H$148,H$150,H$160,H$180,H$195,$D$197:H$197,H$205)</f>
        <v>#REF!</v>
      </c>
      <c r="I28" s="69" t="e">
        <f>SUM(I$148,I$150,I$160,I$180,I$195,$D$197:I$197,I$205)</f>
        <v>#REF!</v>
      </c>
      <c r="J28" s="125" t="e">
        <f>SUM(J$148,J$150,J$160,J$180,J$195,$D$197:J$197,J$205)</f>
        <v>#REF!</v>
      </c>
      <c r="K28" s="125" t="e">
        <f>SUM(K$148,K$150,K$160,K$180,K$195,$D$197:K$197,K$205)</f>
        <v>#REF!</v>
      </c>
      <c r="L28" s="125" t="e">
        <f>SUM(L$148,L$150,L$160,L$180,L$195,$D$197:L$197,L$205)</f>
        <v>#REF!</v>
      </c>
      <c r="M28" s="125" t="e">
        <f>SUM(M$148,M$150,M$160,M$180,M$195,$D$197:M$197,M$205)</f>
        <v>#REF!</v>
      </c>
      <c r="N28" s="125" t="e">
        <f>SUM(N$148,N$150,N$160,N$180,N$195,$D$197:N$197,N$205)</f>
        <v>#REF!</v>
      </c>
      <c r="O28" s="73" t="e">
        <f ca="1">SUM(O$148,O$150,O$160,O$180,O$195,$D$197:O$197,O$205)</f>
        <v>#REF!</v>
      </c>
      <c r="P28" s="73" t="e">
        <f ca="1">SUM(P$148,P$150,P$160,P$180,P$195,$D$197:P$197,P$205)</f>
        <v>#REF!</v>
      </c>
      <c r="Q28" s="73" t="e">
        <f ca="1">SUM(Q$148,Q$150,Q$160,Q$180,Q$195,$D$197:Q$197,Q$205)</f>
        <v>#REF!</v>
      </c>
      <c r="R28" s="73" t="e">
        <f ca="1">SUM(R$148,R$150,R$160,R$180,R$195,$D$197:R$197,R$205)</f>
        <v>#REF!</v>
      </c>
      <c r="S28" s="73" t="e">
        <f ca="1">SUM(S$148,S$150,S$160,S$180,S$195,$D$197:S$197,S$205)</f>
        <v>#REF!</v>
      </c>
      <c r="T28" s="73" t="e">
        <f ca="1">SUM(T$148,T$150,T$160,T$180,T$195,$D$197:T$197,T$205)</f>
        <v>#REF!</v>
      </c>
      <c r="U28" s="73" t="e">
        <f ca="1">SUM(U$148,U$150,U$160,U$180,U$195,$D$197:U$197,U$205)</f>
        <v>#REF!</v>
      </c>
      <c r="V28" s="73" t="e">
        <f ca="1">SUM(V$148,V$150,V$160,V$180,V$195,$D$197:V$197,V$205)</f>
        <v>#REF!</v>
      </c>
      <c r="W28" s="73" t="e">
        <f ca="1">SUM(W$148,W$150,W$160,W$180,W$195,$D$197:W$197,W$205)</f>
        <v>#REF!</v>
      </c>
      <c r="X28" s="73" t="e">
        <f ca="1">SUM(X$148,X$150,X$160,X$180,X$195,$D$197:X$197,X$205)</f>
        <v>#REF!</v>
      </c>
      <c r="Y28" s="36"/>
    </row>
    <row r="29" spans="1:25" x14ac:dyDescent="0.2">
      <c r="A29" s="225" t="s">
        <v>690</v>
      </c>
      <c r="B29" s="70"/>
      <c r="C29"/>
      <c r="D29" s="69" t="e">
        <f t="shared" ref="D29:X29" si="15">SUM(D$227,D$226)</f>
        <v>#REF!</v>
      </c>
      <c r="E29" s="69" t="e">
        <f t="shared" si="15"/>
        <v>#REF!</v>
      </c>
      <c r="F29" s="69" t="e">
        <f t="shared" si="15"/>
        <v>#REF!</v>
      </c>
      <c r="G29" s="69" t="e">
        <f t="shared" si="15"/>
        <v>#REF!</v>
      </c>
      <c r="H29" s="69" t="e">
        <f t="shared" si="15"/>
        <v>#REF!</v>
      </c>
      <c r="I29" s="69" t="e">
        <f t="shared" si="15"/>
        <v>#REF!</v>
      </c>
      <c r="J29" s="125" t="e">
        <f t="shared" si="15"/>
        <v>#REF!</v>
      </c>
      <c r="K29" s="125" t="e">
        <f t="shared" si="15"/>
        <v>#REF!</v>
      </c>
      <c r="L29" s="125" t="e">
        <f t="shared" si="15"/>
        <v>#REF!</v>
      </c>
      <c r="M29" s="125" t="e">
        <f t="shared" si="15"/>
        <v>#REF!</v>
      </c>
      <c r="N29" s="125" t="e">
        <f t="shared" si="15"/>
        <v>#REF!</v>
      </c>
      <c r="O29" s="73" t="e">
        <f t="shared" ca="1" si="15"/>
        <v>#REF!</v>
      </c>
      <c r="P29" s="73" t="e">
        <f t="shared" ca="1" si="15"/>
        <v>#REF!</v>
      </c>
      <c r="Q29" s="73" t="e">
        <f t="shared" ca="1" si="15"/>
        <v>#REF!</v>
      </c>
      <c r="R29" s="73" t="e">
        <f t="shared" ca="1" si="15"/>
        <v>#REF!</v>
      </c>
      <c r="S29" s="73" t="e">
        <f t="shared" ca="1" si="15"/>
        <v>#REF!</v>
      </c>
      <c r="T29" s="73" t="e">
        <f t="shared" ca="1" si="15"/>
        <v>#REF!</v>
      </c>
      <c r="U29" s="73" t="e">
        <f t="shared" ca="1" si="15"/>
        <v>#REF!</v>
      </c>
      <c r="V29" s="73" t="e">
        <f t="shared" ca="1" si="15"/>
        <v>#REF!</v>
      </c>
      <c r="W29" s="73" t="e">
        <f t="shared" ca="1" si="15"/>
        <v>#REF!</v>
      </c>
      <c r="X29" s="73" t="e">
        <f t="shared" ca="1" si="15"/>
        <v>#REF!</v>
      </c>
      <c r="Y29" s="36"/>
    </row>
    <row r="30" spans="1:25" x14ac:dyDescent="0.2">
      <c r="A30" s="225" t="s">
        <v>682</v>
      </c>
      <c r="B30" s="70"/>
      <c r="C30"/>
      <c r="D30" s="69" t="e">
        <f t="shared" ref="D30:X30" si="16">D$223</f>
        <v>#REF!</v>
      </c>
      <c r="E30" s="69" t="e">
        <f t="shared" si="16"/>
        <v>#REF!</v>
      </c>
      <c r="F30" s="69" t="e">
        <f t="shared" si="16"/>
        <v>#REF!</v>
      </c>
      <c r="G30" s="69" t="e">
        <f t="shared" si="16"/>
        <v>#REF!</v>
      </c>
      <c r="H30" s="69" t="e">
        <f t="shared" si="16"/>
        <v>#REF!</v>
      </c>
      <c r="I30" s="69" t="e">
        <f t="shared" si="16"/>
        <v>#REF!</v>
      </c>
      <c r="J30" s="125" t="e">
        <f t="shared" si="16"/>
        <v>#REF!</v>
      </c>
      <c r="K30" s="125" t="e">
        <f t="shared" si="16"/>
        <v>#REF!</v>
      </c>
      <c r="L30" s="125" t="e">
        <f t="shared" si="16"/>
        <v>#REF!</v>
      </c>
      <c r="M30" s="125" t="e">
        <f t="shared" si="16"/>
        <v>#REF!</v>
      </c>
      <c r="N30" s="125" t="e">
        <f t="shared" si="16"/>
        <v>#REF!</v>
      </c>
      <c r="O30" s="73" t="e">
        <f t="shared" si="16"/>
        <v>#REF!</v>
      </c>
      <c r="P30" s="73" t="e">
        <f t="shared" si="16"/>
        <v>#REF!</v>
      </c>
      <c r="Q30" s="73" t="e">
        <f t="shared" si="16"/>
        <v>#REF!</v>
      </c>
      <c r="R30" s="73" t="e">
        <f t="shared" si="16"/>
        <v>#REF!</v>
      </c>
      <c r="S30" s="73" t="e">
        <f t="shared" si="16"/>
        <v>#REF!</v>
      </c>
      <c r="T30" s="73" t="e">
        <f t="shared" si="16"/>
        <v>#REF!</v>
      </c>
      <c r="U30" s="73" t="e">
        <f t="shared" si="16"/>
        <v>#REF!</v>
      </c>
      <c r="V30" s="73" t="e">
        <f t="shared" si="16"/>
        <v>#REF!</v>
      </c>
      <c r="W30" s="73" t="e">
        <f t="shared" si="16"/>
        <v>#REF!</v>
      </c>
      <c r="X30" s="73" t="e">
        <f t="shared" si="16"/>
        <v>#REF!</v>
      </c>
      <c r="Y30" s="36"/>
    </row>
    <row r="31" spans="1:25" x14ac:dyDescent="0.2">
      <c r="A31" s="225" t="s">
        <v>301</v>
      </c>
      <c r="B31" s="70"/>
      <c r="C31"/>
      <c r="D31" s="69" t="e">
        <f t="shared" ref="D31:X31" si="17">D$28-SUM(D$29,D$30)</f>
        <v>#REF!</v>
      </c>
      <c r="E31" s="69" t="e">
        <f t="shared" si="17"/>
        <v>#REF!</v>
      </c>
      <c r="F31" s="69" t="e">
        <f t="shared" si="17"/>
        <v>#REF!</v>
      </c>
      <c r="G31" s="69" t="e">
        <f t="shared" si="17"/>
        <v>#REF!</v>
      </c>
      <c r="H31" s="69" t="e">
        <f t="shared" si="17"/>
        <v>#REF!</v>
      </c>
      <c r="I31" s="69" t="e">
        <f t="shared" si="17"/>
        <v>#REF!</v>
      </c>
      <c r="J31" s="125" t="e">
        <f t="shared" si="17"/>
        <v>#REF!</v>
      </c>
      <c r="K31" s="125" t="e">
        <f t="shared" si="17"/>
        <v>#REF!</v>
      </c>
      <c r="L31" s="125" t="e">
        <f t="shared" si="17"/>
        <v>#REF!</v>
      </c>
      <c r="M31" s="125" t="e">
        <f t="shared" si="17"/>
        <v>#REF!</v>
      </c>
      <c r="N31" s="125" t="e">
        <f t="shared" si="17"/>
        <v>#REF!</v>
      </c>
      <c r="O31" s="73" t="e">
        <f t="shared" ca="1" si="17"/>
        <v>#REF!</v>
      </c>
      <c r="P31" s="73" t="e">
        <f t="shared" ca="1" si="17"/>
        <v>#REF!</v>
      </c>
      <c r="Q31" s="73" t="e">
        <f t="shared" ca="1" si="17"/>
        <v>#REF!</v>
      </c>
      <c r="R31" s="73" t="e">
        <f t="shared" ca="1" si="17"/>
        <v>#REF!</v>
      </c>
      <c r="S31" s="73" t="e">
        <f t="shared" ca="1" si="17"/>
        <v>#REF!</v>
      </c>
      <c r="T31" s="73" t="e">
        <f t="shared" ca="1" si="17"/>
        <v>#REF!</v>
      </c>
      <c r="U31" s="73" t="e">
        <f t="shared" ca="1" si="17"/>
        <v>#REF!</v>
      </c>
      <c r="V31" s="73" t="e">
        <f t="shared" ca="1" si="17"/>
        <v>#REF!</v>
      </c>
      <c r="W31" s="73" t="e">
        <f t="shared" ca="1" si="17"/>
        <v>#REF!</v>
      </c>
      <c r="X31" s="73" t="e">
        <f t="shared" ca="1" si="17"/>
        <v>#REF!</v>
      </c>
      <c r="Y31" s="36"/>
    </row>
    <row r="32" spans="1:25" x14ac:dyDescent="0.2">
      <c r="A32" s="27" t="s">
        <v>162</v>
      </c>
      <c r="B32" s="70"/>
      <c r="C32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36"/>
    </row>
    <row r="33" spans="1:25" x14ac:dyDescent="0.2">
      <c r="A33" s="225" t="s">
        <v>688</v>
      </c>
      <c r="B33" s="70"/>
      <c r="C33"/>
      <c r="D33" s="69" t="e">
        <f>SUM(D$147,D$149,D$157,D$179,D$193,$D$197:D$197,D$204)</f>
        <v>#REF!</v>
      </c>
      <c r="E33" s="69" t="e">
        <f>SUM(E$147,E$149,E$157,E$179,E$193,$D$197:E$197,E$204)</f>
        <v>#REF!</v>
      </c>
      <c r="F33" s="69" t="e">
        <f>SUM(F$147,F$149,F$157,F$179,F$193,$D$197:F$197,F$204)</f>
        <v>#REF!</v>
      </c>
      <c r="G33" s="69" t="e">
        <f>SUM(G$147,G$149,G$157,G$179,G$193,$D$197:G$197,G$204)</f>
        <v>#REF!</v>
      </c>
      <c r="H33" s="69" t="e">
        <f>SUM(H$147,H$149,H$157,H$179,H$193,$D$197:H$197,H$204)</f>
        <v>#REF!</v>
      </c>
      <c r="I33" s="69" t="e">
        <f>SUM(I$147,I$149,I$157,I$179,I$193,$D$197:I$197,I$204)</f>
        <v>#REF!</v>
      </c>
      <c r="J33" s="125" t="e">
        <f>SUM(J$147,J$149,J$157,J$179,J$193,$D$197:J$197,J$204)</f>
        <v>#REF!</v>
      </c>
      <c r="K33" s="125" t="e">
        <f>SUM(K$147,K$149,K$157,K$179,K$193,$D$197:K$197,K$204)</f>
        <v>#REF!</v>
      </c>
      <c r="L33" s="272" t="e">
        <f>SUM(L$147,L$149,L$157,L$179,L$193,$D$197:L$197,L$204)</f>
        <v>#REF!</v>
      </c>
      <c r="M33" s="272" t="e">
        <f>SUM(M$147,M$149,M$157,M$179,M$193,$D$197:M$197,M$204)</f>
        <v>#REF!</v>
      </c>
      <c r="N33" s="272" t="e">
        <f>SUM(N$147,N$149,N$157,N$179,N$193,$D$197:N$197,N$204)</f>
        <v>#REF!</v>
      </c>
      <c r="O33" s="73" t="e">
        <f ca="1">SUM(O$147,O$149,O$157,O$179,O$193,$D$197:O$197,O$204)</f>
        <v>#REF!</v>
      </c>
      <c r="P33" s="73" t="e">
        <f ca="1">SUM(P$147,P$149,P$157,P$179,P$193,$D$197:P$197,P$204)</f>
        <v>#REF!</v>
      </c>
      <c r="Q33" s="73" t="e">
        <f ca="1">SUM(Q$147,Q$149,Q$157,Q$179,Q$193,$D$197:Q$197,Q$204)</f>
        <v>#REF!</v>
      </c>
      <c r="R33" s="73" t="e">
        <f ca="1">SUM(R$147,R$149,R$157,R$179,R$193,$D$197:R$197,R$204)</f>
        <v>#REF!</v>
      </c>
      <c r="S33" s="73" t="e">
        <f ca="1">SUM(S$147,S$149,S$157,S$179,S$193,$D$197:S$197,S$204)</f>
        <v>#REF!</v>
      </c>
      <c r="T33" s="73" t="e">
        <f ca="1">SUM(T$147,T$149,T$157,T$179,T$193,$D$197:T$197,T$204)</f>
        <v>#REF!</v>
      </c>
      <c r="U33" s="73" t="e">
        <f ca="1">SUM(U$147,U$149,U$157,U$179,U$193,$D$197:U$197,U$204)</f>
        <v>#REF!</v>
      </c>
      <c r="V33" s="73" t="e">
        <f ca="1">SUM(V$147,V$149,V$157,V$179,V$193,$D$197:V$197,V$204)</f>
        <v>#REF!</v>
      </c>
      <c r="W33" s="73" t="e">
        <f ca="1">SUM(W$147,W$149,W$157,W$179,W$193,$D$197:W$197,W$204)</f>
        <v>#REF!</v>
      </c>
      <c r="X33" s="73" t="e">
        <f ca="1">SUM(X$147,X$149,X$157,X$179,X$193,$D$197:X$197,X$204)</f>
        <v>#REF!</v>
      </c>
      <c r="Y33" s="36"/>
    </row>
    <row r="34" spans="1:25" x14ac:dyDescent="0.2">
      <c r="A34" s="225" t="s">
        <v>683</v>
      </c>
      <c r="B34" s="103"/>
      <c r="C34"/>
      <c r="D34" s="69" t="e">
        <f t="shared" ref="D34:X34" si="18">D$229</f>
        <v>#REF!</v>
      </c>
      <c r="E34" s="69" t="e">
        <f t="shared" si="18"/>
        <v>#REF!</v>
      </c>
      <c r="F34" s="69" t="e">
        <f t="shared" si="18"/>
        <v>#REF!</v>
      </c>
      <c r="G34" s="69" t="e">
        <f t="shared" si="18"/>
        <v>#REF!</v>
      </c>
      <c r="H34" s="69" t="e">
        <f t="shared" si="18"/>
        <v>#REF!</v>
      </c>
      <c r="I34" s="69" t="e">
        <f t="shared" si="18"/>
        <v>#REF!</v>
      </c>
      <c r="J34" s="125" t="e">
        <f t="shared" si="18"/>
        <v>#REF!</v>
      </c>
      <c r="K34" s="125" t="e">
        <f t="shared" si="18"/>
        <v>#REF!</v>
      </c>
      <c r="L34" s="125" t="e">
        <f t="shared" si="18"/>
        <v>#REF!</v>
      </c>
      <c r="M34" s="125" t="e">
        <f t="shared" si="18"/>
        <v>#REF!</v>
      </c>
      <c r="N34" s="125" t="e">
        <f t="shared" si="18"/>
        <v>#REF!</v>
      </c>
      <c r="O34" s="73" t="e">
        <f t="shared" ca="1" si="18"/>
        <v>#REF!</v>
      </c>
      <c r="P34" s="73" t="e">
        <f t="shared" ca="1" si="18"/>
        <v>#REF!</v>
      </c>
      <c r="Q34" s="73" t="e">
        <f t="shared" ca="1" si="18"/>
        <v>#REF!</v>
      </c>
      <c r="R34" s="73" t="e">
        <f t="shared" ca="1" si="18"/>
        <v>#REF!</v>
      </c>
      <c r="S34" s="73" t="e">
        <f t="shared" ca="1" si="18"/>
        <v>#REF!</v>
      </c>
      <c r="T34" s="73" t="e">
        <f t="shared" ca="1" si="18"/>
        <v>#REF!</v>
      </c>
      <c r="U34" s="73" t="e">
        <f t="shared" ca="1" si="18"/>
        <v>#REF!</v>
      </c>
      <c r="V34" s="73" t="e">
        <f t="shared" ca="1" si="18"/>
        <v>#REF!</v>
      </c>
      <c r="W34" s="73" t="e">
        <f t="shared" ca="1" si="18"/>
        <v>#REF!</v>
      </c>
      <c r="X34" s="73" t="e">
        <f t="shared" ca="1" si="18"/>
        <v>#REF!</v>
      </c>
      <c r="Y34" s="36"/>
    </row>
    <row r="35" spans="1:25" x14ac:dyDescent="0.2">
      <c r="A35" s="225" t="s">
        <v>684</v>
      </c>
      <c r="B35" s="103"/>
      <c r="C35"/>
      <c r="D35" s="69" t="e">
        <f t="shared" ref="D35:X35" si="19">D$219</f>
        <v>#REF!</v>
      </c>
      <c r="E35" s="69" t="e">
        <f t="shared" si="19"/>
        <v>#REF!</v>
      </c>
      <c r="F35" s="69" t="e">
        <f t="shared" si="19"/>
        <v>#REF!</v>
      </c>
      <c r="G35" s="69" t="e">
        <f t="shared" si="19"/>
        <v>#REF!</v>
      </c>
      <c r="H35" s="69" t="e">
        <f t="shared" si="19"/>
        <v>#REF!</v>
      </c>
      <c r="I35" s="69" t="e">
        <f t="shared" si="19"/>
        <v>#REF!</v>
      </c>
      <c r="J35" s="125" t="e">
        <f t="shared" si="19"/>
        <v>#REF!</v>
      </c>
      <c r="K35" s="125" t="e">
        <f t="shared" si="19"/>
        <v>#REF!</v>
      </c>
      <c r="L35" s="125" t="e">
        <f t="shared" si="19"/>
        <v>#REF!</v>
      </c>
      <c r="M35" s="125" t="e">
        <f t="shared" si="19"/>
        <v>#REF!</v>
      </c>
      <c r="N35" s="125" t="e">
        <f t="shared" si="19"/>
        <v>#REF!</v>
      </c>
      <c r="O35" s="73" t="e">
        <f t="shared" si="19"/>
        <v>#REF!</v>
      </c>
      <c r="P35" s="73" t="e">
        <f t="shared" si="19"/>
        <v>#REF!</v>
      </c>
      <c r="Q35" s="73" t="e">
        <f t="shared" si="19"/>
        <v>#REF!</v>
      </c>
      <c r="R35" s="73" t="e">
        <f t="shared" si="19"/>
        <v>#REF!</v>
      </c>
      <c r="S35" s="73" t="e">
        <f t="shared" si="19"/>
        <v>#REF!</v>
      </c>
      <c r="T35" s="73" t="e">
        <f t="shared" si="19"/>
        <v>#REF!</v>
      </c>
      <c r="U35" s="73" t="e">
        <f t="shared" si="19"/>
        <v>#REF!</v>
      </c>
      <c r="V35" s="73" t="e">
        <f t="shared" si="19"/>
        <v>#REF!</v>
      </c>
      <c r="W35" s="73" t="e">
        <f t="shared" si="19"/>
        <v>#REF!</v>
      </c>
      <c r="X35" s="73" t="e">
        <f t="shared" si="19"/>
        <v>#REF!</v>
      </c>
      <c r="Y35" s="36"/>
    </row>
    <row r="36" spans="1:25" x14ac:dyDescent="0.2">
      <c r="A36" s="225" t="s">
        <v>301</v>
      </c>
      <c r="B36" s="103"/>
      <c r="C36"/>
      <c r="D36" s="69" t="e">
        <f>D$33-SUM(D$34,D$35)</f>
        <v>#REF!</v>
      </c>
      <c r="E36" s="69" t="e">
        <f t="shared" ref="E36:X36" si="20">E$33-SUM(E$34,E$35)</f>
        <v>#REF!</v>
      </c>
      <c r="F36" s="69" t="e">
        <f t="shared" si="20"/>
        <v>#REF!</v>
      </c>
      <c r="G36" s="69" t="e">
        <f t="shared" si="20"/>
        <v>#REF!</v>
      </c>
      <c r="H36" s="69" t="e">
        <f t="shared" si="20"/>
        <v>#REF!</v>
      </c>
      <c r="I36" s="69" t="e">
        <f t="shared" si="20"/>
        <v>#REF!</v>
      </c>
      <c r="J36" s="125" t="e">
        <f t="shared" si="20"/>
        <v>#REF!</v>
      </c>
      <c r="K36" s="125" t="e">
        <f t="shared" si="20"/>
        <v>#REF!</v>
      </c>
      <c r="L36" s="125" t="e">
        <f t="shared" si="20"/>
        <v>#REF!</v>
      </c>
      <c r="M36" s="125" t="e">
        <f t="shared" si="20"/>
        <v>#REF!</v>
      </c>
      <c r="N36" s="125" t="e">
        <f t="shared" si="20"/>
        <v>#REF!</v>
      </c>
      <c r="O36" s="73" t="e">
        <f t="shared" ca="1" si="20"/>
        <v>#REF!</v>
      </c>
      <c r="P36" s="73" t="e">
        <f t="shared" ca="1" si="20"/>
        <v>#REF!</v>
      </c>
      <c r="Q36" s="73" t="e">
        <f t="shared" ca="1" si="20"/>
        <v>#REF!</v>
      </c>
      <c r="R36" s="73" t="e">
        <f t="shared" ca="1" si="20"/>
        <v>#REF!</v>
      </c>
      <c r="S36" s="73" t="e">
        <f t="shared" ca="1" si="20"/>
        <v>#REF!</v>
      </c>
      <c r="T36" s="73" t="e">
        <f t="shared" ca="1" si="20"/>
        <v>#REF!</v>
      </c>
      <c r="U36" s="73" t="e">
        <f t="shared" ca="1" si="20"/>
        <v>#REF!</v>
      </c>
      <c r="V36" s="73" t="e">
        <f t="shared" ca="1" si="20"/>
        <v>#REF!</v>
      </c>
      <c r="W36" s="73" t="e">
        <f t="shared" ca="1" si="20"/>
        <v>#REF!</v>
      </c>
      <c r="X36" s="73" t="e">
        <f t="shared" ca="1" si="20"/>
        <v>#REF!</v>
      </c>
      <c r="Y36" s="36"/>
    </row>
    <row r="37" spans="1:25" x14ac:dyDescent="0.2">
      <c r="A37" s="225" t="s">
        <v>824</v>
      </c>
      <c r="B37" s="103"/>
      <c r="C37"/>
      <c r="D37" s="69" t="e">
        <f t="shared" ref="D37:X37" si="21">D$231-D$232</f>
        <v>#REF!</v>
      </c>
      <c r="E37" s="69" t="e">
        <f t="shared" si="21"/>
        <v>#REF!</v>
      </c>
      <c r="F37" s="69" t="e">
        <f t="shared" si="21"/>
        <v>#REF!</v>
      </c>
      <c r="G37" s="69" t="e">
        <f t="shared" si="21"/>
        <v>#REF!</v>
      </c>
      <c r="H37" s="69" t="e">
        <f t="shared" si="21"/>
        <v>#REF!</v>
      </c>
      <c r="I37" s="69" t="e">
        <f t="shared" si="21"/>
        <v>#REF!</v>
      </c>
      <c r="J37" s="125" t="e">
        <f t="shared" si="21"/>
        <v>#REF!</v>
      </c>
      <c r="K37" s="125" t="e">
        <f t="shared" si="21"/>
        <v>#REF!</v>
      </c>
      <c r="L37" s="125" t="e">
        <f t="shared" si="21"/>
        <v>#REF!</v>
      </c>
      <c r="M37" s="125" t="e">
        <f t="shared" si="21"/>
        <v>#REF!</v>
      </c>
      <c r="N37" s="125" t="e">
        <f t="shared" si="21"/>
        <v>#REF!</v>
      </c>
      <c r="O37" s="73" t="e">
        <f t="shared" ca="1" si="21"/>
        <v>#REF!</v>
      </c>
      <c r="P37" s="73" t="e">
        <f t="shared" ca="1" si="21"/>
        <v>#REF!</v>
      </c>
      <c r="Q37" s="73" t="e">
        <f t="shared" ca="1" si="21"/>
        <v>#REF!</v>
      </c>
      <c r="R37" s="73" t="e">
        <f t="shared" ca="1" si="21"/>
        <v>#REF!</v>
      </c>
      <c r="S37" s="73" t="e">
        <f t="shared" ca="1" si="21"/>
        <v>#REF!</v>
      </c>
      <c r="T37" s="73" t="e">
        <f t="shared" ca="1" si="21"/>
        <v>#REF!</v>
      </c>
      <c r="U37" s="73" t="e">
        <f t="shared" ca="1" si="21"/>
        <v>#REF!</v>
      </c>
      <c r="V37" s="73" t="e">
        <f t="shared" ca="1" si="21"/>
        <v>#REF!</v>
      </c>
      <c r="W37" s="73" t="e">
        <f t="shared" ca="1" si="21"/>
        <v>#REF!</v>
      </c>
      <c r="X37" s="73" t="e">
        <f t="shared" ca="1" si="21"/>
        <v>#REF!</v>
      </c>
      <c r="Y37" s="36"/>
    </row>
    <row r="38" spans="1:25" x14ac:dyDescent="0.2">
      <c r="A38" s="225" t="s">
        <v>685</v>
      </c>
      <c r="B38" s="103"/>
      <c r="C38"/>
      <c r="D38" s="271" t="e">
        <f t="shared" ref="D38:X38" si="22">D$231-SUM(D$147,D$157,D$177)+SUM(D$173,D$206)</f>
        <v>#REF!</v>
      </c>
      <c r="E38" s="271" t="e">
        <f t="shared" si="22"/>
        <v>#REF!</v>
      </c>
      <c r="F38" s="271" t="e">
        <f t="shared" si="22"/>
        <v>#REF!</v>
      </c>
      <c r="G38" s="271" t="e">
        <f t="shared" si="22"/>
        <v>#REF!</v>
      </c>
      <c r="H38" s="271" t="e">
        <f t="shared" si="22"/>
        <v>#REF!</v>
      </c>
      <c r="I38" s="271" t="e">
        <f t="shared" si="22"/>
        <v>#REF!</v>
      </c>
      <c r="J38" s="272" t="e">
        <f t="shared" si="22"/>
        <v>#REF!</v>
      </c>
      <c r="K38" s="272" t="e">
        <f t="shared" si="22"/>
        <v>#REF!</v>
      </c>
      <c r="L38" s="272" t="e">
        <f t="shared" si="22"/>
        <v>#REF!</v>
      </c>
      <c r="M38" s="272" t="e">
        <f t="shared" si="22"/>
        <v>#REF!</v>
      </c>
      <c r="N38" s="272" t="e">
        <f t="shared" si="22"/>
        <v>#REF!</v>
      </c>
      <c r="O38" s="267" t="e">
        <f t="shared" ca="1" si="22"/>
        <v>#REF!</v>
      </c>
      <c r="P38" s="267" t="e">
        <f t="shared" ca="1" si="22"/>
        <v>#REF!</v>
      </c>
      <c r="Q38" s="267" t="e">
        <f t="shared" ca="1" si="22"/>
        <v>#REF!</v>
      </c>
      <c r="R38" s="267" t="e">
        <f t="shared" ca="1" si="22"/>
        <v>#REF!</v>
      </c>
      <c r="S38" s="267" t="e">
        <f t="shared" ca="1" si="22"/>
        <v>#REF!</v>
      </c>
      <c r="T38" s="267" t="e">
        <f t="shared" ca="1" si="22"/>
        <v>#REF!</v>
      </c>
      <c r="U38" s="267" t="e">
        <f t="shared" ca="1" si="22"/>
        <v>#REF!</v>
      </c>
      <c r="V38" s="267" t="e">
        <f t="shared" ca="1" si="22"/>
        <v>#REF!</v>
      </c>
      <c r="W38" s="267" t="e">
        <f t="shared" ca="1" si="22"/>
        <v>#REF!</v>
      </c>
      <c r="X38" s="267" t="e">
        <f t="shared" ca="1" si="22"/>
        <v>#REF!</v>
      </c>
      <c r="Y38" s="36"/>
    </row>
    <row r="39" spans="1:25" ht="13.5" x14ac:dyDescent="0.25">
      <c r="A39" s="157" t="s">
        <v>517</v>
      </c>
      <c r="B39" s="42"/>
      <c r="C39"/>
      <c r="D39" s="69"/>
      <c r="E39" s="69"/>
      <c r="F39" s="69"/>
      <c r="G39" s="69"/>
      <c r="H39" s="69"/>
      <c r="I39" s="45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36"/>
    </row>
    <row r="40" spans="1:25" x14ac:dyDescent="0.2">
      <c r="A40" s="225" t="s">
        <v>606</v>
      </c>
      <c r="B40" s="233"/>
      <c r="C40"/>
      <c r="D40" s="275" t="e">
        <f>IF(ROUND(#REF!-D$15,3)=0,"OK","ERROR")</f>
        <v>#REF!</v>
      </c>
      <c r="E40" s="275" t="e">
        <f>IF(ROUND(#REF!-E$15,3)=0,"OK","ERROR")</f>
        <v>#REF!</v>
      </c>
      <c r="F40" s="275" t="e">
        <f>IF(ROUND(#REF!-F$15,3)=0,"OK","ERROR")</f>
        <v>#REF!</v>
      </c>
      <c r="G40" s="275" t="e">
        <f>IF(ROUND(#REF!-G$15,3)=0,"OK","ERROR")</f>
        <v>#REF!</v>
      </c>
      <c r="H40" s="275" t="e">
        <f>IF(ROUND(#REF!-H$15,3)=0,"OK","ERROR")</f>
        <v>#REF!</v>
      </c>
      <c r="I40" s="275" t="e">
        <f>IF(ROUND(#REF!-I$15,3)=0,"OK","ERROR")</f>
        <v>#REF!</v>
      </c>
      <c r="J40" s="158" t="e">
        <f ca="1">IF(ROUND(#REF!-J$15 + IF($F$1="Yes",J$326,0) + IF($I$1="Yes",SUM(J$289,J$308),0) + IF($L$1="Yes",J$340,0),3)=0,"OK","ERROR")</f>
        <v>#REF!</v>
      </c>
      <c r="K40" s="158" t="e">
        <f ca="1">IF(ROUND(#REF!-K$15 + IF($F$1="Yes",K$326,0) + IF($I$1="Yes",SUM(K$289,K$308),0) + IF($L$1="Yes",K$340,0),3)=0,"OK","ERROR")</f>
        <v>#REF!</v>
      </c>
      <c r="L40" s="158" t="e">
        <f ca="1">IF(ROUND(#REF!-L$15 + IF($F$1="Yes",L$326,0) + IF($I$1="Yes",SUM(L$289,L$308),0) + IF($L$1="Yes",L$340,0),3)=0,"OK","ERROR")</f>
        <v>#REF!</v>
      </c>
      <c r="M40" s="158" t="e">
        <f ca="1">IF(ROUND(#REF!-M$15 + IF($F$1="Yes",M$326,0) + IF($I$1="Yes",SUM(M$289,M$308),0) + IF($L$1="Yes",M$340,0),3)=0,"OK","ERROR")</f>
        <v>#REF!</v>
      </c>
      <c r="N40" s="158" t="e">
        <f ca="1">IF(ROUND(#REF!-N$15 + IF($F$1="Yes",N$326,0) + IF($I$1="Yes",SUM(N$289,N$308),0) + IF($L$1="Yes",N$340,0),3)=0,"OK","ERROR")</f>
        <v>#REF!</v>
      </c>
      <c r="Y40" s="36"/>
    </row>
    <row r="41" spans="1:25" x14ac:dyDescent="0.2">
      <c r="A41" s="225" t="s">
        <v>518</v>
      </c>
      <c r="B41" s="233"/>
      <c r="C41"/>
      <c r="D41" s="275" t="e">
        <f>IF(ROUND(#REF!-D$24,3)=0,"OK","ERROR")</f>
        <v>#REF!</v>
      </c>
      <c r="E41" s="275" t="e">
        <f>IF(ROUND(#REF!-E$24,3)=0,"OK","ERROR")</f>
        <v>#REF!</v>
      </c>
      <c r="F41" s="275" t="e">
        <f>IF(ROUND(#REF!-F$24,3)=0,"OK","ERROR")</f>
        <v>#REF!</v>
      </c>
      <c r="G41" s="275" t="e">
        <f>IF(ROUND(#REF!-G$24,3)=0,"OK","ERROR")</f>
        <v>#REF!</v>
      </c>
      <c r="H41" s="275" t="e">
        <f>IF(ROUND(#REF!-H$24,3)=0,"OK","ERROR")</f>
        <v>#REF!</v>
      </c>
      <c r="I41" s="275" t="e">
        <f>IF(ROUND(#REF!-I$24,3)=0,"OK","ERROR")</f>
        <v>#REF!</v>
      </c>
      <c r="J41" s="158" t="e">
        <f ca="1">IF(ROUND(#REF!-J$24 + IF($F$1="Yes",J$326,0) + IF($I$1="Yes",J$308,0) + IF($L$1="Yes",J$340,0),3)=0,"OK","ERROR")</f>
        <v>#REF!</v>
      </c>
      <c r="K41" s="158" t="e">
        <f ca="1">IF(ROUND(#REF!-K$24 + IF($F$1="Yes",K$326,0) + IF($I$1="Yes",K$308,0) + IF($L$1="Yes",K$340,0),3)=0,"OK","ERROR")</f>
        <v>#REF!</v>
      </c>
      <c r="L41" s="158" t="e">
        <f ca="1">IF(ROUND(#REF!-L$24 + IF($F$1="Yes",L$326,0) + IF($I$1="Yes",L$308,0) + IF($L$1="Yes",L$340,0),3)=0,"OK","ERROR")</f>
        <v>#REF!</v>
      </c>
      <c r="M41" s="158" t="e">
        <f ca="1">IF(ROUND(#REF!-M$24 + IF($F$1="Yes",M$326,0) + IF($I$1="Yes",M$308,0) + IF($L$1="Yes",M$340,0),3)=0,"OK","ERROR")</f>
        <v>#REF!</v>
      </c>
      <c r="N41" s="158" t="e">
        <f ca="1">IF(ROUND(#REF!-N$24 + IF($F$1="Yes",N$326,0) + IF($I$1="Yes",N$308,0) + IF($L$1="Yes",N$340,0),3)=0,"OK","ERROR")</f>
        <v>#REF!</v>
      </c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36"/>
    </row>
    <row r="42" spans="1:25" x14ac:dyDescent="0.2">
      <c r="A42" s="225" t="s">
        <v>519</v>
      </c>
      <c r="B42" s="233"/>
      <c r="C42"/>
      <c r="D42" s="275" t="e">
        <f>IF(ROUND(#REF!-D$31,3)=0,"OK","ERROR")</f>
        <v>#REF!</v>
      </c>
      <c r="E42" s="275" t="e">
        <f>IF(ROUND(#REF!-E$31,3)=0,"OK","ERROR")</f>
        <v>#REF!</v>
      </c>
      <c r="F42" s="275" t="e">
        <f>IF(ROUND(#REF!-F$31,3)=0,"OK","ERROR")</f>
        <v>#REF!</v>
      </c>
      <c r="G42" s="275" t="e">
        <f>IF(ROUND(#REF!-G$31,3)=0,"OK","ERROR")</f>
        <v>#REF!</v>
      </c>
      <c r="H42" s="275" t="e">
        <f>IF(ROUND(#REF!-H$31,3)=0,"OK","ERROR")</f>
        <v>#REF!</v>
      </c>
      <c r="I42" s="275" t="e">
        <f>IF(ROUND(#REF!-I$31,3)=0,"OK","ERROR")</f>
        <v>#REF!</v>
      </c>
      <c r="J42" s="158" t="e">
        <f>IF(ROUND(#REF!-J$31 + IF($F$1="Yes",J$327,0) + IF($I$1="Yes",SUM(J$310,J$313),0) + IF($L$1="Yes",J$345,0),3)=0,"OK","ERROR")</f>
        <v>#REF!</v>
      </c>
      <c r="K42" s="158" t="e">
        <f>IF(ROUND(#REF!-K$31 + IF($F$1="Yes",K$327,0) + IF($I$1="Yes",SUM(K$310,K$313),0) + IF($L$1="Yes",K$345,0),3)=0,"OK","ERROR")</f>
        <v>#REF!</v>
      </c>
      <c r="L42" s="158" t="e">
        <f>IF(ROUND(#REF!-L$31 + IF($F$1="Yes",L$327,0) + IF($I$1="Yes",SUM(L$310,L$313),0) + IF($L$1="Yes",L$345,0),3)=0,"OK","ERROR")</f>
        <v>#REF!</v>
      </c>
      <c r="M42" s="158" t="e">
        <f>IF(ROUND(#REF!-M$31 + IF($F$1="Yes",M$327,0) + IF($I$1="Yes",SUM(M$310,M$313),0) + IF($L$1="Yes",M$345,0),3)=0,"OK","ERROR")</f>
        <v>#REF!</v>
      </c>
      <c r="N42" s="158" t="e">
        <f>IF(ROUND(#REF!-N$31 + IF($F$1="Yes",N$327,0) + IF($I$1="Yes",SUM(N$310,N$313),0) + IF($L$1="Yes",N$345,0),3)=0,"OK","ERROR")</f>
        <v>#REF!</v>
      </c>
      <c r="O42" s="404" t="e">
        <f ca="1">IF(ROUND(O$31-N$31-O$15 + IF(AND(OFFSET(Scenarios!$A$40,0,$C$1)="Yes",O$4&gt;=OFFSET(Scenarios!$A$41,0,$C$1),O$4&lt;=OFFSET(Scenarios!$A$42,0,$C$1)),OFFSET(Scenarios!$A$43,0,$C$1)*(1+OFFSET(Scenarios!$A$44,0,$C$1))^MAX(0,O$4-OFFSET(Scenarios!$A$41,0,$C$1)),0),3)=0,"OK","ERROR")</f>
        <v>#REF!</v>
      </c>
      <c r="P42" s="404" t="e">
        <f ca="1">IF(ROUND(P$31-O$31-P$15 + IF(AND(OFFSET(Scenarios!$A$40,0,$C$1)="Yes",P$4&gt;=OFFSET(Scenarios!$A$41,0,$C$1),P$4&lt;=OFFSET(Scenarios!$A$42,0,$C$1)),OFFSET(Scenarios!$A$43,0,$C$1)*(1+OFFSET(Scenarios!$A$44,0,$C$1))^MAX(0,P$4-OFFSET(Scenarios!$A$41,0,$C$1)),0),3)=0,"OK","ERROR")</f>
        <v>#REF!</v>
      </c>
      <c r="Q42" s="404" t="e">
        <f ca="1">IF(ROUND(Q$31-P$31-Q$15 + IF(AND(OFFSET(Scenarios!$A$40,0,$C$1)="Yes",Q$4&gt;=OFFSET(Scenarios!$A$41,0,$C$1),Q$4&lt;=OFFSET(Scenarios!$A$42,0,$C$1)),OFFSET(Scenarios!$A$43,0,$C$1)*(1+OFFSET(Scenarios!$A$44,0,$C$1))^MAX(0,Q$4-OFFSET(Scenarios!$A$41,0,$C$1)),0),3)=0,"OK","ERROR")</f>
        <v>#REF!</v>
      </c>
      <c r="R42" s="404" t="e">
        <f ca="1">IF(ROUND(R$31-Q$31-R$15 + IF(AND(OFFSET(Scenarios!$A$40,0,$C$1)="Yes",R$4&gt;=OFFSET(Scenarios!$A$41,0,$C$1),R$4&lt;=OFFSET(Scenarios!$A$42,0,$C$1)),OFFSET(Scenarios!$A$43,0,$C$1)*(1+OFFSET(Scenarios!$A$44,0,$C$1))^MAX(0,R$4-OFFSET(Scenarios!$A$41,0,$C$1)),0),3)=0,"OK","ERROR")</f>
        <v>#REF!</v>
      </c>
      <c r="S42" s="404" t="e">
        <f ca="1">IF(ROUND(S$31-R$31-S$15 + IF(AND(OFFSET(Scenarios!$A$40,0,$C$1)="Yes",S$4&gt;=OFFSET(Scenarios!$A$41,0,$C$1),S$4&lt;=OFFSET(Scenarios!$A$42,0,$C$1)),OFFSET(Scenarios!$A$43,0,$C$1)*(1+OFFSET(Scenarios!$A$44,0,$C$1))^MAX(0,S$4-OFFSET(Scenarios!$A$41,0,$C$1)),0),3)=0,"OK","ERROR")</f>
        <v>#REF!</v>
      </c>
      <c r="T42" s="404" t="e">
        <f ca="1">IF(ROUND(T$31-S$31-T$15 + IF(AND(OFFSET(Scenarios!$A$40,0,$C$1)="Yes",T$4&gt;=OFFSET(Scenarios!$A$41,0,$C$1),T$4&lt;=OFFSET(Scenarios!$A$42,0,$C$1)),OFFSET(Scenarios!$A$43,0,$C$1)*(1+OFFSET(Scenarios!$A$44,0,$C$1))^MAX(0,T$4-OFFSET(Scenarios!$A$41,0,$C$1)),0),3)=0,"OK","ERROR")</f>
        <v>#REF!</v>
      </c>
      <c r="U42" s="404" t="e">
        <f ca="1">IF(ROUND(U$31-T$31-U$15 + IF(AND(OFFSET(Scenarios!$A$40,0,$C$1)="Yes",U$4&gt;=OFFSET(Scenarios!$A$41,0,$C$1),U$4&lt;=OFFSET(Scenarios!$A$42,0,$C$1)),OFFSET(Scenarios!$A$43,0,$C$1)*(1+OFFSET(Scenarios!$A$44,0,$C$1))^MAX(0,U$4-OFFSET(Scenarios!$A$41,0,$C$1)),0),3)=0,"OK","ERROR")</f>
        <v>#REF!</v>
      </c>
      <c r="V42" s="404" t="e">
        <f ca="1">IF(ROUND(V$31-U$31-V$15 + IF(AND(OFFSET(Scenarios!$A$40,0,$C$1)="Yes",V$4&gt;=OFFSET(Scenarios!$A$41,0,$C$1),V$4&lt;=OFFSET(Scenarios!$A$42,0,$C$1)),OFFSET(Scenarios!$A$43,0,$C$1)*(1+OFFSET(Scenarios!$A$44,0,$C$1))^MAX(0,V$4-OFFSET(Scenarios!$A$41,0,$C$1)),0),3)=0,"OK","ERROR")</f>
        <v>#REF!</v>
      </c>
      <c r="W42" s="404" t="e">
        <f ca="1">IF(ROUND(W$31-V$31-W$15 + IF(AND(OFFSET(Scenarios!$A$40,0,$C$1)="Yes",W$4&gt;=OFFSET(Scenarios!$A$41,0,$C$1),W$4&lt;=OFFSET(Scenarios!$A$42,0,$C$1)),OFFSET(Scenarios!$A$43,0,$C$1)*(1+OFFSET(Scenarios!$A$44,0,$C$1))^MAX(0,W$4-OFFSET(Scenarios!$A$41,0,$C$1)),0),3)=0,"OK","ERROR")</f>
        <v>#REF!</v>
      </c>
      <c r="X42" s="404" t="e">
        <f ca="1">IF(ROUND(X$31-W$31-X$15 + IF(AND(OFFSET(Scenarios!$A$40,0,$C$1)="Yes",X$4&gt;=OFFSET(Scenarios!$A$41,0,$C$1),X$4&lt;=OFFSET(Scenarios!$A$42,0,$C$1)),OFFSET(Scenarios!$A$43,0,$C$1)*(1+OFFSET(Scenarios!$A$44,0,$C$1))^MAX(0,X$4-OFFSET(Scenarios!$A$41,0,$C$1)),0),3)=0,"OK","ERROR")</f>
        <v>#REF!</v>
      </c>
      <c r="Y42" s="36"/>
    </row>
    <row r="43" spans="1:25" x14ac:dyDescent="0.2">
      <c r="A43" s="225" t="s">
        <v>520</v>
      </c>
      <c r="B43" s="233"/>
      <c r="C43"/>
      <c r="D43" s="275" t="e">
        <f>IF(ROUND(#REF!-D$36,3)=0,"OK","ERROR")</f>
        <v>#REF!</v>
      </c>
      <c r="E43" s="275" t="e">
        <f>IF(ROUND(#REF!-E$36,3)=0,"OK","ERROR")</f>
        <v>#REF!</v>
      </c>
      <c r="F43" s="275" t="e">
        <f>IF(ROUND(#REF!-F$36,3)=0,"OK","ERROR")</f>
        <v>#REF!</v>
      </c>
      <c r="G43" s="275" t="e">
        <f>IF(ROUND(#REF!-G$36,3)=0,"OK","ERROR")</f>
        <v>#REF!</v>
      </c>
      <c r="H43" s="275" t="e">
        <f>IF(ROUND(#REF!-H$36,3)=0,"OK","ERROR")</f>
        <v>#REF!</v>
      </c>
      <c r="I43" s="275" t="e">
        <f>IF(ROUND(#REF!-I$36,3)=0,"OK","ERROR")</f>
        <v>#REF!</v>
      </c>
      <c r="J43" s="158" t="e">
        <f>IF(ROUND(#REF!-J$36 + IF($F$1="Yes",J$327,0) + IF($I$1="Yes",J$313,0) + IF($L$1="Yes",J$345,0),3)=0,"OK","ERROR")</f>
        <v>#REF!</v>
      </c>
      <c r="K43" s="158" t="e">
        <f>IF(ROUND(#REF!-K$36 + IF($F$1="Yes",K$327,0) + IF($I$1="Yes",K$313,0) + IF($L$1="Yes",K$345,0),3)=0,"OK","ERROR")</f>
        <v>#REF!</v>
      </c>
      <c r="L43" s="158" t="e">
        <f>IF(ROUND(#REF!-L$36 + IF($F$1="Yes",L$327,0) + IF($I$1="Yes",L$313,0) + IF($L$1="Yes",L$345,0),3)=0,"OK","ERROR")</f>
        <v>#REF!</v>
      </c>
      <c r="M43" s="158" t="e">
        <f>IF(ROUND(#REF!-M$36 + IF($F$1="Yes",M$327,0) + IF($I$1="Yes",M$313,0) + IF($L$1="Yes",M$345,0),3)=0,"OK","ERROR")</f>
        <v>#REF!</v>
      </c>
      <c r="N43" s="158" t="e">
        <f>IF(ROUND(#REF!-N$36 + IF($F$1="Yes",N$327,0) + IF($I$1="Yes",N$313,0) + IF($L$1="Yes",N$345,0),3)=0,"OK","ERROR")</f>
        <v>#REF!</v>
      </c>
      <c r="O43" s="404" t="e">
        <f ca="1">IF(ROUND(O$36-N$36-O$24 + IF(AND(OFFSET(Scenarios!$A$40,0,$C$1)="Yes",O$4&gt;=OFFSET(Scenarios!$A$41,0,$C$1),O$4&lt;=OFFSET(Scenarios!$A$42,0,$C$1)),OFFSET(Scenarios!$A$43,0,$C$1)*(1+OFFSET(Scenarios!$A$44,0,$C$1))^MAX(0,O$4-OFFSET(Scenarios!$A$41,0,$C$1)),0),3)=0,"OK","ERROR")</f>
        <v>#REF!</v>
      </c>
      <c r="P43" s="404" t="e">
        <f ca="1">IF(ROUND(P$36-O$36-P$24 + IF(AND(OFFSET(Scenarios!$A$40,0,$C$1)="Yes",P$4&gt;=OFFSET(Scenarios!$A$41,0,$C$1),P$4&lt;=OFFSET(Scenarios!$A$42,0,$C$1)),OFFSET(Scenarios!$A$43,0,$C$1)*(1+OFFSET(Scenarios!$A$44,0,$C$1))^MAX(0,P$4-OFFSET(Scenarios!$A$41,0,$C$1)),0),3)=0,"OK","ERROR")</f>
        <v>#REF!</v>
      </c>
      <c r="Q43" s="404" t="e">
        <f ca="1">IF(ROUND(Q$36-P$36-Q$24 + IF(AND(OFFSET(Scenarios!$A$40,0,$C$1)="Yes",Q$4&gt;=OFFSET(Scenarios!$A$41,0,$C$1),Q$4&lt;=OFFSET(Scenarios!$A$42,0,$C$1)),OFFSET(Scenarios!$A$43,0,$C$1)*(1+OFFSET(Scenarios!$A$44,0,$C$1))^MAX(0,Q$4-OFFSET(Scenarios!$A$41,0,$C$1)),0),3)=0,"OK","ERROR")</f>
        <v>#REF!</v>
      </c>
      <c r="R43" s="404" t="e">
        <f ca="1">IF(ROUND(R$36-Q$36-R$24 + IF(AND(OFFSET(Scenarios!$A$40,0,$C$1)="Yes",R$4&gt;=OFFSET(Scenarios!$A$41,0,$C$1),R$4&lt;=OFFSET(Scenarios!$A$42,0,$C$1)),OFFSET(Scenarios!$A$43,0,$C$1)*(1+OFFSET(Scenarios!$A$44,0,$C$1))^MAX(0,R$4-OFFSET(Scenarios!$A$41,0,$C$1)),0),3)=0,"OK","ERROR")</f>
        <v>#REF!</v>
      </c>
      <c r="S43" s="404" t="e">
        <f ca="1">IF(ROUND(S$36-R$36-S$24 + IF(AND(OFFSET(Scenarios!$A$40,0,$C$1)="Yes",S$4&gt;=OFFSET(Scenarios!$A$41,0,$C$1),S$4&lt;=OFFSET(Scenarios!$A$42,0,$C$1)),OFFSET(Scenarios!$A$43,0,$C$1)*(1+OFFSET(Scenarios!$A$44,0,$C$1))^MAX(0,S$4-OFFSET(Scenarios!$A$41,0,$C$1)),0),3)=0,"OK","ERROR")</f>
        <v>#REF!</v>
      </c>
      <c r="T43" s="404" t="e">
        <f ca="1">IF(ROUND(T$36-S$36-T$24 + IF(AND(OFFSET(Scenarios!$A$40,0,$C$1)="Yes",T$4&gt;=OFFSET(Scenarios!$A$41,0,$C$1),T$4&lt;=OFFSET(Scenarios!$A$42,0,$C$1)),OFFSET(Scenarios!$A$43,0,$C$1)*(1+OFFSET(Scenarios!$A$44,0,$C$1))^MAX(0,T$4-OFFSET(Scenarios!$A$41,0,$C$1)),0),3)=0,"OK","ERROR")</f>
        <v>#REF!</v>
      </c>
      <c r="U43" s="404" t="e">
        <f ca="1">IF(ROUND(U$36-T$36-U$24 + IF(AND(OFFSET(Scenarios!$A$40,0,$C$1)="Yes",U$4&gt;=OFFSET(Scenarios!$A$41,0,$C$1),U$4&lt;=OFFSET(Scenarios!$A$42,0,$C$1)),OFFSET(Scenarios!$A$43,0,$C$1)*(1+OFFSET(Scenarios!$A$44,0,$C$1))^MAX(0,U$4-OFFSET(Scenarios!$A$41,0,$C$1)),0),3)=0,"OK","ERROR")</f>
        <v>#REF!</v>
      </c>
      <c r="V43" s="404" t="e">
        <f ca="1">IF(ROUND(V$36-U$36-V$24 + IF(AND(OFFSET(Scenarios!$A$40,0,$C$1)="Yes",V$4&gt;=OFFSET(Scenarios!$A$41,0,$C$1),V$4&lt;=OFFSET(Scenarios!$A$42,0,$C$1)),OFFSET(Scenarios!$A$43,0,$C$1)*(1+OFFSET(Scenarios!$A$44,0,$C$1))^MAX(0,V$4-OFFSET(Scenarios!$A$41,0,$C$1)),0),3)=0,"OK","ERROR")</f>
        <v>#REF!</v>
      </c>
      <c r="W43" s="404" t="e">
        <f ca="1">IF(ROUND(W$36-V$36-W$24 + IF(AND(OFFSET(Scenarios!$A$40,0,$C$1)="Yes",W$4&gt;=OFFSET(Scenarios!$A$41,0,$C$1),W$4&lt;=OFFSET(Scenarios!$A$42,0,$C$1)),OFFSET(Scenarios!$A$43,0,$C$1)*(1+OFFSET(Scenarios!$A$44,0,$C$1))^MAX(0,W$4-OFFSET(Scenarios!$A$41,0,$C$1)),0),3)=0,"OK","ERROR")</f>
        <v>#REF!</v>
      </c>
      <c r="X43" s="404" t="e">
        <f ca="1">IF(ROUND(X$36-W$36-X$24 + IF(AND(OFFSET(Scenarios!$A$40,0,$C$1)="Yes",X$4&gt;=OFFSET(Scenarios!$A$41,0,$C$1),X$4&lt;=OFFSET(Scenarios!$A$42,0,$C$1)),OFFSET(Scenarios!$A$43,0,$C$1)*(1+OFFSET(Scenarios!$A$44,0,$C$1))^MAX(0,X$4-OFFSET(Scenarios!$A$41,0,$C$1)),0),3)=0,"OK","ERROR")</f>
        <v>#REF!</v>
      </c>
      <c r="Y43" s="36"/>
    </row>
    <row r="44" spans="1:25" x14ac:dyDescent="0.2">
      <c r="A44" s="225" t="s">
        <v>685</v>
      </c>
      <c r="B44" s="233"/>
      <c r="C44" s="71"/>
      <c r="D44" s="275" t="e">
        <f>IF(ROUND(#REF!-D$38,3)=0,"OK","ERROR")</f>
        <v>#REF!</v>
      </c>
      <c r="E44" s="275" t="e">
        <f>IF(ROUND(#REF!-E$38,3)=0,"OK","ERROR")</f>
        <v>#REF!</v>
      </c>
      <c r="F44" s="275" t="e">
        <f>IF(ROUND(#REF!-F$38,3)=0,"OK","ERROR")</f>
        <v>#REF!</v>
      </c>
      <c r="G44" s="275" t="e">
        <f>IF(ROUND(#REF!-G$38,3)=0,"OK","ERROR")</f>
        <v>#REF!</v>
      </c>
      <c r="H44" s="275" t="e">
        <f>IF(ROUND(#REF!-H$38,3)=0,"OK","ERROR")</f>
        <v>#REF!</v>
      </c>
      <c r="I44" s="275" t="e">
        <f>IF(ROUND(#REF!-I$38,3)=0,"OK","ERROR")</f>
        <v>#REF!</v>
      </c>
      <c r="J44" s="158" t="e">
        <f>IF(ROUND(#REF!-J$38 + IF($F$1="Yes",J$331,0) + IF($I$1="Yes",J$318,0) + IF($L$1="Yes",J$348,0),3)=0,"OK","ERROR")</f>
        <v>#REF!</v>
      </c>
      <c r="K44" s="158" t="e">
        <f>IF(ROUND(#REF!-K$38 + IF($F$1="Yes",K$331,0) + IF($I$1="Yes",K$318,0) + IF($L$1="Yes",K$348,0),3)=0,"OK","ERROR")</f>
        <v>#REF!</v>
      </c>
      <c r="L44" s="158" t="e">
        <f>IF(ROUND(#REF!-L$38 + IF($F$1="Yes",L$331,0) + IF($I$1="Yes",L$318,0) + IF($L$1="Yes",L$348,0),3)=0,"OK","ERROR")</f>
        <v>#REF!</v>
      </c>
      <c r="M44" s="158" t="e">
        <f>IF(ROUND(#REF!-M$38 + IF($F$1="Yes",M$331,0) + IF($I$1="Yes",M$318,0) + IF($L$1="Yes",M$348,0),3)=0,"OK","ERROR")</f>
        <v>#REF!</v>
      </c>
      <c r="N44" s="158" t="e">
        <f>IF(ROUND(#REF!-N$38 + IF($F$1="Yes",N$331,0) + IF($I$1="Yes",N$318,0) + IF($L$1="Yes",N$348,0),3)=0,"OK","ERROR")</f>
        <v>#REF!</v>
      </c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36"/>
    </row>
    <row r="45" spans="1:25" x14ac:dyDescent="0.2">
      <c r="A45" s="225"/>
      <c r="C45" s="71"/>
      <c r="D45" s="119" t="e">
        <f t="shared" ref="D45:X45" si="23">D48/D$237</f>
        <v>#REF!</v>
      </c>
      <c r="E45" s="119" t="e">
        <f t="shared" si="23"/>
        <v>#REF!</v>
      </c>
      <c r="F45" s="119" t="e">
        <f t="shared" si="23"/>
        <v>#REF!</v>
      </c>
      <c r="G45" s="119" t="e">
        <f t="shared" si="23"/>
        <v>#REF!</v>
      </c>
      <c r="H45" s="119" t="e">
        <f t="shared" si="23"/>
        <v>#REF!</v>
      </c>
      <c r="I45" s="119" t="e">
        <f t="shared" si="23"/>
        <v>#REF!</v>
      </c>
      <c r="J45" s="123" t="e">
        <f t="shared" ca="1" si="23"/>
        <v>#REF!</v>
      </c>
      <c r="K45" s="123" t="e">
        <f t="shared" ca="1" si="23"/>
        <v>#REF!</v>
      </c>
      <c r="L45" s="123" t="e">
        <f t="shared" ca="1" si="23"/>
        <v>#REF!</v>
      </c>
      <c r="M45" s="123" t="e">
        <f t="shared" ca="1" si="23"/>
        <v>#REF!</v>
      </c>
      <c r="N45" s="123" t="e">
        <f t="shared" ca="1" si="23"/>
        <v>#REF!</v>
      </c>
      <c r="O45" s="331" t="e">
        <f t="shared" ca="1" si="23"/>
        <v>#N/A</v>
      </c>
      <c r="P45" s="331" t="e">
        <f t="shared" ca="1" si="23"/>
        <v>#N/A</v>
      </c>
      <c r="Q45" s="414" t="e">
        <f t="shared" ca="1" si="23"/>
        <v>#N/A</v>
      </c>
      <c r="R45" s="414" t="e">
        <f t="shared" ca="1" si="23"/>
        <v>#N/A</v>
      </c>
      <c r="S45" s="414" t="e">
        <f t="shared" ca="1" si="23"/>
        <v>#N/A</v>
      </c>
      <c r="T45" s="414" t="e">
        <f t="shared" ca="1" si="23"/>
        <v>#N/A</v>
      </c>
      <c r="U45" s="331" t="e">
        <f t="shared" ca="1" si="23"/>
        <v>#N/A</v>
      </c>
      <c r="V45" s="331" t="e">
        <f t="shared" ca="1" si="23"/>
        <v>#N/A</v>
      </c>
      <c r="W45" s="331" t="e">
        <f t="shared" ca="1" si="23"/>
        <v>#N/A</v>
      </c>
      <c r="X45" s="331" t="e">
        <f t="shared" ca="1" si="23"/>
        <v>#N/A</v>
      </c>
      <c r="Y45" s="36"/>
    </row>
    <row r="46" spans="1:25" ht="15.75" x14ac:dyDescent="0.25">
      <c r="A46" s="153" t="s">
        <v>131</v>
      </c>
      <c r="D46" s="119" t="e">
        <f t="shared" ref="D46:X46" si="24">D49/D$237</f>
        <v>#REF!</v>
      </c>
      <c r="E46" s="119" t="e">
        <f t="shared" si="24"/>
        <v>#REF!</v>
      </c>
      <c r="F46" s="119" t="e">
        <f t="shared" si="24"/>
        <v>#REF!</v>
      </c>
      <c r="G46" s="119" t="e">
        <f t="shared" si="24"/>
        <v>#REF!</v>
      </c>
      <c r="H46" s="119" t="e">
        <f t="shared" si="24"/>
        <v>#REF!</v>
      </c>
      <c r="I46" s="119" t="e">
        <f t="shared" si="24"/>
        <v>#REF!</v>
      </c>
      <c r="J46" s="123" t="e">
        <f t="shared" ca="1" si="24"/>
        <v>#REF!</v>
      </c>
      <c r="K46" s="123" t="e">
        <f t="shared" ca="1" si="24"/>
        <v>#REF!</v>
      </c>
      <c r="L46" s="123" t="e">
        <f t="shared" ca="1" si="24"/>
        <v>#REF!</v>
      </c>
      <c r="M46" s="123" t="e">
        <f t="shared" ca="1" si="24"/>
        <v>#REF!</v>
      </c>
      <c r="N46" s="123" t="e">
        <f t="shared" ca="1" si="24"/>
        <v>#REF!</v>
      </c>
      <c r="O46" s="331" t="e">
        <f t="shared" ca="1" si="24"/>
        <v>#N/A</v>
      </c>
      <c r="P46" s="331" t="e">
        <f t="shared" ca="1" si="24"/>
        <v>#N/A</v>
      </c>
      <c r="Q46" s="331" t="e">
        <f t="shared" ca="1" si="24"/>
        <v>#N/A</v>
      </c>
      <c r="R46" s="331" t="e">
        <f t="shared" ca="1" si="24"/>
        <v>#N/A</v>
      </c>
      <c r="S46" s="331" t="e">
        <f t="shared" ca="1" si="24"/>
        <v>#N/A</v>
      </c>
      <c r="T46" s="331" t="e">
        <f t="shared" ca="1" si="24"/>
        <v>#N/A</v>
      </c>
      <c r="U46" s="331" t="e">
        <f t="shared" ca="1" si="24"/>
        <v>#N/A</v>
      </c>
      <c r="V46" s="331" t="e">
        <f t="shared" ca="1" si="24"/>
        <v>#N/A</v>
      </c>
      <c r="W46" s="331" t="e">
        <f t="shared" ca="1" si="24"/>
        <v>#N/A</v>
      </c>
      <c r="X46" s="331" t="e">
        <f t="shared" ca="1" si="24"/>
        <v>#N/A</v>
      </c>
      <c r="Y46" s="36"/>
    </row>
    <row r="47" spans="1:25" x14ac:dyDescent="0.2">
      <c r="A47" s="108" t="s">
        <v>277</v>
      </c>
      <c r="C47"/>
      <c r="D47" s="119" t="e">
        <f>SUM(D50,D51)/D$237</f>
        <v>#REF!</v>
      </c>
      <c r="E47" s="119" t="e">
        <f t="shared" ref="E47:X47" si="25">SUM(E50,E51)/E$237</f>
        <v>#REF!</v>
      </c>
      <c r="F47" s="119" t="e">
        <f t="shared" si="25"/>
        <v>#REF!</v>
      </c>
      <c r="G47" s="119" t="e">
        <f t="shared" si="25"/>
        <v>#REF!</v>
      </c>
      <c r="H47" s="119" t="e">
        <f t="shared" si="25"/>
        <v>#REF!</v>
      </c>
      <c r="I47" s="119" t="e">
        <f t="shared" si="25"/>
        <v>#REF!</v>
      </c>
      <c r="J47" s="123" t="e">
        <f t="shared" ca="1" si="25"/>
        <v>#REF!</v>
      </c>
      <c r="K47" s="123" t="e">
        <f t="shared" ca="1" si="25"/>
        <v>#REF!</v>
      </c>
      <c r="L47" s="123" t="e">
        <f t="shared" ca="1" si="25"/>
        <v>#REF!</v>
      </c>
      <c r="M47" s="123" t="e">
        <f t="shared" ca="1" si="25"/>
        <v>#REF!</v>
      </c>
      <c r="N47" s="123" t="e">
        <f t="shared" ca="1" si="25"/>
        <v>#REF!</v>
      </c>
      <c r="O47" s="331" t="e">
        <f t="shared" ca="1" si="25"/>
        <v>#REF!</v>
      </c>
      <c r="P47" s="331" t="e">
        <f t="shared" ca="1" si="25"/>
        <v>#REF!</v>
      </c>
      <c r="Q47" s="331" t="e">
        <f t="shared" ca="1" si="25"/>
        <v>#REF!</v>
      </c>
      <c r="R47" s="331" t="e">
        <f t="shared" ca="1" si="25"/>
        <v>#REF!</v>
      </c>
      <c r="S47" s="331" t="e">
        <f t="shared" ca="1" si="25"/>
        <v>#REF!</v>
      </c>
      <c r="T47" s="331" t="e">
        <f t="shared" ca="1" si="25"/>
        <v>#REF!</v>
      </c>
      <c r="U47" s="331" t="e">
        <f t="shared" ca="1" si="25"/>
        <v>#REF!</v>
      </c>
      <c r="V47" s="331" t="e">
        <f t="shared" ca="1" si="25"/>
        <v>#REF!</v>
      </c>
      <c r="W47" s="331" t="e">
        <f t="shared" ca="1" si="25"/>
        <v>#REF!</v>
      </c>
      <c r="X47" s="331" t="e">
        <f t="shared" ca="1" si="25"/>
        <v>#REF!</v>
      </c>
      <c r="Y47" s="36"/>
    </row>
    <row r="48" spans="1:25" x14ac:dyDescent="0.2">
      <c r="A48" s="160" t="s">
        <v>185</v>
      </c>
      <c r="B48" s="233"/>
      <c r="C48"/>
      <c r="D48" s="69" t="e">
        <f>#REF!</f>
        <v>#REF!</v>
      </c>
      <c r="E48" s="69" t="e">
        <f>#REF!</f>
        <v>#REF!</v>
      </c>
      <c r="F48" s="69" t="e">
        <f>#REF!</f>
        <v>#REF!</v>
      </c>
      <c r="G48" s="69" t="e">
        <f>#REF!</f>
        <v>#REF!</v>
      </c>
      <c r="H48" s="69" t="e">
        <f>#REF!</f>
        <v>#REF!</v>
      </c>
      <c r="I48" s="69" t="e">
        <f>#REF!</f>
        <v>#REF!</v>
      </c>
      <c r="J48" s="125" t="e">
        <f ca="1">#REF!*IF($F$1="Yes",OFFSET('Forecast Adjuster'!$A$58,0,J$282),1) + IF($I$1="Yes",J$284,0)</f>
        <v>#REF!</v>
      </c>
      <c r="K48" s="125" t="e">
        <f ca="1">#REF!*IF($F$1="Yes",OFFSET('Forecast Adjuster'!$A$58,0,K$282),1) + IF($I$1="Yes",K$284,0)</f>
        <v>#REF!</v>
      </c>
      <c r="L48" s="125" t="e">
        <f ca="1">#REF!*IF($F$1="Yes",OFFSET('Forecast Adjuster'!$A$58,0,L$282),1) + IF($I$1="Yes",L$284,0)</f>
        <v>#REF!</v>
      </c>
      <c r="M48" s="125" t="e">
        <f ca="1">#REF!*IF($F$1="Yes",OFFSET('Forecast Adjuster'!$A$58,0,M$282),1) + IF($I$1="Yes",M$284,0)</f>
        <v>#REF!</v>
      </c>
      <c r="N48" s="125" t="e">
        <f ca="1">#REF!*IF($F$1="Yes",OFFSET('Forecast Adjuster'!$A$58,0,N$282),1) + IF($I$1="Yes",N$284,0)</f>
        <v>#REF!</v>
      </c>
      <c r="O48" s="73" t="e">
        <f ca="1">IF(AND(OFFSET(Scenarios!$A$26,0,$C$1)="YES",OFFSET(Scenarios!$A$28,0,$C$1)&gt;=O$4),N$48*(1+O$249)*(1+OFFSET(Scenarios!$A$27,0,$C$1)*O$240)*(1+OFFSET(Scenarios!$A$27,0,$C$1)*O$252),IF(OFFSET(Scenarios!$A$50,0,$C$1)="Yes",IF(N$48/N$237&lt;OFFSET(Scenarios!$A$57,0,$C$1),MIN(N$48/N$237+OFFSET(Scenarios!$A$56,0,$C$1),OFFSET(Scenarios!$A$57,0,$C$1)),MAX(N$48/N$237-OFFSET(Scenarios!$A$56,0,$C$1),OFFSET(Scenarios!$A$57,0,$C$1)))*O$237,N$48*(1+O$249)*(1+O$240)*(1+O$252)))</f>
        <v>#N/A</v>
      </c>
      <c r="P48" s="73" t="e">
        <f ca="1">IF(AND(OFFSET(Scenarios!$A$26,0,$C$1)="YES",OFFSET(Scenarios!$A$28,0,$C$1)&gt;=P$4),O$48*(1+P$249)*(1+OFFSET(Scenarios!$A$27,0,$C$1)*P$240)*(1+OFFSET(Scenarios!$A$27,0,$C$1)*P$252),IF(OFFSET(Scenarios!$A$50,0,$C$1)="Yes",IF(O$48/O$237&lt;OFFSET(Scenarios!$A$57,0,$C$1),MIN(O$48/O$237+OFFSET(Scenarios!$A$56,0,$C$1),OFFSET(Scenarios!$A$57,0,$C$1)),MAX(O$48/O$237-OFFSET(Scenarios!$A$56,0,$C$1),OFFSET(Scenarios!$A$57,0,$C$1)))*P$237,O$48*(1+P$249)*(1+P$240)*(1+P$252)))</f>
        <v>#N/A</v>
      </c>
      <c r="Q48" s="73" t="e">
        <f ca="1">IF(AND(OFFSET(Scenarios!$A$26,0,$C$1)="YES",OFFSET(Scenarios!$A$28,0,$C$1)&gt;=Q$4),P$48*(1+Q$249)*(1+OFFSET(Scenarios!$A$27,0,$C$1)*Q$240)*(1+OFFSET(Scenarios!$A$27,0,$C$1)*Q$252),IF(OFFSET(Scenarios!$A$50,0,$C$1)="Yes",IF(P$48/P$237&lt;OFFSET(Scenarios!$A$57,0,$C$1),MIN(P$48/P$237+OFFSET(Scenarios!$A$56,0,$C$1),OFFSET(Scenarios!$A$57,0,$C$1)),MAX(P$48/P$237-OFFSET(Scenarios!$A$56,0,$C$1),OFFSET(Scenarios!$A$57,0,$C$1)))*Q$237,P$48*(1+Q$249)*(1+Q$240)*(1+Q$252)))</f>
        <v>#N/A</v>
      </c>
      <c r="R48" s="73" t="e">
        <f ca="1">IF(AND(OFFSET(Scenarios!$A$26,0,$C$1)="YES",OFFSET(Scenarios!$A$28,0,$C$1)&gt;=R$4),Q$48*(1+R$249)*(1+OFFSET(Scenarios!$A$27,0,$C$1)*R$240)*(1+OFFSET(Scenarios!$A$27,0,$C$1)*R$252),IF(OFFSET(Scenarios!$A$50,0,$C$1)="Yes",IF(Q$48/Q$237&lt;OFFSET(Scenarios!$A$57,0,$C$1),MIN(Q$48/Q$237+OFFSET(Scenarios!$A$56,0,$C$1),OFFSET(Scenarios!$A$57,0,$C$1)),MAX(Q$48/Q$237-OFFSET(Scenarios!$A$56,0,$C$1),OFFSET(Scenarios!$A$57,0,$C$1)))*R$237,Q$48*(1+R$249)*(1+R$240)*(1+R$252)))</f>
        <v>#N/A</v>
      </c>
      <c r="S48" s="73" t="e">
        <f ca="1">IF(AND(OFFSET(Scenarios!$A$26,0,$C$1)="YES",OFFSET(Scenarios!$A$28,0,$C$1)&gt;=S$4),R$48*(1+S$249)*(1+OFFSET(Scenarios!$A$27,0,$C$1)*S$240)*(1+OFFSET(Scenarios!$A$27,0,$C$1)*S$252),IF(OFFSET(Scenarios!$A$50,0,$C$1)="Yes",IF(R$48/R$237&lt;OFFSET(Scenarios!$A$57,0,$C$1),MIN(R$48/R$237+OFFSET(Scenarios!$A$56,0,$C$1),OFFSET(Scenarios!$A$57,0,$C$1)),MAX(R$48/R$237-OFFSET(Scenarios!$A$56,0,$C$1),OFFSET(Scenarios!$A$57,0,$C$1)))*S$237,R$48*(1+S$249)*(1+S$240)*(1+S$252)))</f>
        <v>#N/A</v>
      </c>
      <c r="T48" s="73" t="e">
        <f ca="1">IF(AND(OFFSET(Scenarios!$A$26,0,$C$1)="YES",OFFSET(Scenarios!$A$28,0,$C$1)&gt;=T$4),S$48*(1+T$249)*(1+OFFSET(Scenarios!$A$27,0,$C$1)*T$240)*(1+OFFSET(Scenarios!$A$27,0,$C$1)*T$252),IF(OFFSET(Scenarios!$A$50,0,$C$1)="Yes",IF(S$48/S$237&lt;OFFSET(Scenarios!$A$57,0,$C$1),MIN(S$48/S$237+OFFSET(Scenarios!$A$56,0,$C$1),OFFSET(Scenarios!$A$57,0,$C$1)),MAX(S$48/S$237-OFFSET(Scenarios!$A$56,0,$C$1),OFFSET(Scenarios!$A$57,0,$C$1)))*T$237,S$48*(1+T$249)*(1+T$240)*(1+T$252)))</f>
        <v>#N/A</v>
      </c>
      <c r="U48" s="73" t="e">
        <f ca="1">IF(AND(OFFSET(Scenarios!$A$26,0,$C$1)="YES",OFFSET(Scenarios!$A$28,0,$C$1)&gt;=U$4),T$48*(1+U$249)*(1+OFFSET(Scenarios!$A$27,0,$C$1)*U$240)*(1+OFFSET(Scenarios!$A$27,0,$C$1)*U$252),IF(OFFSET(Scenarios!$A$50,0,$C$1)="Yes",IF(T$48/T$237&lt;OFFSET(Scenarios!$A$57,0,$C$1),MIN(T$48/T$237+OFFSET(Scenarios!$A$56,0,$C$1),OFFSET(Scenarios!$A$57,0,$C$1)),MAX(T$48/T$237-OFFSET(Scenarios!$A$56,0,$C$1),OFFSET(Scenarios!$A$57,0,$C$1)))*U$237,T$48*(1+U$249)*(1+U$240)*(1+U$252)))</f>
        <v>#N/A</v>
      </c>
      <c r="V48" s="73" t="e">
        <f ca="1">IF(AND(OFFSET(Scenarios!$A$26,0,$C$1)="YES",OFFSET(Scenarios!$A$28,0,$C$1)&gt;=V$4),U$48*(1+V$249)*(1+OFFSET(Scenarios!$A$27,0,$C$1)*V$240)*(1+OFFSET(Scenarios!$A$27,0,$C$1)*V$252),IF(OFFSET(Scenarios!$A$50,0,$C$1)="Yes",IF(U$48/U$237&lt;OFFSET(Scenarios!$A$57,0,$C$1),MIN(U$48/U$237+OFFSET(Scenarios!$A$56,0,$C$1),OFFSET(Scenarios!$A$57,0,$C$1)),MAX(U$48/U$237-OFFSET(Scenarios!$A$56,0,$C$1),OFFSET(Scenarios!$A$57,0,$C$1)))*V$237,U$48*(1+V$249)*(1+V$240)*(1+V$252)))</f>
        <v>#N/A</v>
      </c>
      <c r="W48" s="73" t="e">
        <f ca="1">IF(AND(OFFSET(Scenarios!$A$26,0,$C$1)="YES",OFFSET(Scenarios!$A$28,0,$C$1)&gt;=W$4),V$48*(1+W$249)*(1+OFFSET(Scenarios!$A$27,0,$C$1)*W$240)*(1+OFFSET(Scenarios!$A$27,0,$C$1)*W$252),IF(OFFSET(Scenarios!$A$50,0,$C$1)="Yes",IF(V$48/V$237&lt;OFFSET(Scenarios!$A$57,0,$C$1),MIN(V$48/V$237+OFFSET(Scenarios!$A$56,0,$C$1),OFFSET(Scenarios!$A$57,0,$C$1)),MAX(V$48/V$237-OFFSET(Scenarios!$A$56,0,$C$1),OFFSET(Scenarios!$A$57,0,$C$1)))*W$237,V$48*(1+W$249)*(1+W$240)*(1+W$252)))</f>
        <v>#N/A</v>
      </c>
      <c r="X48" s="73" t="e">
        <f ca="1">IF(AND(OFFSET(Scenarios!$A$26,0,$C$1)="YES",OFFSET(Scenarios!$A$28,0,$C$1)&gt;=X$4),W$48*(1+X$249)*(1+OFFSET(Scenarios!$A$27,0,$C$1)*X$240)*(1+OFFSET(Scenarios!$A$27,0,$C$1)*X$252),IF(OFFSET(Scenarios!$A$50,0,$C$1)="Yes",IF(W$48/W$237&lt;OFFSET(Scenarios!$A$57,0,$C$1),MIN(W$48/W$237+OFFSET(Scenarios!$A$56,0,$C$1),OFFSET(Scenarios!$A$57,0,$C$1)),MAX(W$48/W$237-OFFSET(Scenarios!$A$56,0,$C$1),OFFSET(Scenarios!$A$57,0,$C$1)))*X$237,W$48*(1+X$249)*(1+X$240)*(1+X$252)))</f>
        <v>#N/A</v>
      </c>
      <c r="Y48" s="36"/>
    </row>
    <row r="49" spans="1:25" x14ac:dyDescent="0.2">
      <c r="A49" s="160" t="s">
        <v>331</v>
      </c>
      <c r="B49" s="233"/>
      <c r="C49" s="69"/>
      <c r="D49" s="69" t="e">
        <f>#REF!</f>
        <v>#REF!</v>
      </c>
      <c r="E49" s="69" t="e">
        <f>#REF!</f>
        <v>#REF!</v>
      </c>
      <c r="F49" s="69" t="e">
        <f>#REF!</f>
        <v>#REF!</v>
      </c>
      <c r="G49" s="69" t="e">
        <f>#REF!</f>
        <v>#REF!</v>
      </c>
      <c r="H49" s="69" t="e">
        <f>#REF!</f>
        <v>#REF!</v>
      </c>
      <c r="I49" s="69" t="e">
        <f>#REF!</f>
        <v>#REF!</v>
      </c>
      <c r="J49" s="125" t="e">
        <f ca="1">#REF!*IF($F$1="Yes",OFFSET('Forecast Adjuster'!$A$58,0,J$282),1) + IF($I$1="Yes",J$285,0)</f>
        <v>#REF!</v>
      </c>
      <c r="K49" s="125" t="e">
        <f ca="1">#REF!*IF($F$1="Yes",OFFSET('Forecast Adjuster'!$A$58,0,K$282),1) + IF($I$1="Yes",K$285,0)</f>
        <v>#REF!</v>
      </c>
      <c r="L49" s="125" t="e">
        <f ca="1">#REF!*IF($F$1="Yes",OFFSET('Forecast Adjuster'!$A$58,0,L$282),1) + IF($I$1="Yes",L$285,0)</f>
        <v>#REF!</v>
      </c>
      <c r="M49" s="125" t="e">
        <f ca="1">#REF!*IF($F$1="Yes",OFFSET('Forecast Adjuster'!$A$58,0,M$282),1) + IF($I$1="Yes",M$285,0)</f>
        <v>#REF!</v>
      </c>
      <c r="N49" s="125" t="e">
        <f ca="1">#REF!*IF($F$1="Yes",OFFSET('Forecast Adjuster'!$A$58,0,N$282),1) + IF($I$1="Yes",N$285,0)</f>
        <v>#REF!</v>
      </c>
      <c r="O49" s="73" t="e">
        <f ca="1">IF(OFFSET(Scenarios!$A$51,0,$C$1)="Yes",IF(N$49/N$237&lt;OFFSET(Scenarios!$A$58,0,$C$1),MIN(N$49/N$237+OFFSET(Scenarios!$A$56,0,$C$1),OFFSET(Scenarios!$A$58,0,$C$1)),MAX(N$49/N$237-OFFSET(Scenarios!$A$56,0,$C$1),OFFSET(Scenarios!$A$58,0,$C$1)))*O$237,N$49*(1+O$238))</f>
        <v>#N/A</v>
      </c>
      <c r="P49" s="73" t="e">
        <f ca="1">IF(OFFSET(Scenarios!$A$51,0,$C$1)="Yes",IF(O$49/O$237&lt;OFFSET(Scenarios!$A$58,0,$C$1),MIN(O$49/O$237+OFFSET(Scenarios!$A$56,0,$C$1),OFFSET(Scenarios!$A$58,0,$C$1)),MAX(O$49/O$237-OFFSET(Scenarios!$A$56,0,$C$1),OFFSET(Scenarios!$A$58,0,$C$1)))*P$237,O$49*(1+P$238))</f>
        <v>#N/A</v>
      </c>
      <c r="Q49" s="73" t="e">
        <f ca="1">IF(OFFSET(Scenarios!$A$51,0,$C$1)="Yes",IF(P$49/P$237&lt;OFFSET(Scenarios!$A$58,0,$C$1),MIN(P$49/P$237+OFFSET(Scenarios!$A$56,0,$C$1),OFFSET(Scenarios!$A$58,0,$C$1)),MAX(P$49/P$237-OFFSET(Scenarios!$A$56,0,$C$1),OFFSET(Scenarios!$A$58,0,$C$1)))*Q$237,P$49*(1+Q$238))</f>
        <v>#N/A</v>
      </c>
      <c r="R49" s="73" t="e">
        <f ca="1">IF(OFFSET(Scenarios!$A$51,0,$C$1)="Yes",IF(Q$49/Q$237&lt;OFFSET(Scenarios!$A$58,0,$C$1),MIN(Q$49/Q$237+OFFSET(Scenarios!$A$56,0,$C$1),OFFSET(Scenarios!$A$58,0,$C$1)),MAX(Q$49/Q$237-OFFSET(Scenarios!$A$56,0,$C$1),OFFSET(Scenarios!$A$58,0,$C$1)))*R$237,Q$49*(1+R$238))</f>
        <v>#N/A</v>
      </c>
      <c r="S49" s="73" t="e">
        <f ca="1">IF(OFFSET(Scenarios!$A$51,0,$C$1)="Yes",IF(R$49/R$237&lt;OFFSET(Scenarios!$A$58,0,$C$1),MIN(R$49/R$237+OFFSET(Scenarios!$A$56,0,$C$1),OFFSET(Scenarios!$A$58,0,$C$1)),MAX(R$49/R$237-OFFSET(Scenarios!$A$56,0,$C$1),OFFSET(Scenarios!$A$58,0,$C$1)))*S$237,R$49*(1+S$238))</f>
        <v>#N/A</v>
      </c>
      <c r="T49" s="73" t="e">
        <f ca="1">IF(OFFSET(Scenarios!$A$51,0,$C$1)="Yes",IF(S$49/S$237&lt;OFFSET(Scenarios!$A$58,0,$C$1),MIN(S$49/S$237+OFFSET(Scenarios!$A$56,0,$C$1),OFFSET(Scenarios!$A$58,0,$C$1)),MAX(S$49/S$237-OFFSET(Scenarios!$A$56,0,$C$1),OFFSET(Scenarios!$A$58,0,$C$1)))*T$237,S$49*(1+T$238))</f>
        <v>#N/A</v>
      </c>
      <c r="U49" s="73" t="e">
        <f ca="1">IF(OFFSET(Scenarios!$A$51,0,$C$1)="Yes",IF(T$49/T$237&lt;OFFSET(Scenarios!$A$58,0,$C$1),MIN(T$49/T$237+OFFSET(Scenarios!$A$56,0,$C$1),OFFSET(Scenarios!$A$58,0,$C$1)),MAX(T$49/T$237-OFFSET(Scenarios!$A$56,0,$C$1),OFFSET(Scenarios!$A$58,0,$C$1)))*U$237,T$49*(1+U$238))</f>
        <v>#N/A</v>
      </c>
      <c r="V49" s="73" t="e">
        <f ca="1">IF(OFFSET(Scenarios!$A$51,0,$C$1)="Yes",IF(U$49/U$237&lt;OFFSET(Scenarios!$A$58,0,$C$1),MIN(U$49/U$237+OFFSET(Scenarios!$A$56,0,$C$1),OFFSET(Scenarios!$A$58,0,$C$1)),MAX(U$49/U$237-OFFSET(Scenarios!$A$56,0,$C$1),OFFSET(Scenarios!$A$58,0,$C$1)))*V$237,U$49*(1+V$238))</f>
        <v>#N/A</v>
      </c>
      <c r="W49" s="73" t="e">
        <f ca="1">IF(OFFSET(Scenarios!$A$51,0,$C$1)="Yes",IF(V$49/V$237&lt;OFFSET(Scenarios!$A$58,0,$C$1),MIN(V$49/V$237+OFFSET(Scenarios!$A$56,0,$C$1),OFFSET(Scenarios!$A$58,0,$C$1)),MAX(V$49/V$237-OFFSET(Scenarios!$A$56,0,$C$1),OFFSET(Scenarios!$A$58,0,$C$1)))*W$237,V$49*(1+W$238))</f>
        <v>#N/A</v>
      </c>
      <c r="X49" s="73" t="e">
        <f ca="1">IF(OFFSET(Scenarios!$A$51,0,$C$1)="Yes",IF(W$49/W$237&lt;OFFSET(Scenarios!$A$58,0,$C$1),MIN(W$49/W$237+OFFSET(Scenarios!$A$56,0,$C$1),OFFSET(Scenarios!$A$58,0,$C$1)),MAX(W$49/W$237-OFFSET(Scenarios!$A$56,0,$C$1),OFFSET(Scenarios!$A$58,0,$C$1)))*X$237,W$49*(1+X$238))</f>
        <v>#N/A</v>
      </c>
      <c r="Y49" s="36"/>
    </row>
    <row r="50" spans="1:25" x14ac:dyDescent="0.2">
      <c r="A50" s="160" t="s">
        <v>905</v>
      </c>
      <c r="B50" s="233"/>
      <c r="C50" s="69"/>
      <c r="D50" s="69" t="e">
        <f>#REF!</f>
        <v>#REF!</v>
      </c>
      <c r="E50" s="69" t="e">
        <f>#REF!</f>
        <v>#REF!</v>
      </c>
      <c r="F50" s="69" t="e">
        <f>#REF!</f>
        <v>#REF!</v>
      </c>
      <c r="G50" s="69" t="e">
        <f>#REF!</f>
        <v>#REF!</v>
      </c>
      <c r="H50" s="69" t="e">
        <f>#REF!</f>
        <v>#REF!</v>
      </c>
      <c r="I50" s="69" t="e">
        <f>#REF!</f>
        <v>#REF!</v>
      </c>
      <c r="J50" s="125" t="e">
        <f ca="1">#REF!*IF($F$1="Yes",OFFSET('Forecast Adjuster'!$A$58,0,J$282),1) + IF($I$1="Yes",J$286,0)</f>
        <v>#REF!</v>
      </c>
      <c r="K50" s="125" t="e">
        <f ca="1">#REF!*IF($F$1="Yes",OFFSET('Forecast Adjuster'!$A$58,0,K$282),1) + IF($I$1="Yes",K$286,0)</f>
        <v>#REF!</v>
      </c>
      <c r="L50" s="125" t="e">
        <f ca="1">#REF!*IF($F$1="Yes",OFFSET('Forecast Adjuster'!$A$58,0,L$282),1) + IF($I$1="Yes",L$286,0)</f>
        <v>#REF!</v>
      </c>
      <c r="M50" s="125" t="e">
        <f ca="1">#REF!*IF($F$1="Yes",OFFSET('Forecast Adjuster'!$A$58,0,M$282),1) + IF($I$1="Yes",M$286,0)</f>
        <v>#REF!</v>
      </c>
      <c r="N50" s="125" t="e">
        <f ca="1">#REF!*IF($F$1="Yes",OFFSET('Forecast Adjuster'!$A$58,0,N$282),1) + IF($I$1="Yes",N$286,0)</f>
        <v>#REF!</v>
      </c>
      <c r="O50" s="73" t="e">
        <f ca="1">N$50/SUM(N$50,N$51)*IF(OFFSET(Scenarios!$A$52,0,$C$1)="Yes",IF(SUM(N$50:N$51)/N$237&lt;OFFSET(Scenarios!$A$59,0,$C$1),MIN(SUM(N$50:N$51)/N$237+OFFSET(Scenarios!$A$56,0,$C$1),OFFSET(Scenarios!$A$59,0,$C$1)),MAX(SUM(N$50:N$51)/N$237-OFFSET(Scenarios!$A$56,0,$C$1),OFFSET(Scenarios!$A$59,0,$C$1)))*O$237,SUM(N$50:N$51)*(1+O$238))</f>
        <v>#REF!</v>
      </c>
      <c r="P50" s="73" t="e">
        <f ca="1">O$50/SUM(O$50,O$51)*IF(OFFSET(Scenarios!$A$52,0,$C$1)="Yes",IF(SUM(O$50:O$51)/O$237&lt;OFFSET(Scenarios!$A$59,0,$C$1),MIN(SUM(O$50:O$51)/O$237+OFFSET(Scenarios!$A$56,0,$C$1),OFFSET(Scenarios!$A$59,0,$C$1)),MAX(SUM(O$50:O$51)/O$237-OFFSET(Scenarios!$A$56,0,$C$1),OFFSET(Scenarios!$A$59,0,$C$1)))*P$237,SUM(O$50:O$51)*(1+P$238))</f>
        <v>#REF!</v>
      </c>
      <c r="Q50" s="73" t="e">
        <f ca="1">P$50/SUM(P$50,P$51)*IF(OFFSET(Scenarios!$A$52,0,$C$1)="Yes",IF(SUM(P$50:P$51)/P$237&lt;OFFSET(Scenarios!$A$59,0,$C$1),MIN(SUM(P$50:P$51)/P$237+OFFSET(Scenarios!$A$56,0,$C$1),OFFSET(Scenarios!$A$59,0,$C$1)),MAX(SUM(P$50:P$51)/P$237-OFFSET(Scenarios!$A$56,0,$C$1),OFFSET(Scenarios!$A$59,0,$C$1)))*Q$237,SUM(P$50:P$51)*(1+Q$238))</f>
        <v>#REF!</v>
      </c>
      <c r="R50" s="73" t="e">
        <f ca="1">Q$50/SUM(Q$50,Q$51)*IF(OFFSET(Scenarios!$A$52,0,$C$1)="Yes",IF(SUM(Q$50:Q$51)/Q$237&lt;OFFSET(Scenarios!$A$59,0,$C$1),MIN(SUM(Q$50:Q$51)/Q$237+OFFSET(Scenarios!$A$56,0,$C$1),OFFSET(Scenarios!$A$59,0,$C$1)),MAX(SUM(Q$50:Q$51)/Q$237-OFFSET(Scenarios!$A$56,0,$C$1),OFFSET(Scenarios!$A$59,0,$C$1)))*R$237,SUM(Q$50:Q$51)*(1+R$238))</f>
        <v>#REF!</v>
      </c>
      <c r="S50" s="73" t="e">
        <f ca="1">R$50/SUM(R$50,R$51)*IF(OFFSET(Scenarios!$A$52,0,$C$1)="Yes",IF(SUM(R$50:R$51)/R$237&lt;OFFSET(Scenarios!$A$59,0,$C$1),MIN(SUM(R$50:R$51)/R$237+OFFSET(Scenarios!$A$56,0,$C$1),OFFSET(Scenarios!$A$59,0,$C$1)),MAX(SUM(R$50:R$51)/R$237-OFFSET(Scenarios!$A$56,0,$C$1),OFFSET(Scenarios!$A$59,0,$C$1)))*S$237,SUM(R$50:R$51)*(1+S$238))</f>
        <v>#REF!</v>
      </c>
      <c r="T50" s="73" t="e">
        <f ca="1">S$50/SUM(S$50,S$51)*IF(OFFSET(Scenarios!$A$52,0,$C$1)="Yes",IF(SUM(S$50:S$51)/S$237&lt;OFFSET(Scenarios!$A$59,0,$C$1),MIN(SUM(S$50:S$51)/S$237+OFFSET(Scenarios!$A$56,0,$C$1),OFFSET(Scenarios!$A$59,0,$C$1)),MAX(SUM(S$50:S$51)/S$237-OFFSET(Scenarios!$A$56,0,$C$1),OFFSET(Scenarios!$A$59,0,$C$1)))*T$237,SUM(S$50:S$51)*(1+T$238))</f>
        <v>#REF!</v>
      </c>
      <c r="U50" s="73" t="e">
        <f ca="1">T$50/SUM(T$50,T$51)*IF(OFFSET(Scenarios!$A$52,0,$C$1)="Yes",IF(SUM(T$50:T$51)/T$237&lt;OFFSET(Scenarios!$A$59,0,$C$1),MIN(SUM(T$50:T$51)/T$237+OFFSET(Scenarios!$A$56,0,$C$1),OFFSET(Scenarios!$A$59,0,$C$1)),MAX(SUM(T$50:T$51)/T$237-OFFSET(Scenarios!$A$56,0,$C$1),OFFSET(Scenarios!$A$59,0,$C$1)))*U$237,SUM(T$50:T$51)*(1+U$238))</f>
        <v>#REF!</v>
      </c>
      <c r="V50" s="73" t="e">
        <f ca="1">U$50/SUM(U$50,U$51)*IF(OFFSET(Scenarios!$A$52,0,$C$1)="Yes",IF(SUM(U$50:U$51)/U$237&lt;OFFSET(Scenarios!$A$59,0,$C$1),MIN(SUM(U$50:U$51)/U$237+OFFSET(Scenarios!$A$56,0,$C$1),OFFSET(Scenarios!$A$59,0,$C$1)),MAX(SUM(U$50:U$51)/U$237-OFFSET(Scenarios!$A$56,0,$C$1),OFFSET(Scenarios!$A$59,0,$C$1)))*V$237,SUM(U$50:U$51)*(1+V$238))</f>
        <v>#REF!</v>
      </c>
      <c r="W50" s="73" t="e">
        <f ca="1">V$50/SUM(V$50,V$51)*IF(OFFSET(Scenarios!$A$52,0,$C$1)="Yes",IF(SUM(V$50:V$51)/V$237&lt;OFFSET(Scenarios!$A$59,0,$C$1),MIN(SUM(V$50:V$51)/V$237+OFFSET(Scenarios!$A$56,0,$C$1),OFFSET(Scenarios!$A$59,0,$C$1)),MAX(SUM(V$50:V$51)/V$237-OFFSET(Scenarios!$A$56,0,$C$1),OFFSET(Scenarios!$A$59,0,$C$1)))*W$237,SUM(V$50:V$51)*(1+W$238))</f>
        <v>#REF!</v>
      </c>
      <c r="X50" s="73" t="e">
        <f ca="1">W$50/SUM(W$50,W$51)*IF(OFFSET(Scenarios!$A$52,0,$C$1)="Yes",IF(SUM(W$50:W$51)/W$237&lt;OFFSET(Scenarios!$A$59,0,$C$1),MIN(SUM(W$50:W$51)/W$237+OFFSET(Scenarios!$A$56,0,$C$1),OFFSET(Scenarios!$A$59,0,$C$1)),MAX(SUM(W$50:W$51)/W$237-OFFSET(Scenarios!$A$56,0,$C$1),OFFSET(Scenarios!$A$59,0,$C$1)))*X$237,SUM(W$50:W$51)*(1+X$238))</f>
        <v>#REF!</v>
      </c>
      <c r="Y50" s="36"/>
    </row>
    <row r="51" spans="1:25" x14ac:dyDescent="0.2">
      <c r="A51" s="160" t="s">
        <v>245</v>
      </c>
      <c r="B51" s="233"/>
      <c r="C51" s="69"/>
      <c r="D51" s="176" t="e">
        <f>SUM(#REF!,#REF!,#REF!)</f>
        <v>#REF!</v>
      </c>
      <c r="E51" s="176" t="e">
        <f>SUM(#REF!,#REF!,#REF!)</f>
        <v>#REF!</v>
      </c>
      <c r="F51" s="176" t="e">
        <f>SUM(#REF!,#REF!,#REF!)</f>
        <v>#REF!</v>
      </c>
      <c r="G51" s="176" t="e">
        <f>SUM(#REF!,#REF!,#REF!)</f>
        <v>#REF!</v>
      </c>
      <c r="H51" s="176" t="e">
        <f>SUM(#REF!,#REF!,#REF!)</f>
        <v>#REF!</v>
      </c>
      <c r="I51" s="176" t="e">
        <f>SUM(#REF!,#REF!,#REF!)</f>
        <v>#REF!</v>
      </c>
      <c r="J51" s="130" t="e">
        <f ca="1">SUM(#REF!,#REF!,#REF!)*IF($F$1="Yes",OFFSET('Forecast Adjuster'!$A$58,0,J$282),1) + IF($I$1="Yes",J$287,0)</f>
        <v>#REF!</v>
      </c>
      <c r="K51" s="130" t="e">
        <f ca="1">SUM(#REF!,#REF!,#REF!)*IF($F$1="Yes",OFFSET('Forecast Adjuster'!$A$58,0,K$282),1) + IF($I$1="Yes",K$287,0)</f>
        <v>#REF!</v>
      </c>
      <c r="L51" s="130" t="e">
        <f ca="1">SUM(#REF!,#REF!,#REF!)*IF($F$1="Yes",OFFSET('Forecast Adjuster'!$A$58,0,L$282),1) + IF($I$1="Yes",L$287,0)</f>
        <v>#REF!</v>
      </c>
      <c r="M51" s="130" t="e">
        <f ca="1">SUM(#REF!,#REF!,#REF!)*IF($F$1="Yes",OFFSET('Forecast Adjuster'!$A$58,0,M$282),1) + IF($I$1="Yes",M$287,0)</f>
        <v>#REF!</v>
      </c>
      <c r="N51" s="130" t="e">
        <f ca="1">SUM(#REF!,#REF!,#REF!)*IF($F$1="Yes",OFFSET('Forecast Adjuster'!$A$58,0,N$282),1) + IF($I$1="Yes",N$287,0)</f>
        <v>#REF!</v>
      </c>
      <c r="O51" s="81" t="e">
        <f ca="1">N$51/SUM(N$50,N$51)*IF(OFFSET(Scenarios!$A$52,0,$C$1)="Yes",IF(SUM(N$50:N$51)/N$237&lt;OFFSET(Scenarios!$A$59,0,$C$1),MIN(SUM(N$50:N$51)/N$237+OFFSET(Scenarios!$A$56,0,$C$1),OFFSET(Scenarios!$A$59,0,$C$1)),MAX(SUM(N$50:N$51)/N$237-OFFSET(Scenarios!$A$56,0,$C$1),OFFSET(Scenarios!$A$59,0,$C$1)))*O$237,SUM(N$50:N$51)*(1+O$238))</f>
        <v>#REF!</v>
      </c>
      <c r="P51" s="81" t="e">
        <f ca="1">O$51/SUM(O$50,O$51)*IF(OFFSET(Scenarios!$A$52,0,$C$1)="Yes",IF(SUM(O$50:O$51)/O$237&lt;OFFSET(Scenarios!$A$59,0,$C$1),MIN(SUM(O$50:O$51)/O$237+OFFSET(Scenarios!$A$56,0,$C$1),OFFSET(Scenarios!$A$59,0,$C$1)),MAX(SUM(O$50:O$51)/O$237-OFFSET(Scenarios!$A$56,0,$C$1),OFFSET(Scenarios!$A$59,0,$C$1)))*P$237,SUM(O$50:O$51)*(1+P$238))</f>
        <v>#REF!</v>
      </c>
      <c r="Q51" s="81" t="e">
        <f ca="1">P$51/SUM(P$50,P$51)*IF(OFFSET(Scenarios!$A$52,0,$C$1)="Yes",IF(SUM(P$50:P$51)/P$237&lt;OFFSET(Scenarios!$A$59,0,$C$1),MIN(SUM(P$50:P$51)/P$237+OFFSET(Scenarios!$A$56,0,$C$1),OFFSET(Scenarios!$A$59,0,$C$1)),MAX(SUM(P$50:P$51)/P$237-OFFSET(Scenarios!$A$56,0,$C$1),OFFSET(Scenarios!$A$59,0,$C$1)))*Q$237,SUM(P$50:P$51)*(1+Q$238))</f>
        <v>#REF!</v>
      </c>
      <c r="R51" s="81" t="e">
        <f ca="1">Q$51/SUM(Q$50,Q$51)*IF(OFFSET(Scenarios!$A$52,0,$C$1)="Yes",IF(SUM(Q$50:Q$51)/Q$237&lt;OFFSET(Scenarios!$A$59,0,$C$1),MIN(SUM(Q$50:Q$51)/Q$237+OFFSET(Scenarios!$A$56,0,$C$1),OFFSET(Scenarios!$A$59,0,$C$1)),MAX(SUM(Q$50:Q$51)/Q$237-OFFSET(Scenarios!$A$56,0,$C$1),OFFSET(Scenarios!$A$59,0,$C$1)))*R$237,SUM(Q$50:Q$51)*(1+R$238))</f>
        <v>#REF!</v>
      </c>
      <c r="S51" s="81" t="e">
        <f ca="1">R$51/SUM(R$50,R$51)*IF(OFFSET(Scenarios!$A$52,0,$C$1)="Yes",IF(SUM(R$50:R$51)/R$237&lt;OFFSET(Scenarios!$A$59,0,$C$1),MIN(SUM(R$50:R$51)/R$237+OFFSET(Scenarios!$A$56,0,$C$1),OFFSET(Scenarios!$A$59,0,$C$1)),MAX(SUM(R$50:R$51)/R$237-OFFSET(Scenarios!$A$56,0,$C$1),OFFSET(Scenarios!$A$59,0,$C$1)))*S$237,SUM(R$50:R$51)*(1+S$238))</f>
        <v>#REF!</v>
      </c>
      <c r="T51" s="81" t="e">
        <f ca="1">S$51/SUM(S$50,S$51)*IF(OFFSET(Scenarios!$A$52,0,$C$1)="Yes",IF(SUM(S$50:S$51)/S$237&lt;OFFSET(Scenarios!$A$59,0,$C$1),MIN(SUM(S$50:S$51)/S$237+OFFSET(Scenarios!$A$56,0,$C$1),OFFSET(Scenarios!$A$59,0,$C$1)),MAX(SUM(S$50:S$51)/S$237-OFFSET(Scenarios!$A$56,0,$C$1),OFFSET(Scenarios!$A$59,0,$C$1)))*T$237,SUM(S$50:S$51)*(1+T$238))</f>
        <v>#REF!</v>
      </c>
      <c r="U51" s="81" t="e">
        <f ca="1">T$51/SUM(T$50,T$51)*IF(OFFSET(Scenarios!$A$52,0,$C$1)="Yes",IF(SUM(T$50:T$51)/T$237&lt;OFFSET(Scenarios!$A$59,0,$C$1),MIN(SUM(T$50:T$51)/T$237+OFFSET(Scenarios!$A$56,0,$C$1),OFFSET(Scenarios!$A$59,0,$C$1)),MAX(SUM(T$50:T$51)/T$237-OFFSET(Scenarios!$A$56,0,$C$1),OFFSET(Scenarios!$A$59,0,$C$1)))*U$237,SUM(T$50:T$51)*(1+U$238))</f>
        <v>#REF!</v>
      </c>
      <c r="V51" s="81" t="e">
        <f ca="1">U$51/SUM(U$50,U$51)*IF(OFFSET(Scenarios!$A$52,0,$C$1)="Yes",IF(SUM(U$50:U$51)/U$237&lt;OFFSET(Scenarios!$A$59,0,$C$1),MIN(SUM(U$50:U$51)/U$237+OFFSET(Scenarios!$A$56,0,$C$1),OFFSET(Scenarios!$A$59,0,$C$1)),MAX(SUM(U$50:U$51)/U$237-OFFSET(Scenarios!$A$56,0,$C$1),OFFSET(Scenarios!$A$59,0,$C$1)))*V$237,SUM(U$50:U$51)*(1+V$238))</f>
        <v>#REF!</v>
      </c>
      <c r="W51" s="81" t="e">
        <f ca="1">V$51/SUM(V$50,V$51)*IF(OFFSET(Scenarios!$A$52,0,$C$1)="Yes",IF(SUM(V$50:V$51)/V$237&lt;OFFSET(Scenarios!$A$59,0,$C$1),MIN(SUM(V$50:V$51)/V$237+OFFSET(Scenarios!$A$56,0,$C$1),OFFSET(Scenarios!$A$59,0,$C$1)),MAX(SUM(V$50:V$51)/V$237-OFFSET(Scenarios!$A$56,0,$C$1),OFFSET(Scenarios!$A$59,0,$C$1)))*W$237,SUM(V$50:V$51)*(1+W$238))</f>
        <v>#REF!</v>
      </c>
      <c r="X51" s="81" t="e">
        <f ca="1">W$51/SUM(W$50,W$51)*IF(OFFSET(Scenarios!$A$52,0,$C$1)="Yes",IF(SUM(W$50:W$51)/W$237&lt;OFFSET(Scenarios!$A$59,0,$C$1),MIN(SUM(W$50:W$51)/W$237+OFFSET(Scenarios!$A$56,0,$C$1),OFFSET(Scenarios!$A$59,0,$C$1)),MAX(SUM(W$50:W$51)/W$237-OFFSET(Scenarios!$A$56,0,$C$1),OFFSET(Scenarios!$A$59,0,$C$1)))*X$237,SUM(W$50:W$51)*(1+X$238))</f>
        <v>#REF!</v>
      </c>
      <c r="Y51" s="36"/>
    </row>
    <row r="52" spans="1:25" x14ac:dyDescent="0.2">
      <c r="A52" s="27" t="s">
        <v>246</v>
      </c>
      <c r="C52" s="69"/>
      <c r="D52" s="71" t="e">
        <f t="shared" ref="D52:X52" si="26">SUM(D$48:D$51)</f>
        <v>#REF!</v>
      </c>
      <c r="E52" s="71" t="e">
        <f t="shared" si="26"/>
        <v>#REF!</v>
      </c>
      <c r="F52" s="71" t="e">
        <f t="shared" si="26"/>
        <v>#REF!</v>
      </c>
      <c r="G52" s="71" t="e">
        <f t="shared" si="26"/>
        <v>#REF!</v>
      </c>
      <c r="H52" s="71" t="e">
        <f t="shared" si="26"/>
        <v>#REF!</v>
      </c>
      <c r="I52" s="71" t="e">
        <f t="shared" si="26"/>
        <v>#REF!</v>
      </c>
      <c r="J52" s="131" t="e">
        <f t="shared" ca="1" si="26"/>
        <v>#REF!</v>
      </c>
      <c r="K52" s="131" t="e">
        <f t="shared" ca="1" si="26"/>
        <v>#REF!</v>
      </c>
      <c r="L52" s="131" t="e">
        <f t="shared" ca="1" si="26"/>
        <v>#REF!</v>
      </c>
      <c r="M52" s="131" t="e">
        <f t="shared" ca="1" si="26"/>
        <v>#REF!</v>
      </c>
      <c r="N52" s="131" t="e">
        <f t="shared" ca="1" si="26"/>
        <v>#REF!</v>
      </c>
      <c r="O52" s="75" t="e">
        <f t="shared" ca="1" si="26"/>
        <v>#N/A</v>
      </c>
      <c r="P52" s="75" t="e">
        <f t="shared" ca="1" si="26"/>
        <v>#N/A</v>
      </c>
      <c r="Q52" s="75" t="e">
        <f t="shared" ca="1" si="26"/>
        <v>#N/A</v>
      </c>
      <c r="R52" s="75" t="e">
        <f t="shared" ca="1" si="26"/>
        <v>#N/A</v>
      </c>
      <c r="S52" s="75" t="e">
        <f t="shared" ca="1" si="26"/>
        <v>#N/A</v>
      </c>
      <c r="T52" s="75" t="e">
        <f t="shared" ca="1" si="26"/>
        <v>#N/A</v>
      </c>
      <c r="U52" s="75" t="e">
        <f t="shared" ca="1" si="26"/>
        <v>#N/A</v>
      </c>
      <c r="V52" s="75" t="e">
        <f t="shared" ca="1" si="26"/>
        <v>#N/A</v>
      </c>
      <c r="W52" s="75" t="e">
        <f t="shared" ca="1" si="26"/>
        <v>#N/A</v>
      </c>
      <c r="X52" s="75" t="e">
        <f t="shared" ca="1" si="26"/>
        <v>#N/A</v>
      </c>
      <c r="Y52" s="36"/>
    </row>
    <row r="53" spans="1:25" x14ac:dyDescent="0.2">
      <c r="A53" s="161" t="s">
        <v>521</v>
      </c>
      <c r="C53" s="69"/>
      <c r="D53" s="176" t="e">
        <f t="shared" ref="D53:N53" si="27">D$54-D$52</f>
        <v>#REF!</v>
      </c>
      <c r="E53" s="176" t="e">
        <f t="shared" si="27"/>
        <v>#REF!</v>
      </c>
      <c r="F53" s="176" t="e">
        <f t="shared" si="27"/>
        <v>#REF!</v>
      </c>
      <c r="G53" s="176" t="e">
        <f t="shared" si="27"/>
        <v>#REF!</v>
      </c>
      <c r="H53" s="176" t="e">
        <f t="shared" si="27"/>
        <v>#REF!</v>
      </c>
      <c r="I53" s="176" t="e">
        <f t="shared" si="27"/>
        <v>#REF!</v>
      </c>
      <c r="J53" s="130" t="e">
        <f t="shared" ca="1" si="27"/>
        <v>#REF!</v>
      </c>
      <c r="K53" s="130" t="e">
        <f t="shared" ca="1" si="27"/>
        <v>#REF!</v>
      </c>
      <c r="L53" s="130" t="e">
        <f t="shared" ca="1" si="27"/>
        <v>#REF!</v>
      </c>
      <c r="M53" s="130" t="e">
        <f t="shared" ca="1" si="27"/>
        <v>#REF!</v>
      </c>
      <c r="N53" s="130" t="e">
        <f t="shared" ca="1" si="27"/>
        <v>#REF!</v>
      </c>
      <c r="O53" s="81" t="e">
        <f t="shared" ref="O53:X53" ca="1" si="28">N$53*(1+O$238)</f>
        <v>#REF!</v>
      </c>
      <c r="P53" s="81" t="e">
        <f t="shared" ca="1" si="28"/>
        <v>#REF!</v>
      </c>
      <c r="Q53" s="81" t="e">
        <f t="shared" ca="1" si="28"/>
        <v>#REF!</v>
      </c>
      <c r="R53" s="81" t="e">
        <f t="shared" ca="1" si="28"/>
        <v>#REF!</v>
      </c>
      <c r="S53" s="81" t="e">
        <f t="shared" ca="1" si="28"/>
        <v>#REF!</v>
      </c>
      <c r="T53" s="81" t="e">
        <f t="shared" ca="1" si="28"/>
        <v>#REF!</v>
      </c>
      <c r="U53" s="81" t="e">
        <f t="shared" ca="1" si="28"/>
        <v>#REF!</v>
      </c>
      <c r="V53" s="81" t="e">
        <f t="shared" ca="1" si="28"/>
        <v>#REF!</v>
      </c>
      <c r="W53" s="81" t="e">
        <f t="shared" ca="1" si="28"/>
        <v>#REF!</v>
      </c>
      <c r="X53" s="81" t="e">
        <f t="shared" ca="1" si="28"/>
        <v>#REF!</v>
      </c>
      <c r="Y53" s="36"/>
    </row>
    <row r="54" spans="1:25" x14ac:dyDescent="0.2">
      <c r="A54" s="27" t="s">
        <v>336</v>
      </c>
      <c r="B54" s="233"/>
      <c r="C54" s="69"/>
      <c r="D54" s="71" t="e">
        <f>#REF!</f>
        <v>#REF!</v>
      </c>
      <c r="E54" s="71" t="e">
        <f>#REF!</f>
        <v>#REF!</v>
      </c>
      <c r="F54" s="71" t="e">
        <f>#REF!</f>
        <v>#REF!</v>
      </c>
      <c r="G54" s="71" t="e">
        <f>#REF!</f>
        <v>#REF!</v>
      </c>
      <c r="H54" s="71" t="e">
        <f>#REF!</f>
        <v>#REF!</v>
      </c>
      <c r="I54" s="71" t="e">
        <f>#REF!</f>
        <v>#REF!</v>
      </c>
      <c r="J54" s="131" t="e">
        <f ca="1">#REF! + IF($F$1="Yes",SUM(#REF!)*(OFFSET('Forecast Adjuster'!$A$58,0,J$282)-1),0) + IF($I$1="Yes",SUM(J$284:J$287),0)</f>
        <v>#REF!</v>
      </c>
      <c r="K54" s="131" t="e">
        <f ca="1">#REF! + IF($F$1="Yes",SUM(#REF!)*(OFFSET('Forecast Adjuster'!$A$58,0,K$282)-1),0) + IF($I$1="Yes",SUM(K$284:K$287),0)</f>
        <v>#REF!</v>
      </c>
      <c r="L54" s="131" t="e">
        <f ca="1">#REF! + IF($F$1="Yes",SUM(#REF!)*(OFFSET('Forecast Adjuster'!$A$58,0,L$282)-1),0) + IF($I$1="Yes",SUM(L$284:L$287),0)</f>
        <v>#REF!</v>
      </c>
      <c r="M54" s="131" t="e">
        <f ca="1">#REF! + IF($F$1="Yes",SUM(#REF!)*(OFFSET('Forecast Adjuster'!$A$58,0,M$282)-1),0) + IF($I$1="Yes",SUM(M$284:M$287),0)</f>
        <v>#REF!</v>
      </c>
      <c r="N54" s="131" t="e">
        <f ca="1">#REF! + IF($F$1="Yes",SUM(#REF!)*(OFFSET('Forecast Adjuster'!$A$58,0,N$282)-1),0) + IF($I$1="Yes",SUM(N$284:N$287),0)</f>
        <v>#REF!</v>
      </c>
      <c r="O54" s="75" t="e">
        <f t="shared" ref="O54:X54" ca="1" si="29">SUM(O$52,O$53)</f>
        <v>#N/A</v>
      </c>
      <c r="P54" s="75" t="e">
        <f t="shared" ca="1" si="29"/>
        <v>#N/A</v>
      </c>
      <c r="Q54" s="75" t="e">
        <f t="shared" ca="1" si="29"/>
        <v>#N/A</v>
      </c>
      <c r="R54" s="75" t="e">
        <f t="shared" ca="1" si="29"/>
        <v>#N/A</v>
      </c>
      <c r="S54" s="75" t="e">
        <f t="shared" ca="1" si="29"/>
        <v>#N/A</v>
      </c>
      <c r="T54" s="75" t="e">
        <f t="shared" ca="1" si="29"/>
        <v>#N/A</v>
      </c>
      <c r="U54" s="75" t="e">
        <f t="shared" ca="1" si="29"/>
        <v>#N/A</v>
      </c>
      <c r="V54" s="75" t="e">
        <f t="shared" ca="1" si="29"/>
        <v>#N/A</v>
      </c>
      <c r="W54" s="75" t="e">
        <f t="shared" ca="1" si="29"/>
        <v>#N/A</v>
      </c>
      <c r="X54" s="75" t="e">
        <f t="shared" ca="1" si="29"/>
        <v>#N/A</v>
      </c>
      <c r="Y54" s="36"/>
    </row>
    <row r="55" spans="1:25" x14ac:dyDescent="0.2">
      <c r="A55" s="27"/>
      <c r="C55" s="6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36"/>
    </row>
    <row r="56" spans="1:25" x14ac:dyDescent="0.2">
      <c r="A56" s="108" t="s">
        <v>522</v>
      </c>
      <c r="C56" s="6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36"/>
    </row>
    <row r="57" spans="1:25" x14ac:dyDescent="0.2">
      <c r="A57" s="160" t="s">
        <v>659</v>
      </c>
      <c r="C57" s="69"/>
      <c r="D57" s="69" t="e">
        <f>D$211</f>
        <v>#REF!</v>
      </c>
      <c r="E57" s="69" t="e">
        <f t="shared" ref="E57:X57" si="30">E$211</f>
        <v>#REF!</v>
      </c>
      <c r="F57" s="69" t="e">
        <f t="shared" si="30"/>
        <v>#REF!</v>
      </c>
      <c r="G57" s="69" t="e">
        <f t="shared" si="30"/>
        <v>#REF!</v>
      </c>
      <c r="H57" s="69" t="e">
        <f t="shared" si="30"/>
        <v>#REF!</v>
      </c>
      <c r="I57" s="69" t="e">
        <f t="shared" si="30"/>
        <v>#REF!</v>
      </c>
      <c r="J57" s="125" t="e">
        <f t="shared" si="30"/>
        <v>#REF!</v>
      </c>
      <c r="K57" s="125" t="e">
        <f t="shared" si="30"/>
        <v>#REF!</v>
      </c>
      <c r="L57" s="125" t="e">
        <f t="shared" si="30"/>
        <v>#REF!</v>
      </c>
      <c r="M57" s="125" t="e">
        <f t="shared" si="30"/>
        <v>#REF!</v>
      </c>
      <c r="N57" s="125" t="e">
        <f t="shared" si="30"/>
        <v>#REF!</v>
      </c>
      <c r="O57" s="73" t="e">
        <f t="shared" ca="1" si="30"/>
        <v>#REF!</v>
      </c>
      <c r="P57" s="73" t="e">
        <f t="shared" ca="1" si="30"/>
        <v>#REF!</v>
      </c>
      <c r="Q57" s="73" t="e">
        <f t="shared" ca="1" si="30"/>
        <v>#REF!</v>
      </c>
      <c r="R57" s="73" t="e">
        <f t="shared" ca="1" si="30"/>
        <v>#REF!</v>
      </c>
      <c r="S57" s="73" t="e">
        <f t="shared" ca="1" si="30"/>
        <v>#REF!</v>
      </c>
      <c r="T57" s="73" t="e">
        <f t="shared" ca="1" si="30"/>
        <v>#REF!</v>
      </c>
      <c r="U57" s="73" t="e">
        <f t="shared" ca="1" si="30"/>
        <v>#REF!</v>
      </c>
      <c r="V57" s="73" t="e">
        <f t="shared" ca="1" si="30"/>
        <v>#REF!</v>
      </c>
      <c r="W57" s="73" t="e">
        <f t="shared" ca="1" si="30"/>
        <v>#REF!</v>
      </c>
      <c r="X57" s="73" t="e">
        <f t="shared" ca="1" si="30"/>
        <v>#REF!</v>
      </c>
      <c r="Y57" s="36"/>
    </row>
    <row r="58" spans="1:25" x14ac:dyDescent="0.2">
      <c r="A58" s="160" t="s">
        <v>660</v>
      </c>
      <c r="B58" s="233"/>
      <c r="C58" s="69"/>
      <c r="D58" s="176" t="e">
        <f>SUM(#REF!,#REF!,#REF!)-D$57</f>
        <v>#REF!</v>
      </c>
      <c r="E58" s="176" t="e">
        <f>SUM(#REF!,#REF!,#REF!)-E$57</f>
        <v>#REF!</v>
      </c>
      <c r="F58" s="176" t="e">
        <f>SUM(#REF!,#REF!,#REF!)-F$57</f>
        <v>#REF!</v>
      </c>
      <c r="G58" s="176" t="e">
        <f>SUM(#REF!,#REF!,#REF!)-G$57</f>
        <v>#REF!</v>
      </c>
      <c r="H58" s="176" t="e">
        <f>SUM(#REF!,#REF!,#REF!)-H$57</f>
        <v>#REF!</v>
      </c>
      <c r="I58" s="176" t="e">
        <f>SUM(#REF!,#REF!,#REF!)-I$57</f>
        <v>#REF!</v>
      </c>
      <c r="J58" s="130" t="e">
        <f ca="1">SUM(#REF!,#REF!,#REF!)*IF($F$1="Yes",OFFSET('Forecast Adjuster'!$A$60,0,J$282),1)-J$57</f>
        <v>#REF!</v>
      </c>
      <c r="K58" s="130" t="e">
        <f ca="1">SUM(#REF!,#REF!,#REF!)*IF($F$1="Yes",OFFSET('Forecast Adjuster'!$A$60,0,K$282),1)-K$57</f>
        <v>#REF!</v>
      </c>
      <c r="L58" s="130" t="e">
        <f ca="1">SUM(#REF!,#REF!,#REF!)*IF($F$1="Yes",OFFSET('Forecast Adjuster'!$A$60,0,L$282),1)-L$57</f>
        <v>#REF!</v>
      </c>
      <c r="M58" s="130" t="e">
        <f ca="1">SUM(#REF!,#REF!,#REF!)*IF($F$1="Yes",OFFSET('Forecast Adjuster'!$A$60,0,M$282),1)-M$57</f>
        <v>#REF!</v>
      </c>
      <c r="N58" s="130" t="e">
        <f ca="1">SUM(#REF!,#REF!,#REF!)*IF($F$1="Yes",OFFSET('Forecast Adjuster'!$A$60,0,N$282),1)-N$57</f>
        <v>#REF!</v>
      </c>
      <c r="O58" s="282" t="e">
        <f ca="1">(N$58-0.252)*(1+O$240)</f>
        <v>#REF!</v>
      </c>
      <c r="P58" s="81" t="e">
        <f t="shared" ref="P58:X58" ca="1" si="31">O$58*(1+P$240)</f>
        <v>#REF!</v>
      </c>
      <c r="Q58" s="81" t="e">
        <f t="shared" ca="1" si="31"/>
        <v>#REF!</v>
      </c>
      <c r="R58" s="81" t="e">
        <f t="shared" ca="1" si="31"/>
        <v>#REF!</v>
      </c>
      <c r="S58" s="81" t="e">
        <f t="shared" ca="1" si="31"/>
        <v>#REF!</v>
      </c>
      <c r="T58" s="81" t="e">
        <f t="shared" ca="1" si="31"/>
        <v>#REF!</v>
      </c>
      <c r="U58" s="81" t="e">
        <f t="shared" ca="1" si="31"/>
        <v>#REF!</v>
      </c>
      <c r="V58" s="81" t="e">
        <f t="shared" ca="1" si="31"/>
        <v>#REF!</v>
      </c>
      <c r="W58" s="81" t="e">
        <f t="shared" ca="1" si="31"/>
        <v>#REF!</v>
      </c>
      <c r="X58" s="81" t="e">
        <f t="shared" ca="1" si="31"/>
        <v>#REF!</v>
      </c>
      <c r="Y58" s="36"/>
    </row>
    <row r="59" spans="1:25" x14ac:dyDescent="0.2">
      <c r="A59" s="27" t="s">
        <v>524</v>
      </c>
      <c r="C59" s="69"/>
      <c r="D59" s="71" t="e">
        <f>SUM(D$57:D$58)</f>
        <v>#REF!</v>
      </c>
      <c r="E59" s="71" t="e">
        <f t="shared" ref="E59:X59" si="32">SUM(E$57:E$58)</f>
        <v>#REF!</v>
      </c>
      <c r="F59" s="71" t="e">
        <f t="shared" si="32"/>
        <v>#REF!</v>
      </c>
      <c r="G59" s="71" t="e">
        <f t="shared" si="32"/>
        <v>#REF!</v>
      </c>
      <c r="H59" s="71" t="e">
        <f t="shared" si="32"/>
        <v>#REF!</v>
      </c>
      <c r="I59" s="71" t="e">
        <f t="shared" si="32"/>
        <v>#REF!</v>
      </c>
      <c r="J59" s="131" t="e">
        <f t="shared" si="32"/>
        <v>#REF!</v>
      </c>
      <c r="K59" s="131" t="e">
        <f t="shared" si="32"/>
        <v>#REF!</v>
      </c>
      <c r="L59" s="131" t="e">
        <f t="shared" si="32"/>
        <v>#REF!</v>
      </c>
      <c r="M59" s="131" t="e">
        <f t="shared" si="32"/>
        <v>#REF!</v>
      </c>
      <c r="N59" s="131" t="e">
        <f t="shared" si="32"/>
        <v>#REF!</v>
      </c>
      <c r="O59" s="75" t="e">
        <f t="shared" ca="1" si="32"/>
        <v>#REF!</v>
      </c>
      <c r="P59" s="75" t="e">
        <f t="shared" ca="1" si="32"/>
        <v>#REF!</v>
      </c>
      <c r="Q59" s="75" t="e">
        <f t="shared" ca="1" si="32"/>
        <v>#REF!</v>
      </c>
      <c r="R59" s="75" t="e">
        <f t="shared" ca="1" si="32"/>
        <v>#REF!</v>
      </c>
      <c r="S59" s="75" t="e">
        <f t="shared" ca="1" si="32"/>
        <v>#REF!</v>
      </c>
      <c r="T59" s="75" t="e">
        <f t="shared" ca="1" si="32"/>
        <v>#REF!</v>
      </c>
      <c r="U59" s="75" t="e">
        <f t="shared" ca="1" si="32"/>
        <v>#REF!</v>
      </c>
      <c r="V59" s="75" t="e">
        <f t="shared" ca="1" si="32"/>
        <v>#REF!</v>
      </c>
      <c r="W59" s="75" t="e">
        <f t="shared" ca="1" si="32"/>
        <v>#REF!</v>
      </c>
      <c r="X59" s="75" t="e">
        <f t="shared" ca="1" si="32"/>
        <v>#REF!</v>
      </c>
      <c r="Y59" s="36"/>
    </row>
    <row r="60" spans="1:25" x14ac:dyDescent="0.2">
      <c r="A60" s="160" t="s">
        <v>1017</v>
      </c>
      <c r="C60" s="69"/>
      <c r="D60" s="69" t="e">
        <f>#REF!</f>
        <v>#REF!</v>
      </c>
      <c r="E60" s="69" t="e">
        <f>#REF!</f>
        <v>#REF!</v>
      </c>
      <c r="F60" s="69" t="e">
        <f>#REF!</f>
        <v>#REF!</v>
      </c>
      <c r="G60" s="69" t="e">
        <f>#REF!</f>
        <v>#REF!</v>
      </c>
      <c r="H60" s="69" t="e">
        <f>#REF!</f>
        <v>#REF!</v>
      </c>
      <c r="I60" s="69" t="e">
        <f>#REF!</f>
        <v>#REF!</v>
      </c>
      <c r="J60" s="125" t="e">
        <f>#REF!</f>
        <v>#REF!</v>
      </c>
      <c r="K60" s="125" t="e">
        <f>#REF!</f>
        <v>#REF!</v>
      </c>
      <c r="L60" s="125" t="e">
        <f>#REF!</f>
        <v>#REF!</v>
      </c>
      <c r="M60" s="125" t="e">
        <f>#REF!</f>
        <v>#REF!</v>
      </c>
      <c r="N60" s="125" t="e">
        <f>#REF!</f>
        <v>#REF!</v>
      </c>
      <c r="O60" s="73" t="e">
        <f>N$60*#REF!/#REF!</f>
        <v>#REF!</v>
      </c>
      <c r="P60" s="73" t="e">
        <f>O$60*#REF!/#REF!</f>
        <v>#REF!</v>
      </c>
      <c r="Q60" s="73" t="e">
        <f>P$60*#REF!/#REF!</f>
        <v>#REF!</v>
      </c>
      <c r="R60" s="73" t="e">
        <f>Q$60*#REF!/#REF!</f>
        <v>#REF!</v>
      </c>
      <c r="S60" s="73" t="e">
        <f>R$60*#REF!/#REF!</f>
        <v>#REF!</v>
      </c>
      <c r="T60" s="73" t="e">
        <f>S$60*#REF!/#REF!</f>
        <v>#REF!</v>
      </c>
      <c r="U60" s="73" t="e">
        <f>T$60*#REF!/#REF!</f>
        <v>#REF!</v>
      </c>
      <c r="V60" s="73" t="e">
        <f>U$60*#REF!/#REF!</f>
        <v>#REF!</v>
      </c>
      <c r="W60" s="73" t="e">
        <f>V$60*#REF!/#REF!</f>
        <v>#REF!</v>
      </c>
      <c r="X60" s="73" t="e">
        <f>W$60*#REF!/#REF!</f>
        <v>#REF!</v>
      </c>
      <c r="Y60" s="36"/>
    </row>
    <row r="61" spans="1:25" x14ac:dyDescent="0.2">
      <c r="A61" s="160" t="s">
        <v>1018</v>
      </c>
      <c r="C61" s="69"/>
      <c r="D61" s="69" t="e">
        <f>SUM(#REF!)-#REF!</f>
        <v>#REF!</v>
      </c>
      <c r="E61" s="69" t="e">
        <f>SUM(#REF!)-#REF!</f>
        <v>#REF!</v>
      </c>
      <c r="F61" s="69" t="e">
        <f>SUM(#REF!)-#REF!</f>
        <v>#REF!</v>
      </c>
      <c r="G61" s="69" t="e">
        <f>SUM(#REF!)-#REF!</f>
        <v>#REF!</v>
      </c>
      <c r="H61" s="69" t="e">
        <f>SUM(#REF!)-#REF!</f>
        <v>#REF!</v>
      </c>
      <c r="I61" s="69" t="e">
        <f>SUM(#REF!)-#REF!</f>
        <v>#REF!</v>
      </c>
      <c r="J61" s="125" t="e">
        <f>SUM(#REF!)-#REF!</f>
        <v>#REF!</v>
      </c>
      <c r="K61" s="125" t="e">
        <f>SUM(#REF!)-#REF!</f>
        <v>#REF!</v>
      </c>
      <c r="L61" s="125" t="e">
        <f>SUM(#REF!)-#REF!</f>
        <v>#REF!</v>
      </c>
      <c r="M61" s="125" t="e">
        <f>SUM(#REF!)-#REF!</f>
        <v>#REF!</v>
      </c>
      <c r="N61" s="125" t="e">
        <f>SUM(#REF!)-#REF!</f>
        <v>#REF!</v>
      </c>
      <c r="O61" s="73" t="e">
        <f ca="1">N$61*(1+O$238)</f>
        <v>#REF!</v>
      </c>
      <c r="P61" s="73" t="e">
        <f t="shared" ref="P61:X61" ca="1" si="33">O$61*(1+P$238)</f>
        <v>#REF!</v>
      </c>
      <c r="Q61" s="73" t="e">
        <f t="shared" ca="1" si="33"/>
        <v>#REF!</v>
      </c>
      <c r="R61" s="73" t="e">
        <f t="shared" ca="1" si="33"/>
        <v>#REF!</v>
      </c>
      <c r="S61" s="73" t="e">
        <f t="shared" ca="1" si="33"/>
        <v>#REF!</v>
      </c>
      <c r="T61" s="73" t="e">
        <f t="shared" ca="1" si="33"/>
        <v>#REF!</v>
      </c>
      <c r="U61" s="73" t="e">
        <f t="shared" ca="1" si="33"/>
        <v>#REF!</v>
      </c>
      <c r="V61" s="73" t="e">
        <f t="shared" ca="1" si="33"/>
        <v>#REF!</v>
      </c>
      <c r="W61" s="73" t="e">
        <f t="shared" ca="1" si="33"/>
        <v>#REF!</v>
      </c>
      <c r="X61" s="73" t="e">
        <f t="shared" ca="1" si="33"/>
        <v>#REF!</v>
      </c>
      <c r="Y61" s="36"/>
    </row>
    <row r="62" spans="1:25" x14ac:dyDescent="0.2">
      <c r="A62" s="160" t="s">
        <v>332</v>
      </c>
      <c r="C62" s="69"/>
      <c r="D62" s="69" t="e">
        <f>#REF!-#REF!</f>
        <v>#REF!</v>
      </c>
      <c r="E62" s="69" t="e">
        <f>#REF!-#REF!</f>
        <v>#REF!</v>
      </c>
      <c r="F62" s="69" t="e">
        <f>#REF!-#REF!</f>
        <v>#REF!</v>
      </c>
      <c r="G62" s="69" t="e">
        <f>#REF!-#REF!</f>
        <v>#REF!</v>
      </c>
      <c r="H62" s="69" t="e">
        <f>#REF!-#REF!</f>
        <v>#REF!</v>
      </c>
      <c r="I62" s="69" t="e">
        <f>#REF!-#REF!</f>
        <v>#REF!</v>
      </c>
      <c r="J62" s="125" t="e">
        <f>#REF!-#REF!</f>
        <v>#REF!</v>
      </c>
      <c r="K62" s="125" t="e">
        <f>#REF!-#REF!</f>
        <v>#REF!</v>
      </c>
      <c r="L62" s="125" t="e">
        <f>#REF!-#REF!</f>
        <v>#REF!</v>
      </c>
      <c r="M62" s="125" t="e">
        <f>#REF!-#REF!</f>
        <v>#REF!</v>
      </c>
      <c r="N62" s="125" t="e">
        <f>#REF!-#REF!</f>
        <v>#REF!</v>
      </c>
      <c r="O62" s="73" t="e">
        <f ca="1">N$62*(1+O$238)</f>
        <v>#REF!</v>
      </c>
      <c r="P62" s="73" t="e">
        <f t="shared" ref="P62:X62" ca="1" si="34">O$62*(1+P$238)</f>
        <v>#REF!</v>
      </c>
      <c r="Q62" s="73" t="e">
        <f t="shared" ca="1" si="34"/>
        <v>#REF!</v>
      </c>
      <c r="R62" s="73" t="e">
        <f t="shared" ca="1" si="34"/>
        <v>#REF!</v>
      </c>
      <c r="S62" s="73" t="e">
        <f t="shared" ca="1" si="34"/>
        <v>#REF!</v>
      </c>
      <c r="T62" s="73" t="e">
        <f t="shared" ca="1" si="34"/>
        <v>#REF!</v>
      </c>
      <c r="U62" s="73" t="e">
        <f t="shared" ca="1" si="34"/>
        <v>#REF!</v>
      </c>
      <c r="V62" s="73" t="e">
        <f t="shared" ca="1" si="34"/>
        <v>#REF!</v>
      </c>
      <c r="W62" s="73" t="e">
        <f t="shared" ca="1" si="34"/>
        <v>#REF!</v>
      </c>
      <c r="X62" s="73" t="e">
        <f t="shared" ca="1" si="34"/>
        <v>#REF!</v>
      </c>
      <c r="Y62" s="36"/>
    </row>
    <row r="63" spans="1:25" x14ac:dyDescent="0.2">
      <c r="A63" s="160" t="s">
        <v>333</v>
      </c>
      <c r="C63" s="69"/>
      <c r="D63" s="176" t="e">
        <f>#REF!-#REF!</f>
        <v>#REF!</v>
      </c>
      <c r="E63" s="176" t="e">
        <f>#REF!-#REF!</f>
        <v>#REF!</v>
      </c>
      <c r="F63" s="176" t="e">
        <f>#REF!-#REF!</f>
        <v>#REF!</v>
      </c>
      <c r="G63" s="176" t="e">
        <f>#REF!-#REF!</f>
        <v>#REF!</v>
      </c>
      <c r="H63" s="176" t="e">
        <f>#REF!-#REF!</f>
        <v>#REF!</v>
      </c>
      <c r="I63" s="176" t="e">
        <f>#REF!-#REF!</f>
        <v>#REF!</v>
      </c>
      <c r="J63" s="130" t="e">
        <f>#REF!-#REF!</f>
        <v>#REF!</v>
      </c>
      <c r="K63" s="130" t="e">
        <f>#REF!-#REF!</f>
        <v>#REF!</v>
      </c>
      <c r="L63" s="130" t="e">
        <f>#REF!-#REF!</f>
        <v>#REF!</v>
      </c>
      <c r="M63" s="130" t="e">
        <f>#REF!-#REF!</f>
        <v>#REF!</v>
      </c>
      <c r="N63" s="130" t="e">
        <f>#REF!-#REF!</f>
        <v>#REF!</v>
      </c>
      <c r="O63" s="81" t="e">
        <f ca="1">N$63*(1+O$238)</f>
        <v>#REF!</v>
      </c>
      <c r="P63" s="81" t="e">
        <f t="shared" ref="P63:X63" ca="1" si="35">O$63*(1+P$238)</f>
        <v>#REF!</v>
      </c>
      <c r="Q63" s="81" t="e">
        <f t="shared" ca="1" si="35"/>
        <v>#REF!</v>
      </c>
      <c r="R63" s="81" t="e">
        <f t="shared" ca="1" si="35"/>
        <v>#REF!</v>
      </c>
      <c r="S63" s="81" t="e">
        <f t="shared" ca="1" si="35"/>
        <v>#REF!</v>
      </c>
      <c r="T63" s="81" t="e">
        <f t="shared" ca="1" si="35"/>
        <v>#REF!</v>
      </c>
      <c r="U63" s="81" t="e">
        <f t="shared" ca="1" si="35"/>
        <v>#REF!</v>
      </c>
      <c r="V63" s="81" t="e">
        <f t="shared" ca="1" si="35"/>
        <v>#REF!</v>
      </c>
      <c r="W63" s="81" t="e">
        <f t="shared" ca="1" si="35"/>
        <v>#REF!</v>
      </c>
      <c r="X63" s="81" t="e">
        <f t="shared" ca="1" si="35"/>
        <v>#REF!</v>
      </c>
      <c r="Y63" s="36"/>
    </row>
    <row r="64" spans="1:25" x14ac:dyDescent="0.2">
      <c r="A64" s="27" t="s">
        <v>523</v>
      </c>
      <c r="B64" s="233"/>
      <c r="C64" s="69"/>
      <c r="D64" s="71" t="e">
        <f t="shared" ref="D64:I64" si="36">SUM(D$59:D$63)</f>
        <v>#REF!</v>
      </c>
      <c r="E64" s="71" t="e">
        <f t="shared" si="36"/>
        <v>#REF!</v>
      </c>
      <c r="F64" s="71" t="e">
        <f t="shared" si="36"/>
        <v>#REF!</v>
      </c>
      <c r="G64" s="71" t="e">
        <f t="shared" si="36"/>
        <v>#REF!</v>
      </c>
      <c r="H64" s="71" t="e">
        <f t="shared" si="36"/>
        <v>#REF!</v>
      </c>
      <c r="I64" s="71" t="e">
        <f t="shared" si="36"/>
        <v>#REF!</v>
      </c>
      <c r="J64" s="131" t="e">
        <f ca="1">SUM(J$59:J$63) + IF($F$1="Yes",SUM(#REF!,#REF!,#REF!)*(OFFSET('Forecast Adjuster'!$A$60,0,J$282)-1),0)</f>
        <v>#REF!</v>
      </c>
      <c r="K64" s="131" t="e">
        <f ca="1">SUM(K$59:K$63) + IF($F$1="Yes",SUM(#REF!,#REF!,#REF!)*(OFFSET('Forecast Adjuster'!$A$60,0,K$282)-1),0)</f>
        <v>#REF!</v>
      </c>
      <c r="L64" s="131" t="e">
        <f ca="1">SUM(L$59:L$63) + IF($F$1="Yes",SUM(#REF!,#REF!,#REF!)*(OFFSET('Forecast Adjuster'!$A$60,0,L$282)-1),0)</f>
        <v>#REF!</v>
      </c>
      <c r="M64" s="131" t="e">
        <f ca="1">SUM(M$59:M$63) + IF($F$1="Yes",SUM(#REF!,#REF!,#REF!)*(OFFSET('Forecast Adjuster'!$A$60,0,M$282)-1),0)</f>
        <v>#REF!</v>
      </c>
      <c r="N64" s="131" t="e">
        <f ca="1">SUM(N$59:N$63) + IF($F$1="Yes",SUM(#REF!,#REF!,#REF!)*(OFFSET('Forecast Adjuster'!$A$60,0,N$282)-1),0)</f>
        <v>#REF!</v>
      </c>
      <c r="O64" s="75" t="e">
        <f t="shared" ref="O64:X64" ca="1" si="37">SUM(O$59:O$63)</f>
        <v>#REF!</v>
      </c>
      <c r="P64" s="75" t="e">
        <f t="shared" ca="1" si="37"/>
        <v>#REF!</v>
      </c>
      <c r="Q64" s="75" t="e">
        <f t="shared" ca="1" si="37"/>
        <v>#REF!</v>
      </c>
      <c r="R64" s="75" t="e">
        <f t="shared" ca="1" si="37"/>
        <v>#REF!</v>
      </c>
      <c r="S64" s="75" t="e">
        <f t="shared" ca="1" si="37"/>
        <v>#REF!</v>
      </c>
      <c r="T64" s="75" t="e">
        <f t="shared" ca="1" si="37"/>
        <v>#REF!</v>
      </c>
      <c r="U64" s="75" t="e">
        <f t="shared" ca="1" si="37"/>
        <v>#REF!</v>
      </c>
      <c r="V64" s="75" t="e">
        <f t="shared" ca="1" si="37"/>
        <v>#REF!</v>
      </c>
      <c r="W64" s="75" t="e">
        <f t="shared" ca="1" si="37"/>
        <v>#REF!</v>
      </c>
      <c r="X64" s="75" t="e">
        <f t="shared" ca="1" si="37"/>
        <v>#REF!</v>
      </c>
      <c r="Y64" s="36"/>
    </row>
    <row r="65" spans="1:25" x14ac:dyDescent="0.2">
      <c r="A65" s="31"/>
      <c r="C65" s="69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36"/>
    </row>
    <row r="66" spans="1:25" x14ac:dyDescent="0.2">
      <c r="A66" s="108" t="s">
        <v>525</v>
      </c>
      <c r="C66" s="69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36"/>
    </row>
    <row r="67" spans="1:25" x14ac:dyDescent="0.2">
      <c r="A67" s="31" t="s">
        <v>389</v>
      </c>
      <c r="B67" s="77"/>
      <c r="C67" s="69"/>
      <c r="D67" s="69" t="e">
        <f t="shared" ref="D67:X67" si="38">D$165</f>
        <v>#REF!</v>
      </c>
      <c r="E67" s="69" t="e">
        <f t="shared" si="38"/>
        <v>#REF!</v>
      </c>
      <c r="F67" s="69" t="e">
        <f t="shared" si="38"/>
        <v>#REF!</v>
      </c>
      <c r="G67" s="69" t="e">
        <f t="shared" si="38"/>
        <v>#REF!</v>
      </c>
      <c r="H67" s="69" t="e">
        <f t="shared" si="38"/>
        <v>#REF!</v>
      </c>
      <c r="I67" s="69" t="e">
        <f t="shared" si="38"/>
        <v>#REF!</v>
      </c>
      <c r="J67" s="105" t="e">
        <f t="shared" si="38"/>
        <v>#REF!</v>
      </c>
      <c r="K67" s="105" t="e">
        <f t="shared" si="38"/>
        <v>#REF!</v>
      </c>
      <c r="L67" s="105" t="e">
        <f t="shared" si="38"/>
        <v>#REF!</v>
      </c>
      <c r="M67" s="105" t="e">
        <f t="shared" si="38"/>
        <v>#REF!</v>
      </c>
      <c r="N67" s="105" t="e">
        <f t="shared" si="38"/>
        <v>#REF!</v>
      </c>
      <c r="O67" s="73" t="e">
        <f t="shared" si="38"/>
        <v>#REF!</v>
      </c>
      <c r="P67" s="73" t="e">
        <f t="shared" si="38"/>
        <v>#REF!</v>
      </c>
      <c r="Q67" s="73" t="e">
        <f t="shared" si="38"/>
        <v>#REF!</v>
      </c>
      <c r="R67" s="73" t="e">
        <f t="shared" si="38"/>
        <v>#REF!</v>
      </c>
      <c r="S67" s="73" t="e">
        <f t="shared" si="38"/>
        <v>#REF!</v>
      </c>
      <c r="T67" s="73" t="e">
        <f t="shared" si="38"/>
        <v>#REF!</v>
      </c>
      <c r="U67" s="73" t="e">
        <f t="shared" si="38"/>
        <v>#REF!</v>
      </c>
      <c r="V67" s="73" t="e">
        <f t="shared" si="38"/>
        <v>#REF!</v>
      </c>
      <c r="W67" s="73" t="e">
        <f t="shared" si="38"/>
        <v>#REF!</v>
      </c>
      <c r="X67" s="73" t="e">
        <f t="shared" si="38"/>
        <v>#REF!</v>
      </c>
      <c r="Y67" s="36"/>
    </row>
    <row r="68" spans="1:25" x14ac:dyDescent="0.2">
      <c r="A68" s="31" t="s">
        <v>390</v>
      </c>
      <c r="B68" s="77"/>
      <c r="C68" s="69"/>
      <c r="D68" s="69" t="e">
        <f>D$187</f>
        <v>#REF!</v>
      </c>
      <c r="E68" s="69" t="e">
        <f t="shared" ref="E68:X68" si="39">E$187</f>
        <v>#REF!</v>
      </c>
      <c r="F68" s="69" t="e">
        <f t="shared" si="39"/>
        <v>#REF!</v>
      </c>
      <c r="G68" s="69" t="e">
        <f t="shared" si="39"/>
        <v>#REF!</v>
      </c>
      <c r="H68" s="69" t="e">
        <f t="shared" si="39"/>
        <v>#REF!</v>
      </c>
      <c r="I68" s="69" t="e">
        <f t="shared" si="39"/>
        <v>#REF!</v>
      </c>
      <c r="J68" s="105" t="e">
        <f t="shared" si="39"/>
        <v>#REF!</v>
      </c>
      <c r="K68" s="105" t="e">
        <f t="shared" si="39"/>
        <v>#REF!</v>
      </c>
      <c r="L68" s="105" t="e">
        <f t="shared" si="39"/>
        <v>#REF!</v>
      </c>
      <c r="M68" s="105" t="e">
        <f t="shared" si="39"/>
        <v>#REF!</v>
      </c>
      <c r="N68" s="105" t="e">
        <f t="shared" si="39"/>
        <v>#REF!</v>
      </c>
      <c r="O68" s="73" t="e">
        <f t="shared" si="39"/>
        <v>#REF!</v>
      </c>
      <c r="P68" s="73" t="e">
        <f t="shared" si="39"/>
        <v>#REF!</v>
      </c>
      <c r="Q68" s="73" t="e">
        <f t="shared" si="39"/>
        <v>#REF!</v>
      </c>
      <c r="R68" s="73" t="e">
        <f t="shared" si="39"/>
        <v>#REF!</v>
      </c>
      <c r="S68" s="73" t="e">
        <f t="shared" si="39"/>
        <v>#REF!</v>
      </c>
      <c r="T68" s="73" t="e">
        <f t="shared" si="39"/>
        <v>#REF!</v>
      </c>
      <c r="U68" s="73" t="e">
        <f t="shared" si="39"/>
        <v>#REF!</v>
      </c>
      <c r="V68" s="73" t="e">
        <f t="shared" si="39"/>
        <v>#REF!</v>
      </c>
      <c r="W68" s="73" t="e">
        <f t="shared" si="39"/>
        <v>#REF!</v>
      </c>
      <c r="X68" s="73" t="e">
        <f t="shared" si="39"/>
        <v>#REF!</v>
      </c>
      <c r="Y68" s="36"/>
    </row>
    <row r="69" spans="1:25" x14ac:dyDescent="0.2">
      <c r="A69" s="31" t="s">
        <v>650</v>
      </c>
      <c r="B69" s="77"/>
      <c r="C69" s="69"/>
      <c r="D69" s="176" t="e">
        <f t="shared" ref="D69:N69" si="40">D$70-SUM(D$67:D$68)</f>
        <v>#REF!</v>
      </c>
      <c r="E69" s="176" t="e">
        <f t="shared" si="40"/>
        <v>#REF!</v>
      </c>
      <c r="F69" s="176" t="e">
        <f t="shared" si="40"/>
        <v>#REF!</v>
      </c>
      <c r="G69" s="176" t="e">
        <f t="shared" si="40"/>
        <v>#REF!</v>
      </c>
      <c r="H69" s="176" t="e">
        <f t="shared" si="40"/>
        <v>#REF!</v>
      </c>
      <c r="I69" s="176" t="e">
        <f t="shared" si="40"/>
        <v>#REF!</v>
      </c>
      <c r="J69" s="130" t="e">
        <f t="shared" ca="1" si="40"/>
        <v>#REF!</v>
      </c>
      <c r="K69" s="130" t="e">
        <f t="shared" ca="1" si="40"/>
        <v>#REF!</v>
      </c>
      <c r="L69" s="130" t="e">
        <f t="shared" ca="1" si="40"/>
        <v>#REF!</v>
      </c>
      <c r="M69" s="130" t="e">
        <f t="shared" ca="1" si="40"/>
        <v>#REF!</v>
      </c>
      <c r="N69" s="130" t="e">
        <f t="shared" ca="1" si="40"/>
        <v>#REF!</v>
      </c>
      <c r="O69" s="387" t="e">
        <f t="shared" ref="O69:V69" ca="1" si="41">N$69*SUM(O$153,O$154,O$156)/SUM(N$153,N$154,N$156)</f>
        <v>#REF!</v>
      </c>
      <c r="P69" s="387" t="e">
        <f t="shared" ca="1" si="41"/>
        <v>#REF!</v>
      </c>
      <c r="Q69" s="387" t="e">
        <f t="shared" ca="1" si="41"/>
        <v>#REF!</v>
      </c>
      <c r="R69" s="387" t="e">
        <f t="shared" ca="1" si="41"/>
        <v>#REF!</v>
      </c>
      <c r="S69" s="387" t="e">
        <f t="shared" ca="1" si="41"/>
        <v>#REF!</v>
      </c>
      <c r="T69" s="387" t="e">
        <f t="shared" ca="1" si="41"/>
        <v>#REF!</v>
      </c>
      <c r="U69" s="387" t="e">
        <f t="shared" ca="1" si="41"/>
        <v>#REF!</v>
      </c>
      <c r="V69" s="387" t="e">
        <f t="shared" ca="1" si="41"/>
        <v>#REF!</v>
      </c>
      <c r="W69" s="387" t="e">
        <f ca="1">V$69*SUM(W$153,W$154,W$156)/SUM(V$153,V$154,V$156)</f>
        <v>#REF!</v>
      </c>
      <c r="X69" s="387" t="e">
        <f ca="1">W$69*SUM(X$153,X$154,X$156)/SUM(W$153,W$154,W$156)</f>
        <v>#REF!</v>
      </c>
      <c r="Y69" s="36"/>
    </row>
    <row r="70" spans="1:25" x14ac:dyDescent="0.2">
      <c r="A70" s="27" t="s">
        <v>393</v>
      </c>
      <c r="B70" s="233"/>
      <c r="C70" s="69"/>
      <c r="D70" s="71" t="e">
        <f>#REF!</f>
        <v>#REF!</v>
      </c>
      <c r="E70" s="71" t="e">
        <f>#REF!</f>
        <v>#REF!</v>
      </c>
      <c r="F70" s="71" t="e">
        <f>#REF!</f>
        <v>#REF!</v>
      </c>
      <c r="G70" s="71" t="e">
        <f>#REF!</f>
        <v>#REF!</v>
      </c>
      <c r="H70" s="71" t="e">
        <f>#REF!</f>
        <v>#REF!</v>
      </c>
      <c r="I70" s="71" t="e">
        <f>#REF!</f>
        <v>#REF!</v>
      </c>
      <c r="J70" s="131" t="e">
        <f ca="1">#REF!*IF($F$1="Yes",OFFSET('Forecast Adjuster'!$A$61,0,J$282),1) + IF($I$1="Yes",J$288,0) + IF($L$1="Yes",J$334,0)</f>
        <v>#REF!</v>
      </c>
      <c r="K70" s="131" t="e">
        <f ca="1">#REF!*IF($F$1="Yes",OFFSET('Forecast Adjuster'!$A$61,0,K$282),1) + IF($I$1="Yes",K$288,0) + IF($L$1="Yes",K$334,0)</f>
        <v>#REF!</v>
      </c>
      <c r="L70" s="131" t="e">
        <f ca="1">#REF!*IF($F$1="Yes",OFFSET('Forecast Adjuster'!$A$61,0,L$282),1) + IF($I$1="Yes",L$288,0) + IF($L$1="Yes",L$334,0)</f>
        <v>#REF!</v>
      </c>
      <c r="M70" s="131" t="e">
        <f ca="1">#REF!*IF($F$1="Yes",OFFSET('Forecast Adjuster'!$A$61,0,M$282),1) + IF($I$1="Yes",M$288,0) + IF($L$1="Yes",M$334,0)</f>
        <v>#REF!</v>
      </c>
      <c r="N70" s="131" t="e">
        <f ca="1">#REF!*IF($F$1="Yes",OFFSET('Forecast Adjuster'!$A$61,0,N$282),1) + IF($I$1="Yes",N$288,0) + IF($L$1="Yes",N$334,0)</f>
        <v>#REF!</v>
      </c>
      <c r="O70" s="75" t="e">
        <f t="shared" ref="O70:X70" si="42">SUM(O$67:O$69)</f>
        <v>#REF!</v>
      </c>
      <c r="P70" s="75" t="e">
        <f t="shared" si="42"/>
        <v>#REF!</v>
      </c>
      <c r="Q70" s="75" t="e">
        <f t="shared" si="42"/>
        <v>#REF!</v>
      </c>
      <c r="R70" s="75" t="e">
        <f t="shared" si="42"/>
        <v>#REF!</v>
      </c>
      <c r="S70" s="75" t="e">
        <f t="shared" si="42"/>
        <v>#REF!</v>
      </c>
      <c r="T70" s="75" t="e">
        <f t="shared" si="42"/>
        <v>#REF!</v>
      </c>
      <c r="U70" s="75" t="e">
        <f t="shared" si="42"/>
        <v>#REF!</v>
      </c>
      <c r="V70" s="75" t="e">
        <f t="shared" si="42"/>
        <v>#REF!</v>
      </c>
      <c r="W70" s="75" t="e">
        <f t="shared" si="42"/>
        <v>#REF!</v>
      </c>
      <c r="X70" s="75" t="e">
        <f t="shared" si="42"/>
        <v>#REF!</v>
      </c>
      <c r="Y70" s="36"/>
    </row>
    <row r="71" spans="1:25" x14ac:dyDescent="0.2">
      <c r="A71" s="31" t="s">
        <v>651</v>
      </c>
      <c r="B71" s="233"/>
      <c r="C71" s="69"/>
      <c r="D71" s="176" t="e">
        <f>SUM(#REF!)-#REF!</f>
        <v>#REF!</v>
      </c>
      <c r="E71" s="176" t="e">
        <f>SUM(#REF!)-#REF!</f>
        <v>#REF!</v>
      </c>
      <c r="F71" s="176" t="e">
        <f>SUM(#REF!)-#REF!</f>
        <v>#REF!</v>
      </c>
      <c r="G71" s="176" t="e">
        <f>SUM(#REF!)-#REF!</f>
        <v>#REF!</v>
      </c>
      <c r="H71" s="176" t="e">
        <f>SUM(#REF!)-#REF!</f>
        <v>#REF!</v>
      </c>
      <c r="I71" s="176" t="e">
        <f>SUM(#REF!)-#REF!</f>
        <v>#REF!</v>
      </c>
      <c r="J71" s="130" t="e">
        <f>SUM(#REF!)-#REF! + IF($I$1="Yes",J$289,0)</f>
        <v>#REF!</v>
      </c>
      <c r="K71" s="130" t="e">
        <f>SUM(#REF!)-#REF! + IF($I$1="Yes",K$289,0)</f>
        <v>#REF!</v>
      </c>
      <c r="L71" s="130" t="e">
        <f>SUM(#REF!)-#REF! + IF($I$1="Yes",L$289,0)</f>
        <v>#REF!</v>
      </c>
      <c r="M71" s="130" t="e">
        <f>SUM(#REF!)-#REF! + IF($I$1="Yes",M$289,0)</f>
        <v>#REF!</v>
      </c>
      <c r="N71" s="130" t="e">
        <f>SUM(#REF!)-#REF! + IF($I$1="Yes",N$289,0)</f>
        <v>#REF!</v>
      </c>
      <c r="O71" s="81" t="e">
        <f t="shared" ref="O71:X71" ca="1" si="43">N$71*SUM(O$158,O$159)/SUM(N$158,N$159)</f>
        <v>#REF!</v>
      </c>
      <c r="P71" s="81" t="e">
        <f t="shared" ca="1" si="43"/>
        <v>#REF!</v>
      </c>
      <c r="Q71" s="81" t="e">
        <f t="shared" ca="1" si="43"/>
        <v>#REF!</v>
      </c>
      <c r="R71" s="81" t="e">
        <f t="shared" ca="1" si="43"/>
        <v>#REF!</v>
      </c>
      <c r="S71" s="81" t="e">
        <f t="shared" ca="1" si="43"/>
        <v>#REF!</v>
      </c>
      <c r="T71" s="81" t="e">
        <f t="shared" ca="1" si="43"/>
        <v>#REF!</v>
      </c>
      <c r="U71" s="81" t="e">
        <f t="shared" ca="1" si="43"/>
        <v>#REF!</v>
      </c>
      <c r="V71" s="81" t="e">
        <f t="shared" ca="1" si="43"/>
        <v>#REF!</v>
      </c>
      <c r="W71" s="81" t="e">
        <f t="shared" ca="1" si="43"/>
        <v>#REF!</v>
      </c>
      <c r="X71" s="81" t="e">
        <f t="shared" ca="1" si="43"/>
        <v>#REF!</v>
      </c>
      <c r="Y71" s="36"/>
    </row>
    <row r="72" spans="1:25" x14ac:dyDescent="0.2">
      <c r="A72" s="27" t="s">
        <v>337</v>
      </c>
      <c r="B72" s="77"/>
      <c r="C72" s="69"/>
      <c r="D72" s="71" t="e">
        <f t="shared" ref="D72:X72" si="44">SUM(D$70,D$71)</f>
        <v>#REF!</v>
      </c>
      <c r="E72" s="71" t="e">
        <f t="shared" si="44"/>
        <v>#REF!</v>
      </c>
      <c r="F72" s="71" t="e">
        <f t="shared" si="44"/>
        <v>#REF!</v>
      </c>
      <c r="G72" s="71" t="e">
        <f t="shared" si="44"/>
        <v>#REF!</v>
      </c>
      <c r="H72" s="71" t="e">
        <f t="shared" si="44"/>
        <v>#REF!</v>
      </c>
      <c r="I72" s="71" t="e">
        <f t="shared" si="44"/>
        <v>#REF!</v>
      </c>
      <c r="J72" s="131" t="e">
        <f t="shared" ca="1" si="44"/>
        <v>#REF!</v>
      </c>
      <c r="K72" s="131" t="e">
        <f t="shared" ca="1" si="44"/>
        <v>#REF!</v>
      </c>
      <c r="L72" s="131" t="e">
        <f t="shared" ca="1" si="44"/>
        <v>#REF!</v>
      </c>
      <c r="M72" s="131" t="e">
        <f t="shared" ca="1" si="44"/>
        <v>#REF!</v>
      </c>
      <c r="N72" s="131" t="e">
        <f t="shared" ca="1" si="44"/>
        <v>#REF!</v>
      </c>
      <c r="O72" s="75" t="e">
        <f t="shared" si="44"/>
        <v>#REF!</v>
      </c>
      <c r="P72" s="75" t="e">
        <f t="shared" si="44"/>
        <v>#REF!</v>
      </c>
      <c r="Q72" s="75" t="e">
        <f t="shared" si="44"/>
        <v>#REF!</v>
      </c>
      <c r="R72" s="75" t="e">
        <f t="shared" si="44"/>
        <v>#REF!</v>
      </c>
      <c r="S72" s="75" t="e">
        <f t="shared" si="44"/>
        <v>#REF!</v>
      </c>
      <c r="T72" s="75" t="e">
        <f t="shared" si="44"/>
        <v>#REF!</v>
      </c>
      <c r="U72" s="75" t="e">
        <f t="shared" si="44"/>
        <v>#REF!</v>
      </c>
      <c r="V72" s="75" t="e">
        <f t="shared" si="44"/>
        <v>#REF!</v>
      </c>
      <c r="W72" s="75" t="e">
        <f t="shared" si="44"/>
        <v>#REF!</v>
      </c>
      <c r="X72" s="75" t="e">
        <f t="shared" si="44"/>
        <v>#REF!</v>
      </c>
      <c r="Y72" s="36"/>
    </row>
    <row r="73" spans="1:25" x14ac:dyDescent="0.2">
      <c r="A73" s="30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36"/>
    </row>
    <row r="74" spans="1:25" x14ac:dyDescent="0.2">
      <c r="A74" s="108" t="s">
        <v>595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36"/>
    </row>
    <row r="75" spans="1:25" x14ac:dyDescent="0.2">
      <c r="A75" s="31" t="s">
        <v>250</v>
      </c>
      <c r="B75" s="233"/>
      <c r="C75" s="69"/>
      <c r="D75" s="69" t="e">
        <f>#REF!</f>
        <v>#REF!</v>
      </c>
      <c r="E75" s="69" t="e">
        <f>#REF!</f>
        <v>#REF!</v>
      </c>
      <c r="F75" s="69" t="e">
        <f>#REF!</f>
        <v>#REF!</v>
      </c>
      <c r="G75" s="69" t="e">
        <f>#REF!</f>
        <v>#REF!</v>
      </c>
      <c r="H75" s="69" t="e">
        <f>#REF!</f>
        <v>#REF!</v>
      </c>
      <c r="I75" s="69" t="e">
        <f>#REF!</f>
        <v>#REF!</v>
      </c>
      <c r="J75" s="125" t="e">
        <f ca="1">#REF!*IF($F$1="Yes",OFFSET('Forecast Adjuster'!$A$65,0,J$282),1) + IF($I$1="Yes",J$290,0)</f>
        <v>#REF!</v>
      </c>
      <c r="K75" s="125" t="e">
        <f ca="1">#REF!*IF($F$1="Yes",OFFSET('Forecast Adjuster'!$A$65,0,K$282),1) + IF($I$1="Yes",K$290,0)</f>
        <v>#REF!</v>
      </c>
      <c r="L75" s="125" t="e">
        <f ca="1">#REF!*IF($F$1="Yes",OFFSET('Forecast Adjuster'!$A$65,0,L$282),1) + IF($I$1="Yes",L$290,0)</f>
        <v>#REF!</v>
      </c>
      <c r="M75" s="125" t="e">
        <f ca="1">#REF!*IF($F$1="Yes",OFFSET('Forecast Adjuster'!$A$65,0,M$282),1) + IF($I$1="Yes",M$290,0)</f>
        <v>#REF!</v>
      </c>
      <c r="N75" s="125" t="e">
        <f ca="1">#REF!*IF($F$1="Yes",OFFSET('Forecast Adjuster'!$A$65,0,N$282),1) + IF($I$1="Yes",N$290,0)</f>
        <v>#REF!</v>
      </c>
      <c r="O75" s="73" t="e">
        <f ca="1">N$75*(1+Popn!O$199)*(3*N$93/M$93+O$93/N$93)/4</f>
        <v>#REF!</v>
      </c>
      <c r="P75" s="73" t="e">
        <f ca="1">O$75*(1+Popn!P$199)*(3*O$93/N$93+P$93/O$93)/4</f>
        <v>#REF!</v>
      </c>
      <c r="Q75" s="73" t="e">
        <f ca="1">P$75*(1+Popn!Q$199)*(3*P$93/O$93+Q$93/P$93)/4</f>
        <v>#REF!</v>
      </c>
      <c r="R75" s="73" t="e">
        <f ca="1">Q$75*(1+Popn!R$199)*(3*Q$93/P$93+R$93/Q$93)/4</f>
        <v>#REF!</v>
      </c>
      <c r="S75" s="73" t="e">
        <f ca="1">R$75*(1+Popn!S$199)*(3*R$93/Q$93+S$93/R$93)/4</f>
        <v>#REF!</v>
      </c>
      <c r="T75" s="73" t="e">
        <f ca="1">S$75*(1+Popn!T$199)*(3*S$93/R$93+T$93/S$93)/4</f>
        <v>#REF!</v>
      </c>
      <c r="U75" s="73" t="e">
        <f ca="1">T$75*(1+Popn!U$199)*(3*T$93/S$93+U$93/T$93)/4</f>
        <v>#REF!</v>
      </c>
      <c r="V75" s="73" t="e">
        <f ca="1">U$75*(1+Popn!V$199)*(3*U$93/T$93+V$93/U$93)/4</f>
        <v>#REF!</v>
      </c>
      <c r="W75" s="73" t="e">
        <f ca="1">V$75*(1+Popn!W$199)*(3*V$93/U$93+W$93/V$93)/4</f>
        <v>#REF!</v>
      </c>
      <c r="X75" s="73" t="e">
        <f ca="1">W$75*(1+Popn!X$199)*(3*W$93/V$93+X$93/W$93)/4</f>
        <v>#REF!</v>
      </c>
      <c r="Y75" s="36"/>
    </row>
    <row r="76" spans="1:25" x14ac:dyDescent="0.2">
      <c r="A76" s="31" t="s">
        <v>220</v>
      </c>
      <c r="B76" s="233"/>
      <c r="C76" s="69"/>
      <c r="D76" s="69" t="e">
        <f>#REF!</f>
        <v>#REF!</v>
      </c>
      <c r="E76" s="69" t="e">
        <f>#REF!</f>
        <v>#REF!</v>
      </c>
      <c r="F76" s="69" t="e">
        <f>#REF!</f>
        <v>#REF!</v>
      </c>
      <c r="G76" s="69" t="e">
        <f>#REF!</f>
        <v>#REF!</v>
      </c>
      <c r="H76" s="69" t="e">
        <f>#REF!</f>
        <v>#REF!</v>
      </c>
      <c r="I76" s="69" t="e">
        <f>#REF!</f>
        <v>#REF!</v>
      </c>
      <c r="J76" s="125" t="e">
        <f ca="1">#REF!*IF($F$1="Yes",OFFSET('Forecast Adjuster'!$A$60,0,J$282)*OFFSET('Forecast Adjuster'!$A$66,0,J$282),1) + IF($I$1="Yes",J$291,0)</f>
        <v>#REF!</v>
      </c>
      <c r="K76" s="125" t="e">
        <f ca="1">#REF!*IF($F$1="Yes",OFFSET('Forecast Adjuster'!$A$60,0,K$282)*OFFSET('Forecast Adjuster'!$A$66,0,K$282),1) + IF($I$1="Yes",K$291,0)</f>
        <v>#REF!</v>
      </c>
      <c r="L76" s="125" t="e">
        <f ca="1">#REF!*IF($F$1="Yes",OFFSET('Forecast Adjuster'!$A$60,0,L$282)*OFFSET('Forecast Adjuster'!$A$66,0,L$282),1) + IF($I$1="Yes",L$291,0)</f>
        <v>#REF!</v>
      </c>
      <c r="M76" s="125" t="e">
        <f ca="1">#REF!*IF($F$1="Yes",OFFSET('Forecast Adjuster'!$A$60,0,M$282)*OFFSET('Forecast Adjuster'!$A$66,0,M$282),1) + IF($I$1="Yes",M$291,0)</f>
        <v>#REF!</v>
      </c>
      <c r="N76" s="125" t="e">
        <f ca="1">#REF!*IF($F$1="Yes",OFFSET('Forecast Adjuster'!$A$60,0,N$282)*OFFSET('Forecast Adjuster'!$A$66,0,N$282),1) + IF($I$1="Yes",N$291,0)</f>
        <v>#REF!</v>
      </c>
      <c r="O76" s="73" t="e">
        <f t="shared" ref="O76:X76" ca="1" si="45">N$76*(1+O$240)*(O$244*O$247)/(N$244*N$247)</f>
        <v>#REF!</v>
      </c>
      <c r="P76" s="73" t="e">
        <f t="shared" ca="1" si="45"/>
        <v>#REF!</v>
      </c>
      <c r="Q76" s="73" t="e">
        <f t="shared" ca="1" si="45"/>
        <v>#REF!</v>
      </c>
      <c r="R76" s="73" t="e">
        <f t="shared" ca="1" si="45"/>
        <v>#REF!</v>
      </c>
      <c r="S76" s="73" t="e">
        <f t="shared" ca="1" si="45"/>
        <v>#REF!</v>
      </c>
      <c r="T76" s="73" t="e">
        <f t="shared" ca="1" si="45"/>
        <v>#REF!</v>
      </c>
      <c r="U76" s="73" t="e">
        <f t="shared" ca="1" si="45"/>
        <v>#REF!</v>
      </c>
      <c r="V76" s="73" t="e">
        <f t="shared" ca="1" si="45"/>
        <v>#REF!</v>
      </c>
      <c r="W76" s="73" t="e">
        <f t="shared" ca="1" si="45"/>
        <v>#REF!</v>
      </c>
      <c r="X76" s="73" t="e">
        <f t="shared" ca="1" si="45"/>
        <v>#REF!</v>
      </c>
      <c r="Y76" s="36"/>
    </row>
    <row r="77" spans="1:25" x14ac:dyDescent="0.2">
      <c r="A77" s="31" t="s">
        <v>910</v>
      </c>
      <c r="B77" s="233"/>
      <c r="C77" s="69"/>
      <c r="D77" s="69" t="e">
        <f>#REF!</f>
        <v>#REF!</v>
      </c>
      <c r="E77" s="69" t="e">
        <f>#REF!</f>
        <v>#REF!</v>
      </c>
      <c r="F77" s="69" t="e">
        <f>#REF!</f>
        <v>#REF!</v>
      </c>
      <c r="G77" s="69" t="e">
        <f>#REF!</f>
        <v>#REF!</v>
      </c>
      <c r="H77" s="69" t="e">
        <f>#REF!</f>
        <v>#REF!</v>
      </c>
      <c r="I77" s="69" t="e">
        <f>#REF!</f>
        <v>#REF!</v>
      </c>
      <c r="J77" s="125" t="e">
        <f ca="1">#REF!*IF($F$1="Yes",OFFSET('Forecast Adjuster'!$A$60,0,J$282),1) + IF($I$1="Yes",J$292,0)</f>
        <v>#REF!</v>
      </c>
      <c r="K77" s="125" t="e">
        <f ca="1">#REF!*IF($F$1="Yes",OFFSET('Forecast Adjuster'!$A$60,0,K$282),1) + IF($I$1="Yes",K$292,0)</f>
        <v>#REF!</v>
      </c>
      <c r="L77" s="125" t="e">
        <f ca="1">#REF!*IF($F$1="Yes",OFFSET('Forecast Adjuster'!$A$60,0,L$282),1) + IF($I$1="Yes",L$292,0)</f>
        <v>#REF!</v>
      </c>
      <c r="M77" s="125" t="e">
        <f ca="1">#REF!*IF($F$1="Yes",OFFSET('Forecast Adjuster'!$A$60,0,M$282),1) + IF($I$1="Yes",M$292,0)</f>
        <v>#REF!</v>
      </c>
      <c r="N77" s="125" t="e">
        <f ca="1">#REF!*IF($F$1="Yes",OFFSET('Forecast Adjuster'!$A$60,0,N$282),1) + IF($I$1="Yes",N$292,0)</f>
        <v>#REF!</v>
      </c>
      <c r="O77" s="73" t="e">
        <f ca="1">N$77*(1+O$240)*(1+SUMPRODUCT(Popn!O$202:O$212,#REF!)+SUMPRODUCT(Popn!O$213:O$223,#REF!))</f>
        <v>#REF!</v>
      </c>
      <c r="P77" s="73" t="e">
        <f ca="1">O$77*(1+P$240)*(1+SUMPRODUCT(Popn!P$202:P$212,#REF!)+SUMPRODUCT(Popn!P$213:P$223,#REF!))</f>
        <v>#REF!</v>
      </c>
      <c r="Q77" s="73" t="e">
        <f ca="1">P$77*(1+Q$240)*(1+SUMPRODUCT(Popn!Q$202:Q$212,#REF!)+SUMPRODUCT(Popn!Q$213:Q$223,#REF!))</f>
        <v>#REF!</v>
      </c>
      <c r="R77" s="73" t="e">
        <f ca="1">Q$77*(1+R$240)*(1+SUMPRODUCT(Popn!R$202:R$212,#REF!)+SUMPRODUCT(Popn!R$213:R$223,#REF!))</f>
        <v>#REF!</v>
      </c>
      <c r="S77" s="73" t="e">
        <f ca="1">R$77*(1+S$240)*(1+SUMPRODUCT(Popn!S$202:S$212,#REF!)+SUMPRODUCT(Popn!S$213:S$223,#REF!))</f>
        <v>#REF!</v>
      </c>
      <c r="T77" s="73" t="e">
        <f ca="1">S$77*(1+T$240)*(1+SUMPRODUCT(Popn!T$202:T$212,#REF!)+SUMPRODUCT(Popn!T$213:T$223,#REF!))</f>
        <v>#REF!</v>
      </c>
      <c r="U77" s="73" t="e">
        <f ca="1">T$77*(1+U$240)*(1+SUMPRODUCT(Popn!U$202:U$212,#REF!)+SUMPRODUCT(Popn!U$213:U$223,#REF!))</f>
        <v>#REF!</v>
      </c>
      <c r="V77" s="73" t="e">
        <f ca="1">U$77*(1+V$240)*(1+SUMPRODUCT(Popn!V$202:V$212,#REF!)+SUMPRODUCT(Popn!V$213:V$223,#REF!))</f>
        <v>#REF!</v>
      </c>
      <c r="W77" s="73" t="e">
        <f ca="1">V$77*(1+W$240)*(1+SUMPRODUCT(Popn!W$202:W$212,#REF!)+SUMPRODUCT(Popn!W$213:W$223,#REF!))</f>
        <v>#REF!</v>
      </c>
      <c r="X77" s="73" t="e">
        <f ca="1">W$77*(1+X$240)*(1+SUMPRODUCT(Popn!X$202:X$212,#REF!)+SUMPRODUCT(Popn!X$213:X$223,#REF!))</f>
        <v>#REF!</v>
      </c>
      <c r="Y77" s="36"/>
    </row>
    <row r="78" spans="1:25" x14ac:dyDescent="0.2">
      <c r="A78" s="31" t="s">
        <v>532</v>
      </c>
      <c r="B78" s="233"/>
      <c r="C78" s="69"/>
      <c r="D78" s="69" t="e">
        <f>#REF!</f>
        <v>#REF!</v>
      </c>
      <c r="E78" s="69" t="e">
        <f>#REF!</f>
        <v>#REF!</v>
      </c>
      <c r="F78" s="69" t="e">
        <f>#REF!</f>
        <v>#REF!</v>
      </c>
      <c r="G78" s="69" t="e">
        <f>#REF!</f>
        <v>#REF!</v>
      </c>
      <c r="H78" s="69" t="e">
        <f>#REF!</f>
        <v>#REF!</v>
      </c>
      <c r="I78" s="69" t="e">
        <f>#REF!</f>
        <v>#REF!</v>
      </c>
      <c r="J78" s="125" t="e">
        <f ca="1">#REF!*IF($F$1="Yes",OFFSET('Forecast Adjuster'!$A$60,0,J$282),1) + IF($I$1="Yes",J$293,0)</f>
        <v>#REF!</v>
      </c>
      <c r="K78" s="125" t="e">
        <f ca="1">#REF!*IF($F$1="Yes",OFFSET('Forecast Adjuster'!$A$60,0,K$282),1) + IF($I$1="Yes",K$293,0)</f>
        <v>#REF!</v>
      </c>
      <c r="L78" s="125" t="e">
        <f ca="1">#REF!*IF($F$1="Yes",OFFSET('Forecast Adjuster'!$A$60,0,L$282),1) + IF($I$1="Yes",L$293,0)</f>
        <v>#REF!</v>
      </c>
      <c r="M78" s="125" t="e">
        <f ca="1">#REF!*IF($F$1="Yes",OFFSET('Forecast Adjuster'!$A$60,0,M$282),1) + IF($I$1="Yes",M$293,0)</f>
        <v>#REF!</v>
      </c>
      <c r="N78" s="125" t="e">
        <f ca="1">#REF!*IF($F$1="Yes",OFFSET('Forecast Adjuster'!$A$60,0,N$282),1) + IF($I$1="Yes",N$293,0)</f>
        <v>#REF!</v>
      </c>
      <c r="O78" s="73" t="e">
        <f ca="1">N$78*(1+O$240)*(1+SUMPRODUCT(Popn!O$202:O$212,#REF!)+SUMPRODUCT(Popn!O$213:O$223,#REF!))</f>
        <v>#REF!</v>
      </c>
      <c r="P78" s="73" t="e">
        <f ca="1">O$78*(1+P$240)*(1+SUMPRODUCT(Popn!P$202:P$212,#REF!)+SUMPRODUCT(Popn!P$213:P$223,#REF!))</f>
        <v>#REF!</v>
      </c>
      <c r="Q78" s="73" t="e">
        <f ca="1">P$78*(1+Q$240)*(1+SUMPRODUCT(Popn!Q$202:Q$212,#REF!)+SUMPRODUCT(Popn!Q$213:Q$223,#REF!))</f>
        <v>#REF!</v>
      </c>
      <c r="R78" s="73" t="e">
        <f ca="1">Q$78*(1+R$240)*(1+SUMPRODUCT(Popn!R$202:R$212,#REF!)+SUMPRODUCT(Popn!R$213:R$223,#REF!))</f>
        <v>#REF!</v>
      </c>
      <c r="S78" s="73" t="e">
        <f ca="1">R$78*(1+S$240)*(1+SUMPRODUCT(Popn!S$202:S$212,#REF!)+SUMPRODUCT(Popn!S$213:S$223,#REF!))</f>
        <v>#REF!</v>
      </c>
      <c r="T78" s="73" t="e">
        <f ca="1">S$78*(1+T$240)*(1+SUMPRODUCT(Popn!T$202:T$212,#REF!)+SUMPRODUCT(Popn!T$213:T$223,#REF!))</f>
        <v>#REF!</v>
      </c>
      <c r="U78" s="73" t="e">
        <f ca="1">T$78*(1+U$240)*(1+SUMPRODUCT(Popn!U$202:U$212,#REF!)+SUMPRODUCT(Popn!U$213:U$223,#REF!))</f>
        <v>#REF!</v>
      </c>
      <c r="V78" s="73" t="e">
        <f ca="1">U$78*(1+V$240)*(1+SUMPRODUCT(Popn!V$202:V$212,#REF!)+SUMPRODUCT(Popn!V$213:V$223,#REF!))</f>
        <v>#REF!</v>
      </c>
      <c r="W78" s="73" t="e">
        <f ca="1">V$78*(1+W$240)*(1+SUMPRODUCT(Popn!W$202:W$212,#REF!)+SUMPRODUCT(Popn!W$213:W$223,#REF!))</f>
        <v>#REF!</v>
      </c>
      <c r="X78" s="73" t="e">
        <f ca="1">W$78*(1+X$240)*(1+SUMPRODUCT(Popn!X$202:X$212,#REF!)+SUMPRODUCT(Popn!X$213:X$223,#REF!))</f>
        <v>#REF!</v>
      </c>
      <c r="Y78" s="36"/>
    </row>
    <row r="79" spans="1:25" x14ac:dyDescent="0.2">
      <c r="A79" s="31" t="s">
        <v>911</v>
      </c>
      <c r="B79" s="233"/>
      <c r="C79" s="69"/>
      <c r="D79" s="69" t="e">
        <f>#REF!</f>
        <v>#REF!</v>
      </c>
      <c r="E79" s="69" t="e">
        <f>#REF!</f>
        <v>#REF!</v>
      </c>
      <c r="F79" s="69" t="e">
        <f>#REF!</f>
        <v>#REF!</v>
      </c>
      <c r="G79" s="69" t="e">
        <f>#REF!</f>
        <v>#REF!</v>
      </c>
      <c r="H79" s="69" t="e">
        <f>#REF!</f>
        <v>#REF!</v>
      </c>
      <c r="I79" s="69" t="e">
        <f>#REF!</f>
        <v>#REF!</v>
      </c>
      <c r="J79" s="125" t="e">
        <f ca="1">#REF!*IF($F$1="Yes",OFFSET('Forecast Adjuster'!$A$60,0,J$282),1) + IF($I$1="Yes",J$294,0)</f>
        <v>#REF!</v>
      </c>
      <c r="K79" s="125" t="e">
        <f ca="1">#REF!*IF($F$1="Yes",OFFSET('Forecast Adjuster'!$A$60,0,K$282),1) + IF($I$1="Yes",K$294,0)</f>
        <v>#REF!</v>
      </c>
      <c r="L79" s="125" t="e">
        <f ca="1">#REF!*IF($F$1="Yes",OFFSET('Forecast Adjuster'!$A$60,0,L$282),1) + IF($I$1="Yes",L$294,0)</f>
        <v>#REF!</v>
      </c>
      <c r="M79" s="125" t="e">
        <f ca="1">#REF!*IF($F$1="Yes",OFFSET('Forecast Adjuster'!$A$60,0,M$282),1) + IF($I$1="Yes",M$294,0)</f>
        <v>#REF!</v>
      </c>
      <c r="N79" s="125" t="e">
        <f ca="1">#REF!*IF($F$1="Yes",OFFSET('Forecast Adjuster'!$A$60,0,N$282),1) + IF($I$1="Yes",N$294,0)</f>
        <v>#REF!</v>
      </c>
      <c r="O79" s="73" t="e">
        <f ca="1">N$79*(1+O$240)*(1+SUMPRODUCT(Popn!O$202:O$212,#REF!)+SUMPRODUCT(Popn!O$213:O$223,#REF!))</f>
        <v>#REF!</v>
      </c>
      <c r="P79" s="73" t="e">
        <f ca="1">O$79*(1+P$240)*(1+SUMPRODUCT(Popn!P$202:P$212,#REF!)+SUMPRODUCT(Popn!P$213:P$223,#REF!))</f>
        <v>#REF!</v>
      </c>
      <c r="Q79" s="73" t="e">
        <f ca="1">P$79*(1+Q$240)*(1+SUMPRODUCT(Popn!Q$202:Q$212,#REF!)+SUMPRODUCT(Popn!Q$213:Q$223,#REF!))</f>
        <v>#REF!</v>
      </c>
      <c r="R79" s="73" t="e">
        <f ca="1">Q$79*(1+R$240)*(1+SUMPRODUCT(Popn!R$202:R$212,#REF!)+SUMPRODUCT(Popn!R$213:R$223,#REF!))</f>
        <v>#REF!</v>
      </c>
      <c r="S79" s="73" t="e">
        <f ca="1">R$79*(1+S$240)*(1+SUMPRODUCT(Popn!S$202:S$212,#REF!)+SUMPRODUCT(Popn!S$213:S$223,#REF!))</f>
        <v>#REF!</v>
      </c>
      <c r="T79" s="73" t="e">
        <f ca="1">S$79*(1+T$240)*(1+SUMPRODUCT(Popn!T$202:T$212,#REF!)+SUMPRODUCT(Popn!T$213:T$223,#REF!))</f>
        <v>#REF!</v>
      </c>
      <c r="U79" s="73" t="e">
        <f ca="1">T$79*(1+U$240)*(1+SUMPRODUCT(Popn!U$202:U$212,#REF!)+SUMPRODUCT(Popn!U$213:U$223,#REF!))</f>
        <v>#REF!</v>
      </c>
      <c r="V79" s="73" t="e">
        <f ca="1">U$79*(1+V$240)*(1+SUMPRODUCT(Popn!V$202:V$212,#REF!)+SUMPRODUCT(Popn!V$213:V$223,#REF!))</f>
        <v>#REF!</v>
      </c>
      <c r="W79" s="73" t="e">
        <f ca="1">V$79*(1+W$240)*(1+SUMPRODUCT(Popn!W$202:W$212,#REF!)+SUMPRODUCT(Popn!W$213:W$223,#REF!))</f>
        <v>#REF!</v>
      </c>
      <c r="X79" s="73" t="e">
        <f ca="1">W$79*(1+X$240)*(1+SUMPRODUCT(Popn!X$202:X$212,#REF!)+SUMPRODUCT(Popn!X$213:X$223,#REF!))</f>
        <v>#REF!</v>
      </c>
      <c r="Y79" s="36"/>
    </row>
    <row r="80" spans="1:25" x14ac:dyDescent="0.2">
      <c r="A80" s="31" t="s">
        <v>919</v>
      </c>
      <c r="B80" s="233"/>
      <c r="C80" s="69"/>
      <c r="D80" s="69" t="e">
        <f>#REF!</f>
        <v>#REF!</v>
      </c>
      <c r="E80" s="69" t="e">
        <f>#REF!</f>
        <v>#REF!</v>
      </c>
      <c r="F80" s="69" t="e">
        <f>#REF!</f>
        <v>#REF!</v>
      </c>
      <c r="G80" s="69" t="e">
        <f>#REF!</f>
        <v>#REF!</v>
      </c>
      <c r="H80" s="69" t="e">
        <f>#REF!</f>
        <v>#REF!</v>
      </c>
      <c r="I80" s="69" t="e">
        <f>#REF!</f>
        <v>#REF!</v>
      </c>
      <c r="J80" s="125" t="e">
        <f ca="1">#REF!*IF($F$1="Yes",OFFSET('Forecast Adjuster'!$A$60,0,J$282),1) + IF($I$1="Yes",J$295,0)</f>
        <v>#REF!</v>
      </c>
      <c r="K80" s="125" t="e">
        <f ca="1">#REF!*IF($F$1="Yes",OFFSET('Forecast Adjuster'!$A$60,0,K$282),1) + IF($I$1="Yes",K$295,0)</f>
        <v>#REF!</v>
      </c>
      <c r="L80" s="125" t="e">
        <f ca="1">#REF!*IF($F$1="Yes",OFFSET('Forecast Adjuster'!$A$60,0,L$282),1) + IF($I$1="Yes",L$295,0)</f>
        <v>#REF!</v>
      </c>
      <c r="M80" s="125" t="e">
        <f ca="1">#REF!*IF($F$1="Yes",OFFSET('Forecast Adjuster'!$A$60,0,M$282),1) + IF($I$1="Yes",M$295,0)</f>
        <v>#REF!</v>
      </c>
      <c r="N80" s="125" t="e">
        <f ca="1">#REF!*IF($F$1="Yes",OFFSET('Forecast Adjuster'!$A$60,0,N$282),1) + IF($I$1="Yes",N$295,0)</f>
        <v>#REF!</v>
      </c>
      <c r="O80" s="73" t="e">
        <f ca="1">N$80*(1+O$251)*(1+O$243)</f>
        <v>#REF!</v>
      </c>
      <c r="P80" s="73" t="e">
        <f t="shared" ref="P80:X80" ca="1" si="46">O$80*(1+P$251)*(1+P$243)</f>
        <v>#REF!</v>
      </c>
      <c r="Q80" s="73" t="e">
        <f t="shared" ca="1" si="46"/>
        <v>#REF!</v>
      </c>
      <c r="R80" s="73" t="e">
        <f t="shared" ca="1" si="46"/>
        <v>#REF!</v>
      </c>
      <c r="S80" s="73" t="e">
        <f t="shared" ca="1" si="46"/>
        <v>#REF!</v>
      </c>
      <c r="T80" s="73" t="e">
        <f t="shared" ca="1" si="46"/>
        <v>#REF!</v>
      </c>
      <c r="U80" s="73" t="e">
        <f t="shared" ca="1" si="46"/>
        <v>#REF!</v>
      </c>
      <c r="V80" s="73" t="e">
        <f t="shared" ca="1" si="46"/>
        <v>#REF!</v>
      </c>
      <c r="W80" s="73" t="e">
        <f t="shared" ca="1" si="46"/>
        <v>#REF!</v>
      </c>
      <c r="X80" s="73" t="e">
        <f t="shared" ca="1" si="46"/>
        <v>#REF!</v>
      </c>
      <c r="Y80" s="36"/>
    </row>
    <row r="81" spans="1:25" x14ac:dyDescent="0.2">
      <c r="A81" s="31" t="s">
        <v>918</v>
      </c>
      <c r="B81" s="233"/>
      <c r="C81" s="69"/>
      <c r="D81" s="69" t="e">
        <f>#REF!</f>
        <v>#REF!</v>
      </c>
      <c r="E81" s="69" t="e">
        <f>#REF!</f>
        <v>#REF!</v>
      </c>
      <c r="F81" s="69" t="e">
        <f>#REF!</f>
        <v>#REF!</v>
      </c>
      <c r="G81" s="69" t="e">
        <f>#REF!</f>
        <v>#REF!</v>
      </c>
      <c r="H81" s="69" t="e">
        <f>#REF!</f>
        <v>#REF!</v>
      </c>
      <c r="I81" s="69" t="e">
        <f>#REF!</f>
        <v>#REF!</v>
      </c>
      <c r="J81" s="125" t="e">
        <f>#REF! + IF($I$1="Yes",J$296,0)</f>
        <v>#REF!</v>
      </c>
      <c r="K81" s="125" t="e">
        <f>#REF! + IF($I$1="Yes",K$296,0)</f>
        <v>#REF!</v>
      </c>
      <c r="L81" s="125" t="e">
        <f>#REF! + IF($I$1="Yes",L$296,0)</f>
        <v>#REF!</v>
      </c>
      <c r="M81" s="125" t="e">
        <f>#REF! + IF($I$1="Yes",M$296,0)</f>
        <v>#REF!</v>
      </c>
      <c r="N81" s="125" t="e">
        <f>#REF! + IF($I$1="Yes",N$296,0)</f>
        <v>#REF!</v>
      </c>
      <c r="O81" s="73" t="e">
        <f ca="1">N$81*(1+O$251)*(1+O$243)</f>
        <v>#REF!</v>
      </c>
      <c r="P81" s="73" t="e">
        <f t="shared" ref="P81:X81" ca="1" si="47">O$81*(1+P$251)*(1+P$243)</f>
        <v>#REF!</v>
      </c>
      <c r="Q81" s="73" t="e">
        <f t="shared" ca="1" si="47"/>
        <v>#REF!</v>
      </c>
      <c r="R81" s="73" t="e">
        <f t="shared" ca="1" si="47"/>
        <v>#REF!</v>
      </c>
      <c r="S81" s="73" t="e">
        <f t="shared" ca="1" si="47"/>
        <v>#REF!</v>
      </c>
      <c r="T81" s="73" t="e">
        <f t="shared" ca="1" si="47"/>
        <v>#REF!</v>
      </c>
      <c r="U81" s="73" t="e">
        <f t="shared" ca="1" si="47"/>
        <v>#REF!</v>
      </c>
      <c r="V81" s="73" t="e">
        <f t="shared" ca="1" si="47"/>
        <v>#REF!</v>
      </c>
      <c r="W81" s="73" t="e">
        <f t="shared" ca="1" si="47"/>
        <v>#REF!</v>
      </c>
      <c r="X81" s="73" t="e">
        <f t="shared" ca="1" si="47"/>
        <v>#REF!</v>
      </c>
      <c r="Y81" s="36"/>
    </row>
    <row r="82" spans="1:25" x14ac:dyDescent="0.2">
      <c r="A82" s="31" t="s">
        <v>1011</v>
      </c>
      <c r="B82" s="233"/>
      <c r="C82" s="69"/>
      <c r="D82" s="69" t="e">
        <f>#REF!</f>
        <v>#REF!</v>
      </c>
      <c r="E82" s="69" t="e">
        <f>#REF!</f>
        <v>#REF!</v>
      </c>
      <c r="F82" s="69" t="e">
        <f>#REF!</f>
        <v>#REF!</v>
      </c>
      <c r="G82" s="69" t="e">
        <f>#REF!</f>
        <v>#REF!</v>
      </c>
      <c r="H82" s="69" t="e">
        <f>#REF!</f>
        <v>#REF!</v>
      </c>
      <c r="I82" s="69" t="e">
        <f>#REF!</f>
        <v>#REF!</v>
      </c>
      <c r="J82" s="125" t="e">
        <f>#REF!</f>
        <v>#REF!</v>
      </c>
      <c r="K82" s="125" t="e">
        <f>#REF!</f>
        <v>#REF!</v>
      </c>
      <c r="L82" s="125" t="e">
        <f>#REF!</f>
        <v>#REF!</v>
      </c>
      <c r="M82" s="125" t="e">
        <f>#REF!</f>
        <v>#REF!</v>
      </c>
      <c r="N82" s="125" t="e">
        <f>#REF!</f>
        <v>#REF!</v>
      </c>
      <c r="O82" s="73" t="e">
        <f t="shared" ref="O82:X82" ca="1" si="48">N$82*(1+O$251)*(1+O$243)</f>
        <v>#REF!</v>
      </c>
      <c r="P82" s="73" t="e">
        <f t="shared" ca="1" si="48"/>
        <v>#REF!</v>
      </c>
      <c r="Q82" s="73" t="e">
        <f t="shared" ca="1" si="48"/>
        <v>#REF!</v>
      </c>
      <c r="R82" s="73" t="e">
        <f t="shared" ca="1" si="48"/>
        <v>#REF!</v>
      </c>
      <c r="S82" s="73" t="e">
        <f t="shared" ca="1" si="48"/>
        <v>#REF!</v>
      </c>
      <c r="T82" s="73" t="e">
        <f t="shared" ca="1" si="48"/>
        <v>#REF!</v>
      </c>
      <c r="U82" s="73" t="e">
        <f t="shared" ca="1" si="48"/>
        <v>#REF!</v>
      </c>
      <c r="V82" s="73" t="e">
        <f t="shared" ca="1" si="48"/>
        <v>#REF!</v>
      </c>
      <c r="W82" s="73" t="e">
        <f t="shared" ca="1" si="48"/>
        <v>#REF!</v>
      </c>
      <c r="X82" s="73" t="e">
        <f t="shared" ca="1" si="48"/>
        <v>#REF!</v>
      </c>
      <c r="Y82" s="36"/>
    </row>
    <row r="83" spans="1:25" x14ac:dyDescent="0.2">
      <c r="A83" s="31" t="s">
        <v>1010</v>
      </c>
      <c r="B83" s="233"/>
      <c r="C83" s="69"/>
      <c r="D83" s="69" t="e">
        <f>#REF!</f>
        <v>#REF!</v>
      </c>
      <c r="E83" s="69" t="e">
        <f>#REF!</f>
        <v>#REF!</v>
      </c>
      <c r="F83" s="69" t="e">
        <f>#REF!</f>
        <v>#REF!</v>
      </c>
      <c r="G83" s="69" t="e">
        <f>#REF!</f>
        <v>#REF!</v>
      </c>
      <c r="H83" s="69" t="e">
        <f>#REF!</f>
        <v>#REF!</v>
      </c>
      <c r="I83" s="69" t="e">
        <f>#REF!</f>
        <v>#REF!</v>
      </c>
      <c r="J83" s="125" t="e">
        <f>#REF! + IF($I$1="Yes",J$297,0)</f>
        <v>#REF!</v>
      </c>
      <c r="K83" s="125" t="e">
        <f>#REF! + IF($I$1="Yes",K$297,0)</f>
        <v>#REF!</v>
      </c>
      <c r="L83" s="125" t="e">
        <f>#REF! + IF($I$1="Yes",L$297,0)</f>
        <v>#REF!</v>
      </c>
      <c r="M83" s="125" t="e">
        <f>#REF! + IF($I$1="Yes",M$297,0)</f>
        <v>#REF!</v>
      </c>
      <c r="N83" s="125" t="e">
        <f>#REF! + IF($I$1="Yes",N$297,0)</f>
        <v>#REF!</v>
      </c>
      <c r="O83" s="73" t="e">
        <f ca="1">N$83*(1+O$240)*AVERAGE(SUM(Popn!O$22:O$71,Popn!O$116:O$165)/SUM(Popn!N$22:N$71,Popn!N$116:N$165),SUM(Popn!O$72:O$97,Popn!O$166:O$191)/SUM(Popn!N$72:N$97,Popn!N$166:N$191))</f>
        <v>#REF!</v>
      </c>
      <c r="P83" s="73" t="e">
        <f ca="1">O$83*(1+P$240)*AVERAGE(SUM(Popn!P$22:P$71,Popn!P$116:P$165)/SUM(Popn!O$22:O$71,Popn!O$116:O$165),SUM(Popn!P$72:P$97,Popn!P$166:P$191)/SUM(Popn!O$72:O$97,Popn!O$166:O$191))</f>
        <v>#REF!</v>
      </c>
      <c r="Q83" s="73" t="e">
        <f ca="1">P$83*(1+Q$240)*AVERAGE(SUM(Popn!Q$22:Q$71,Popn!Q$116:Q$165)/SUM(Popn!P$22:P$71,Popn!P$116:P$165),SUM(Popn!Q$72:Q$97,Popn!Q$166:Q$191)/SUM(Popn!P$72:P$97,Popn!P$166:P$191))</f>
        <v>#REF!</v>
      </c>
      <c r="R83" s="73" t="e">
        <f ca="1">Q$83*(1+R$240)*AVERAGE(SUM(Popn!R$22:R$71,Popn!R$116:R$165)/SUM(Popn!Q$22:Q$71,Popn!Q$116:Q$165),SUM(Popn!R$72:R$97,Popn!R$166:R$191)/SUM(Popn!Q$72:Q$97,Popn!Q$166:Q$191))</f>
        <v>#REF!</v>
      </c>
      <c r="S83" s="73" t="e">
        <f ca="1">R$83*(1+S$240)*AVERAGE(SUM(Popn!S$22:S$71,Popn!S$116:S$165)/SUM(Popn!R$22:R$71,Popn!R$116:R$165),SUM(Popn!S$72:S$97,Popn!S$166:S$191)/SUM(Popn!R$72:R$97,Popn!R$166:R$191))</f>
        <v>#REF!</v>
      </c>
      <c r="T83" s="73" t="e">
        <f ca="1">S$83*(1+T$240)*AVERAGE(SUM(Popn!T$22:T$71,Popn!T$116:T$165)/SUM(Popn!S$22:S$71,Popn!S$116:S$165),SUM(Popn!T$72:T$97,Popn!T$166:T$191)/SUM(Popn!S$72:S$97,Popn!S$166:S$191))</f>
        <v>#REF!</v>
      </c>
      <c r="U83" s="73" t="e">
        <f ca="1">T$83*(1+U$240)*AVERAGE(SUM(Popn!U$22:U$71,Popn!U$116:U$165)/SUM(Popn!T$22:T$71,Popn!T$116:T$165),SUM(Popn!U$72:U$97,Popn!U$166:U$191)/SUM(Popn!T$72:T$97,Popn!T$166:T$191))</f>
        <v>#REF!</v>
      </c>
      <c r="V83" s="73" t="e">
        <f ca="1">U$83*(1+V$240)*AVERAGE(SUM(Popn!V$22:V$71,Popn!V$116:V$165)/SUM(Popn!U$22:U$71,Popn!U$116:U$165),SUM(Popn!V$72:V$97,Popn!V$166:V$191)/SUM(Popn!U$72:U$97,Popn!U$166:U$191))</f>
        <v>#REF!</v>
      </c>
      <c r="W83" s="73" t="e">
        <f ca="1">V$83*(1+W$240)*AVERAGE(SUM(Popn!W$22:W$71,Popn!W$116:W$165)/SUM(Popn!V$22:V$71,Popn!V$116:V$165),SUM(Popn!W$72:W$97,Popn!W$166:W$191)/SUM(Popn!V$72:V$97,Popn!V$166:V$191))</f>
        <v>#REF!</v>
      </c>
      <c r="X83" s="73" t="e">
        <f ca="1">W$83*(1+X$240)*AVERAGE(SUM(Popn!X$22:X$71,Popn!X$116:X$165)/SUM(Popn!W$22:W$71,Popn!W$116:W$165),SUM(Popn!X$72:X$97,Popn!X$166:X$191)/SUM(Popn!W$72:W$97,Popn!W$166:W$191))</f>
        <v>#REF!</v>
      </c>
      <c r="Y83" s="36"/>
    </row>
    <row r="84" spans="1:25" x14ac:dyDescent="0.2">
      <c r="A84" s="160" t="s">
        <v>248</v>
      </c>
      <c r="B84" s="233"/>
      <c r="C84" s="69"/>
      <c r="D84" s="69" t="e">
        <f>#REF!-D$82</f>
        <v>#REF!</v>
      </c>
      <c r="E84" s="69" t="e">
        <f>#REF!-E$82</f>
        <v>#REF!</v>
      </c>
      <c r="F84" s="69" t="e">
        <f>#REF!-F$82</f>
        <v>#REF!</v>
      </c>
      <c r="G84" s="69" t="e">
        <f>#REF!-G$82</f>
        <v>#REF!</v>
      </c>
      <c r="H84" s="69" t="e">
        <f>#REF!-H$82</f>
        <v>#REF!</v>
      </c>
      <c r="I84" s="69" t="e">
        <f>#REF!-I$82</f>
        <v>#REF!</v>
      </c>
      <c r="J84" s="125" t="e">
        <f ca="1">(#REF!-J$82)*IF($F$1="Yes",OFFSET('Forecast Adjuster'!$A$60,0,J$282),1) + IF($I$1="Yes",J$298,0)</f>
        <v>#REF!</v>
      </c>
      <c r="K84" s="125" t="e">
        <f ca="1">(#REF!-K$82)*IF($F$1="Yes",OFFSET('Forecast Adjuster'!$A$60,0,K$282),1) + IF($I$1="Yes",K$298,0)</f>
        <v>#REF!</v>
      </c>
      <c r="L84" s="125" t="e">
        <f ca="1">(#REF!-L$82)*IF($F$1="Yes",OFFSET('Forecast Adjuster'!$A$60,0,L$282),1) + IF($I$1="Yes",L$298,0)</f>
        <v>#REF!</v>
      </c>
      <c r="M84" s="125" t="e">
        <f ca="1">(#REF!-M$82)*IF($F$1="Yes",OFFSET('Forecast Adjuster'!$A$60,0,M$282),1) + IF($I$1="Yes",M$298,0)</f>
        <v>#REF!</v>
      </c>
      <c r="N84" s="125" t="e">
        <f ca="1">(#REF!-N$82)*IF($F$1="Yes",OFFSET('Forecast Adjuster'!$A$60,0,N$282),1) + IF($I$1="Yes",N$298,0)</f>
        <v>#REF!</v>
      </c>
      <c r="O84" s="73" t="e">
        <f ca="1">N$84*(1+O$240)*(1+Popn!O$201)</f>
        <v>#REF!</v>
      </c>
      <c r="P84" s="73" t="e">
        <f ca="1">O$84*(1+P$240)*(1+Popn!P$201)</f>
        <v>#REF!</v>
      </c>
      <c r="Q84" s="73" t="e">
        <f ca="1">P$84*(1+Q$240)*(1+Popn!Q$201)</f>
        <v>#REF!</v>
      </c>
      <c r="R84" s="73" t="e">
        <f ca="1">Q$84*(1+R$240)*(1+Popn!R$201)</f>
        <v>#REF!</v>
      </c>
      <c r="S84" s="73" t="e">
        <f ca="1">R$84*(1+S$240)*(1+Popn!S$201)</f>
        <v>#REF!</v>
      </c>
      <c r="T84" s="73" t="e">
        <f ca="1">S$84*(1+T$240)*(1+Popn!T$201)</f>
        <v>#REF!</v>
      </c>
      <c r="U84" s="73" t="e">
        <f ca="1">T$84*(1+U$240)*(1+Popn!U$201)</f>
        <v>#REF!</v>
      </c>
      <c r="V84" s="73" t="e">
        <f ca="1">U$84*(1+V$240)*(1+Popn!V$201)</f>
        <v>#REF!</v>
      </c>
      <c r="W84" s="73" t="e">
        <f ca="1">V$84*(1+W$240)*(1+Popn!W$201)</f>
        <v>#REF!</v>
      </c>
      <c r="X84" s="73" t="e">
        <f ca="1">W$84*(1+X$240)*(1+Popn!X$201)</f>
        <v>#REF!</v>
      </c>
      <c r="Y84" s="36"/>
    </row>
    <row r="85" spans="1:25" x14ac:dyDescent="0.2">
      <c r="A85" s="160" t="s">
        <v>922</v>
      </c>
      <c r="B85" s="36"/>
      <c r="C85" s="69"/>
      <c r="D85" s="176" t="e">
        <f>D$86-SUM(D$75:D$84)</f>
        <v>#REF!</v>
      </c>
      <c r="E85" s="176" t="e">
        <f t="shared" ref="E85:N85" si="49">E$86-SUM(E$75:E$84)</f>
        <v>#REF!</v>
      </c>
      <c r="F85" s="176" t="e">
        <f t="shared" si="49"/>
        <v>#REF!</v>
      </c>
      <c r="G85" s="176" t="e">
        <f t="shared" si="49"/>
        <v>#REF!</v>
      </c>
      <c r="H85" s="176" t="e">
        <f t="shared" si="49"/>
        <v>#REF!</v>
      </c>
      <c r="I85" s="176" t="e">
        <f t="shared" si="49"/>
        <v>#REF!</v>
      </c>
      <c r="J85" s="130" t="e">
        <f t="shared" ca="1" si="49"/>
        <v>#REF!</v>
      </c>
      <c r="K85" s="130" t="e">
        <f t="shared" ca="1" si="49"/>
        <v>#REF!</v>
      </c>
      <c r="L85" s="130" t="e">
        <f t="shared" ca="1" si="49"/>
        <v>#REF!</v>
      </c>
      <c r="M85" s="130" t="e">
        <f t="shared" ca="1" si="49"/>
        <v>#REF!</v>
      </c>
      <c r="N85" s="130" t="e">
        <f t="shared" ca="1" si="49"/>
        <v>#REF!</v>
      </c>
      <c r="O85" s="282" t="e">
        <f ca="1">N$85 +IF(OFFSET(Scenarios!$A$63,0,$C$1)="Yes",(O$144-N$144)*OFFSET(Scenarios!$A$66,0,$C$1),0) -0.252</f>
        <v>#REF!</v>
      </c>
      <c r="P85" s="278" t="e">
        <f ca="1">O$85 +IF(OFFSET(Scenarios!$A$63,0,$C$1)="Yes",(P$144-O$144)*OFFSET(Scenarios!$A$66,0,$C$1),0)</f>
        <v>#REF!</v>
      </c>
      <c r="Q85" s="278" t="e">
        <f ca="1">P$85 +IF(OFFSET(Scenarios!$A$63,0,$C$1)="Yes",(Q$144-P$144)*OFFSET(Scenarios!$A$66,0,$C$1),0)</f>
        <v>#REF!</v>
      </c>
      <c r="R85" s="278" t="e">
        <f ca="1">Q$85 +IF(OFFSET(Scenarios!$A$63,0,$C$1)="Yes",(R$144-Q$144)*OFFSET(Scenarios!$A$66,0,$C$1),0)</f>
        <v>#REF!</v>
      </c>
      <c r="S85" s="278" t="e">
        <f ca="1">R$85 +IF(OFFSET(Scenarios!$A$63,0,$C$1)="Yes",(S$144-R$144)*OFFSET(Scenarios!$A$66,0,$C$1),0)</f>
        <v>#REF!</v>
      </c>
      <c r="T85" s="278" t="e">
        <f ca="1">S$85 +IF(OFFSET(Scenarios!$A$63,0,$C$1)="Yes",(T$144-S$144)*OFFSET(Scenarios!$A$66,0,$C$1),0)</f>
        <v>#REF!</v>
      </c>
      <c r="U85" s="278" t="e">
        <f ca="1">T$85 +IF(OFFSET(Scenarios!$A$63,0,$C$1)="Yes",(U$144-T$144)*OFFSET(Scenarios!$A$66,0,$C$1),0)</f>
        <v>#REF!</v>
      </c>
      <c r="V85" s="278" t="e">
        <f ca="1">U$85 +IF(OFFSET(Scenarios!$A$63,0,$C$1)="Yes",(V$144-U$144)*OFFSET(Scenarios!$A$66,0,$C$1),0)</f>
        <v>#REF!</v>
      </c>
      <c r="W85" s="278" t="e">
        <f ca="1">V$85 +IF(OFFSET(Scenarios!$A$63,0,$C$1)="Yes",(W$144-V$144)*OFFSET(Scenarios!$A$66,0,$C$1),0)</f>
        <v>#REF!</v>
      </c>
      <c r="X85" s="278" t="e">
        <f ca="1">W$85 +IF(OFFSET(Scenarios!$A$63,0,$C$1)="Yes",(X$144-W$144)*OFFSET(Scenarios!$A$66,0,$C$1),0)</f>
        <v>#REF!</v>
      </c>
      <c r="Y85" s="36"/>
    </row>
    <row r="86" spans="1:25" x14ac:dyDescent="0.2">
      <c r="A86" s="27" t="s">
        <v>410</v>
      </c>
      <c r="B86" s="233"/>
      <c r="C86" s="69"/>
      <c r="D86" s="71" t="e">
        <f>#REF!</f>
        <v>#REF!</v>
      </c>
      <c r="E86" s="71" t="e">
        <f>#REF!</f>
        <v>#REF!</v>
      </c>
      <c r="F86" s="71" t="e">
        <f>#REF!</f>
        <v>#REF!</v>
      </c>
      <c r="G86" s="71" t="e">
        <f>#REF!</f>
        <v>#REF!</v>
      </c>
      <c r="H86" s="71" t="e">
        <f>#REF!</f>
        <v>#REF!</v>
      </c>
      <c r="I86" s="71" t="e">
        <f>#REF!</f>
        <v>#REF!</v>
      </c>
      <c r="J86" s="131" t="e">
        <f ca="1">#REF! + IF($F$1="Yes",SUM((#REF!-SUM(#REF!,#REF!))*(OFFSET('Forecast Adjuster'!$A$60,0,J$282)-1),#REF!*(OFFSET('Forecast Adjuster'!$A$65,0,J$282)-1),#REF!*(OFFSET('Forecast Adjuster'!$A$60,0,J$282)*OFFSET('Forecast Adjuster'!$A$66,0,J$282)-1)),0) + IF(OFFSET(Scenarios!$A$63,0,$C$1)="Yes",OFFSET(Scenarios!$A$66,0,$C$1)*J$144,0) + IF($I$1="Yes",SUM(J$290:J$298),0)</f>
        <v>#REF!</v>
      </c>
      <c r="K86" s="131" t="e">
        <f ca="1">#REF! + IF($F$1="Yes",SUM((#REF!-SUM(#REF!,#REF!))*(OFFSET('Forecast Adjuster'!$A$60,0,K$282)-1),#REF!*(OFFSET('Forecast Adjuster'!$A$65,0,K$282)-1),#REF!*(OFFSET('Forecast Adjuster'!$A$60,0,K$282)*OFFSET('Forecast Adjuster'!$A$66,0,K$282)-1)),0) + IF(OFFSET(Scenarios!$A$63,0,$C$1)="Yes",OFFSET(Scenarios!$A$66,0,$C$1)*K$144,0) + IF($I$1="Yes",SUM(K$290:K$298),0)</f>
        <v>#REF!</v>
      </c>
      <c r="L86" s="131" t="e">
        <f ca="1">#REF! + IF($F$1="Yes",SUM((#REF!-SUM(#REF!,#REF!))*(OFFSET('Forecast Adjuster'!$A$60,0,L$282)-1),#REF!*(OFFSET('Forecast Adjuster'!$A$65,0,L$282)-1),#REF!*(OFFSET('Forecast Adjuster'!$A$60,0,L$282)*OFFSET('Forecast Adjuster'!$A$66,0,L$282)-1)),0) + IF(OFFSET(Scenarios!$A$63,0,$C$1)="Yes",OFFSET(Scenarios!$A$66,0,$C$1)*L$144,0) + IF($I$1="Yes",SUM(L$290:L$298),0)</f>
        <v>#REF!</v>
      </c>
      <c r="M86" s="131" t="e">
        <f ca="1">#REF! + IF($F$1="Yes",SUM((#REF!-SUM(#REF!,#REF!))*(OFFSET('Forecast Adjuster'!$A$60,0,M$282)-1),#REF!*(OFFSET('Forecast Adjuster'!$A$65,0,M$282)-1),#REF!*(OFFSET('Forecast Adjuster'!$A$60,0,M$282)*OFFSET('Forecast Adjuster'!$A$66,0,M$282)-1)),0) + IF(OFFSET(Scenarios!$A$63,0,$C$1)="Yes",OFFSET(Scenarios!$A$66,0,$C$1)*M$144,0) + IF($I$1="Yes",SUM(M$290:M$298),0)</f>
        <v>#REF!</v>
      </c>
      <c r="N86" s="131" t="e">
        <f ca="1">#REF! + IF($F$1="Yes",SUM((#REF!-SUM(#REF!,#REF!))*(OFFSET('Forecast Adjuster'!$A$60,0,N$282)-1),#REF!*(OFFSET('Forecast Adjuster'!$A$65,0,N$282)-1),#REF!*(OFFSET('Forecast Adjuster'!$A$60,0,N$282)*OFFSET('Forecast Adjuster'!$A$66,0,N$282)-1)),0) + IF(OFFSET(Scenarios!$A$63,0,$C$1)="Yes",OFFSET(Scenarios!$A$66,0,$C$1)*N$144,0) + IF($I$1="Yes",SUM(N$290:N$298),0)</f>
        <v>#REF!</v>
      </c>
      <c r="O86" s="75" t="e">
        <f t="shared" ref="O86:X86" ca="1" si="50">SUM(O$75:O$85)</f>
        <v>#REF!</v>
      </c>
      <c r="P86" s="75" t="e">
        <f t="shared" ca="1" si="50"/>
        <v>#REF!</v>
      </c>
      <c r="Q86" s="75" t="e">
        <f t="shared" ca="1" si="50"/>
        <v>#REF!</v>
      </c>
      <c r="R86" s="75" t="e">
        <f t="shared" ca="1" si="50"/>
        <v>#REF!</v>
      </c>
      <c r="S86" s="75" t="e">
        <f t="shared" ca="1" si="50"/>
        <v>#REF!</v>
      </c>
      <c r="T86" s="75" t="e">
        <f t="shared" ca="1" si="50"/>
        <v>#REF!</v>
      </c>
      <c r="U86" s="75" t="e">
        <f t="shared" ca="1" si="50"/>
        <v>#REF!</v>
      </c>
      <c r="V86" s="75" t="e">
        <f t="shared" ca="1" si="50"/>
        <v>#REF!</v>
      </c>
      <c r="W86" s="75" t="e">
        <f t="shared" ca="1" si="50"/>
        <v>#REF!</v>
      </c>
      <c r="X86" s="75" t="e">
        <f t="shared" ca="1" si="50"/>
        <v>#REF!</v>
      </c>
      <c r="Y86" s="36"/>
    </row>
    <row r="87" spans="1:25" x14ac:dyDescent="0.2">
      <c r="A87" s="160" t="s">
        <v>596</v>
      </c>
      <c r="B87" s="99"/>
      <c r="C87" s="69"/>
      <c r="D87" s="69" t="e">
        <f t="shared" ref="D87:N87" si="51">D$88-D$86</f>
        <v>#REF!</v>
      </c>
      <c r="E87" s="69" t="e">
        <f t="shared" si="51"/>
        <v>#REF!</v>
      </c>
      <c r="F87" s="69" t="e">
        <f t="shared" si="51"/>
        <v>#REF!</v>
      </c>
      <c r="G87" s="69" t="e">
        <f t="shared" si="51"/>
        <v>#REF!</v>
      </c>
      <c r="H87" s="69" t="e">
        <f t="shared" si="51"/>
        <v>#REF!</v>
      </c>
      <c r="I87" s="69" t="e">
        <f t="shared" si="51"/>
        <v>#REF!</v>
      </c>
      <c r="J87" s="105" t="e">
        <f t="shared" ca="1" si="51"/>
        <v>#REF!</v>
      </c>
      <c r="K87" s="105" t="e">
        <f t="shared" ca="1" si="51"/>
        <v>#REF!</v>
      </c>
      <c r="L87" s="105" t="e">
        <f t="shared" ca="1" si="51"/>
        <v>#REF!</v>
      </c>
      <c r="M87" s="105" t="e">
        <f t="shared" ca="1" si="51"/>
        <v>#REF!</v>
      </c>
      <c r="N87" s="105" t="e">
        <f t="shared" ca="1" si="51"/>
        <v>#REF!</v>
      </c>
      <c r="O87" s="73" t="e">
        <f ca="1">N$87*#REF!/#REF!</f>
        <v>#REF!</v>
      </c>
      <c r="P87" s="73" t="e">
        <f ca="1">O$87*#REF!/#REF!</f>
        <v>#REF!</v>
      </c>
      <c r="Q87" s="73" t="e">
        <f ca="1">P$87*#REF!/#REF!</f>
        <v>#REF!</v>
      </c>
      <c r="R87" s="73" t="e">
        <f ca="1">Q$87*#REF!/#REF!</f>
        <v>#REF!</v>
      </c>
      <c r="S87" s="73" t="e">
        <f ca="1">R$87*#REF!/#REF!</f>
        <v>#REF!</v>
      </c>
      <c r="T87" s="73" t="e">
        <f ca="1">S$87*#REF!/#REF!</f>
        <v>#REF!</v>
      </c>
      <c r="U87" s="73" t="e">
        <f ca="1">T$87*#REF!/#REF!</f>
        <v>#REF!</v>
      </c>
      <c r="V87" s="73" t="e">
        <f ca="1">U$87*#REF!/#REF!</f>
        <v>#REF!</v>
      </c>
      <c r="W87" s="73" t="e">
        <f ca="1">V$87*#REF!/#REF!</f>
        <v>#REF!</v>
      </c>
      <c r="X87" s="73" t="e">
        <f ca="1">W$87*#REF!/#REF!</f>
        <v>#REF!</v>
      </c>
      <c r="Y87" s="36"/>
    </row>
    <row r="88" spans="1:25" x14ac:dyDescent="0.2">
      <c r="A88" s="27" t="s">
        <v>391</v>
      </c>
      <c r="B88" s="233"/>
      <c r="C88" s="69"/>
      <c r="D88" s="71" t="e">
        <f>#REF!</f>
        <v>#REF!</v>
      </c>
      <c r="E88" s="71" t="e">
        <f>#REF!</f>
        <v>#REF!</v>
      </c>
      <c r="F88" s="71" t="e">
        <f>#REF!</f>
        <v>#REF!</v>
      </c>
      <c r="G88" s="71" t="e">
        <f>#REF!</f>
        <v>#REF!</v>
      </c>
      <c r="H88" s="71" t="e">
        <f>#REF!</f>
        <v>#REF!</v>
      </c>
      <c r="I88" s="71" t="e">
        <f>#REF!</f>
        <v>#REF!</v>
      </c>
      <c r="J88" s="131" t="e">
        <f ca="1">#REF! + IF($F$1="Yes",SUM((#REF!-SUM(#REF!,#REF!))*(OFFSET('Forecast Adjuster'!$A$60,0,J$282)-1),#REF!*(OFFSET('Forecast Adjuster'!$A$65,0,J$282)-1),#REF!*(OFFSET('Forecast Adjuster'!$A$60,0,J$282)*OFFSET('Forecast Adjuster'!$A$66,0,J$282)-1)),0) + IF(OFFSET(Scenarios!$A$63,0,$C$1)="Yes",OFFSET(Scenarios!$A$66,0,$C$1)*J$144,0) + IF($I$1="Yes",SUM(J$290:J$298),0)</f>
        <v>#REF!</v>
      </c>
      <c r="K88" s="131" t="e">
        <f ca="1">#REF! + IF($F$1="Yes",SUM((#REF!-SUM(#REF!,#REF!))*(OFFSET('Forecast Adjuster'!$A$60,0,K$282)-1),#REF!*(OFFSET('Forecast Adjuster'!$A$65,0,K$282)-1),#REF!*(OFFSET('Forecast Adjuster'!$A$60,0,K$282)*OFFSET('Forecast Adjuster'!$A$66,0,K$282)-1)),0) + IF(OFFSET(Scenarios!$A$63,0,$C$1)="Yes",OFFSET(Scenarios!$A$66,0,$C$1)*K$144,0) + IF($I$1="Yes",SUM(K$290:K$298),0)</f>
        <v>#REF!</v>
      </c>
      <c r="L88" s="131" t="e">
        <f ca="1">#REF! + IF($F$1="Yes",SUM((#REF!-SUM(#REF!,#REF!))*(OFFSET('Forecast Adjuster'!$A$60,0,L$282)-1),#REF!*(OFFSET('Forecast Adjuster'!$A$65,0,L$282)-1),#REF!*(OFFSET('Forecast Adjuster'!$A$60,0,L$282)*OFFSET('Forecast Adjuster'!$A$66,0,L$282)-1)),0) + IF(OFFSET(Scenarios!$A$63,0,$C$1)="Yes",OFFSET(Scenarios!$A$66,0,$C$1)*L$144,0) + IF($I$1="Yes",SUM(L$290:L$298),0)</f>
        <v>#REF!</v>
      </c>
      <c r="M88" s="131" t="e">
        <f ca="1">#REF! + IF($F$1="Yes",SUM((#REF!-SUM(#REF!,#REF!))*(OFFSET('Forecast Adjuster'!$A$60,0,M$282)-1),#REF!*(OFFSET('Forecast Adjuster'!$A$65,0,M$282)-1),#REF!*(OFFSET('Forecast Adjuster'!$A$60,0,M$282)*OFFSET('Forecast Adjuster'!$A$66,0,M$282)-1)),0) + IF(OFFSET(Scenarios!$A$63,0,$C$1)="Yes",OFFSET(Scenarios!$A$66,0,$C$1)*M$144,0) + IF($I$1="Yes",SUM(M$290:M$298),0)</f>
        <v>#REF!</v>
      </c>
      <c r="N88" s="131" t="e">
        <f ca="1">#REF! + IF($F$1="Yes",SUM((#REF!-SUM(#REF!,#REF!))*(OFFSET('Forecast Adjuster'!$A$60,0,N$282)-1),#REF!*(OFFSET('Forecast Adjuster'!$A$65,0,N$282)-1),#REF!*(OFFSET('Forecast Adjuster'!$A$60,0,N$282)*OFFSET('Forecast Adjuster'!$A$66,0,N$282)-1)),0) + IF(OFFSET(Scenarios!$A$63,0,$C$1)="Yes",OFFSET(Scenarios!$A$66,0,$C$1)*N$144,0) + IF($I$1="Yes",SUM(N$290:N$298),0)</f>
        <v>#REF!</v>
      </c>
      <c r="O88" s="75" t="e">
        <f t="shared" ref="O88:X88" ca="1" si="52">SUM(O$86,O$87)</f>
        <v>#REF!</v>
      </c>
      <c r="P88" s="75" t="e">
        <f t="shared" ca="1" si="52"/>
        <v>#REF!</v>
      </c>
      <c r="Q88" s="75" t="e">
        <f t="shared" ca="1" si="52"/>
        <v>#REF!</v>
      </c>
      <c r="R88" s="75" t="e">
        <f t="shared" ca="1" si="52"/>
        <v>#REF!</v>
      </c>
      <c r="S88" s="75" t="e">
        <f t="shared" ca="1" si="52"/>
        <v>#REF!</v>
      </c>
      <c r="T88" s="75" t="e">
        <f t="shared" ca="1" si="52"/>
        <v>#REF!</v>
      </c>
      <c r="U88" s="75" t="e">
        <f t="shared" ca="1" si="52"/>
        <v>#REF!</v>
      </c>
      <c r="V88" s="75" t="e">
        <f t="shared" ca="1" si="52"/>
        <v>#REF!</v>
      </c>
      <c r="W88" s="75" t="e">
        <f t="shared" ca="1" si="52"/>
        <v>#REF!</v>
      </c>
      <c r="X88" s="75" t="e">
        <f t="shared" ca="1" si="52"/>
        <v>#REF!</v>
      </c>
      <c r="Y88" s="36"/>
    </row>
    <row r="89" spans="1:25" x14ac:dyDescent="0.2">
      <c r="A89" s="108" t="s">
        <v>599</v>
      </c>
      <c r="C89" s="69"/>
      <c r="D89" s="69"/>
      <c r="E89" s="69"/>
      <c r="F89" s="73"/>
      <c r="G89" s="73"/>
      <c r="H89" s="73"/>
      <c r="I89" s="73"/>
      <c r="J89" s="73"/>
      <c r="Y89" s="36"/>
    </row>
    <row r="90" spans="1:25" x14ac:dyDescent="0.2">
      <c r="A90" s="225" t="s">
        <v>700</v>
      </c>
      <c r="B90" s="233"/>
      <c r="C90" s="69"/>
      <c r="D90" s="178" t="e">
        <f>#REF!</f>
        <v>#REF!</v>
      </c>
      <c r="E90" s="178" t="e">
        <f>#REF!</f>
        <v>#REF!</v>
      </c>
      <c r="F90" s="178" t="e">
        <f>#REF!</f>
        <v>#REF!</v>
      </c>
      <c r="G90" s="178" t="e">
        <f>#REF!</f>
        <v>#REF!</v>
      </c>
      <c r="H90" s="178" t="e">
        <f>#REF!</f>
        <v>#REF!</v>
      </c>
      <c r="I90" s="178" t="e">
        <f>#REF!</f>
        <v>#REF!</v>
      </c>
      <c r="J90" s="294" t="e">
        <f ca="1">IF(OR($F$1="Yes",$O$1="Yes"),OFFSET('Forecast Adjuster'!$A$48,0,J$282),#REF!)</f>
        <v>#REF!</v>
      </c>
      <c r="K90" s="294" t="e">
        <f ca="1">IF(OR($F$1="Yes",$O$1="Yes"),OFFSET('Forecast Adjuster'!$A$48,0,K$282),#REF!)</f>
        <v>#REF!</v>
      </c>
      <c r="L90" s="294" t="e">
        <f ca="1">IF(OR($F$1="Yes",$O$1="Yes"),OFFSET('Forecast Adjuster'!$A$48,0,L$282),#REF!)</f>
        <v>#REF!</v>
      </c>
      <c r="M90" s="294" t="e">
        <f ca="1">IF(OR($F$1="Yes",$O$1="Yes"),OFFSET('Forecast Adjuster'!$A$48,0,M$282),#REF!)</f>
        <v>#REF!</v>
      </c>
      <c r="N90" s="294" t="e">
        <f ca="1">IF(OR($F$1="Yes",$O$1="Yes"),OFFSET('Forecast Adjuster'!$A$48,0,N$282),#REF!)</f>
        <v>#REF!</v>
      </c>
      <c r="O90" s="173" t="e">
        <f t="shared" ref="O90:X90" ca="1" si="53">N$90*(1+O$252)*(1+O$240)</f>
        <v>#REF!</v>
      </c>
      <c r="P90" s="173" t="e">
        <f t="shared" ca="1" si="53"/>
        <v>#REF!</v>
      </c>
      <c r="Q90" s="173" t="e">
        <f t="shared" ca="1" si="53"/>
        <v>#REF!</v>
      </c>
      <c r="R90" s="173" t="e">
        <f t="shared" ca="1" si="53"/>
        <v>#REF!</v>
      </c>
      <c r="S90" s="173" t="e">
        <f t="shared" ca="1" si="53"/>
        <v>#REF!</v>
      </c>
      <c r="T90" s="173" t="e">
        <f t="shared" ca="1" si="53"/>
        <v>#REF!</v>
      </c>
      <c r="U90" s="173" t="e">
        <f t="shared" ca="1" si="53"/>
        <v>#REF!</v>
      </c>
      <c r="V90" s="173" t="e">
        <f t="shared" ca="1" si="53"/>
        <v>#REF!</v>
      </c>
      <c r="W90" s="173" t="e">
        <f t="shared" ca="1" si="53"/>
        <v>#REF!</v>
      </c>
      <c r="X90" s="173" t="e">
        <f t="shared" ca="1" si="53"/>
        <v>#REF!</v>
      </c>
      <c r="Y90" s="36"/>
    </row>
    <row r="91" spans="1:25" x14ac:dyDescent="0.2">
      <c r="A91" s="225" t="s">
        <v>702</v>
      </c>
      <c r="B91" s="233"/>
      <c r="C91" s="69"/>
      <c r="D91" s="178" t="e">
        <f>#REF!</f>
        <v>#REF!</v>
      </c>
      <c r="E91" s="178" t="e">
        <f>#REF!</f>
        <v>#REF!</v>
      </c>
      <c r="F91" s="178" t="e">
        <f>#REF!</f>
        <v>#REF!</v>
      </c>
      <c r="G91" s="178" t="e">
        <f>#REF!</f>
        <v>#REF!</v>
      </c>
      <c r="H91" s="178" t="e">
        <f>#REF!</f>
        <v>#REF!</v>
      </c>
      <c r="I91" s="178" t="e">
        <f>#REF!</f>
        <v>#REF!</v>
      </c>
      <c r="J91" s="294" t="e">
        <f ca="1">IF(OR($F$1="Yes",$O$1="Yes"),OFFSET('Forecast Adjuster'!$A$52,0,J$282),#REF!)</f>
        <v>#REF!</v>
      </c>
      <c r="K91" s="294" t="e">
        <f ca="1">IF(OR($F$1="Yes",$O$1="Yes"),OFFSET('Forecast Adjuster'!$A$52,0,K$282),#REF!)</f>
        <v>#REF!</v>
      </c>
      <c r="L91" s="294" t="e">
        <f ca="1">IF(OR($F$1="Yes",$O$1="Yes"),OFFSET('Forecast Adjuster'!$A$52,0,L$282),#REF!)</f>
        <v>#REF!</v>
      </c>
      <c r="M91" s="294" t="e">
        <f ca="1">IF(OR($F$1="Yes",$O$1="Yes"),OFFSET('Forecast Adjuster'!$A$52,0,M$282),#REF!)</f>
        <v>#REF!</v>
      </c>
      <c r="N91" s="294" t="e">
        <f ca="1">IF(OR($F$1="Yes",$O$1="Yes"),OFFSET('Forecast Adjuster'!$A$52,0,N$282),#REF!)</f>
        <v>#REF!</v>
      </c>
      <c r="O91" s="173" t="e">
        <f ca="1">IF(AND(OFFSET(Scenarios!$A$26,0,$C$1)="YES",OFFSET(Scenarios!$A$28,0,$C$1)&gt;=O$4),(52*O$90-IF(52*O$90&gt;OFFSET(Scenarios!$A$80,0,$C$1),(52*O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O$90&gt;OFFSET(Scenarios!$A$79,0,$C$1),(52*O$90-OFFSET(Scenarios!$A$79,0,$C$1))*OFFSET(Scenarios!$A$83,0,$C$1)+(OFFSET(Scenarios!$A$79,0,$C$1)-OFFSET(Scenarios!$A$78,0,$C$1))*OFFSET(Scenarios!$A$82,0,$C$1)+OFFSET(Scenarios!$A$78,0,$C$1)*OFFSET(Scenarios!$A$81,0,$C$1),IF(52*O$90&gt;OFFSET(Scenarios!$A$78,0,$C$1),(52*O$90-OFFSET(Scenarios!$A$78,0,$C$1))*OFFSET(Scenarios!$A$82,0,$C$1)+OFFSET(Scenarios!$A$78,0,$C$1)*OFFSET(Scenarios!$A$81,0,$C$1),52*O$90*OFFSET(Scenarios!$A$81,0,$C$1))))-52*O$90*OFFSET(Scenarios!$A$85,0,$C$1))/52,N$91*O$90/N$90)</f>
        <v>#N/A</v>
      </c>
      <c r="P91" s="173" t="e">
        <f ca="1">IF(AND(OFFSET(Scenarios!$A$26,0,$C$1)="YES",OFFSET(Scenarios!$A$28,0,$C$1)&gt;=P$4),(52*P$90-IF(52*P$90&gt;OFFSET(Scenarios!$A$80,0,$C$1),(52*P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P$90&gt;OFFSET(Scenarios!$A$79,0,$C$1),(52*P$90-OFFSET(Scenarios!$A$79,0,$C$1))*OFFSET(Scenarios!$A$83,0,$C$1)+(OFFSET(Scenarios!$A$79,0,$C$1)-OFFSET(Scenarios!$A$78,0,$C$1))*OFFSET(Scenarios!$A$82,0,$C$1)+OFFSET(Scenarios!$A$78,0,$C$1)*OFFSET(Scenarios!$A$81,0,$C$1),IF(52*P$90&gt;OFFSET(Scenarios!$A$78,0,$C$1),(52*P$90-OFFSET(Scenarios!$A$78,0,$C$1))*OFFSET(Scenarios!$A$82,0,$C$1)+OFFSET(Scenarios!$A$78,0,$C$1)*OFFSET(Scenarios!$A$81,0,$C$1),52*P$90*OFFSET(Scenarios!$A$81,0,$C$1))))-52*P$90*OFFSET(Scenarios!$A$85,0,$C$1))/52,O$91*P$90/O$90)</f>
        <v>#N/A</v>
      </c>
      <c r="Q91" s="173" t="e">
        <f ca="1">IF(AND(OFFSET(Scenarios!$A$26,0,$C$1)="YES",OFFSET(Scenarios!$A$28,0,$C$1)&gt;=Q$4),(52*Q$90-IF(52*Q$90&gt;OFFSET(Scenarios!$A$80,0,$C$1),(52*Q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Q$90&gt;OFFSET(Scenarios!$A$79,0,$C$1),(52*Q$90-OFFSET(Scenarios!$A$79,0,$C$1))*OFFSET(Scenarios!$A$83,0,$C$1)+(OFFSET(Scenarios!$A$79,0,$C$1)-OFFSET(Scenarios!$A$78,0,$C$1))*OFFSET(Scenarios!$A$82,0,$C$1)+OFFSET(Scenarios!$A$78,0,$C$1)*OFFSET(Scenarios!$A$81,0,$C$1),IF(52*Q$90&gt;OFFSET(Scenarios!$A$78,0,$C$1),(52*Q$90-OFFSET(Scenarios!$A$78,0,$C$1))*OFFSET(Scenarios!$A$82,0,$C$1)+OFFSET(Scenarios!$A$78,0,$C$1)*OFFSET(Scenarios!$A$81,0,$C$1),52*Q$90*OFFSET(Scenarios!$A$81,0,$C$1))))-52*Q$90*OFFSET(Scenarios!$A$85,0,$C$1))/52,P$91*Q$90/P$90)</f>
        <v>#N/A</v>
      </c>
      <c r="R91" s="173" t="e">
        <f ca="1">IF(AND(OFFSET(Scenarios!$A$26,0,$C$1)="YES",OFFSET(Scenarios!$A$28,0,$C$1)&gt;=R$4),(52*R$90-IF(52*R$90&gt;OFFSET(Scenarios!$A$80,0,$C$1),(52*R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R$90&gt;OFFSET(Scenarios!$A$79,0,$C$1),(52*R$90-OFFSET(Scenarios!$A$79,0,$C$1))*OFFSET(Scenarios!$A$83,0,$C$1)+(OFFSET(Scenarios!$A$79,0,$C$1)-OFFSET(Scenarios!$A$78,0,$C$1))*OFFSET(Scenarios!$A$82,0,$C$1)+OFFSET(Scenarios!$A$78,0,$C$1)*OFFSET(Scenarios!$A$81,0,$C$1),IF(52*R$90&gt;OFFSET(Scenarios!$A$78,0,$C$1),(52*R$90-OFFSET(Scenarios!$A$78,0,$C$1))*OFFSET(Scenarios!$A$82,0,$C$1)+OFFSET(Scenarios!$A$78,0,$C$1)*OFFSET(Scenarios!$A$81,0,$C$1),52*R$90*OFFSET(Scenarios!$A$81,0,$C$1))))-52*R$90*OFFSET(Scenarios!$A$85,0,$C$1))/52,Q$91*R$90/Q$90)</f>
        <v>#N/A</v>
      </c>
      <c r="S91" s="173" t="e">
        <f ca="1">IF(AND(OFFSET(Scenarios!$A$26,0,$C$1)="YES",OFFSET(Scenarios!$A$28,0,$C$1)&gt;=S$4),(52*S$90-IF(52*S$90&gt;OFFSET(Scenarios!$A$80,0,$C$1),(52*S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S$90&gt;OFFSET(Scenarios!$A$79,0,$C$1),(52*S$90-OFFSET(Scenarios!$A$79,0,$C$1))*OFFSET(Scenarios!$A$83,0,$C$1)+(OFFSET(Scenarios!$A$79,0,$C$1)-OFFSET(Scenarios!$A$78,0,$C$1))*OFFSET(Scenarios!$A$82,0,$C$1)+OFFSET(Scenarios!$A$78,0,$C$1)*OFFSET(Scenarios!$A$81,0,$C$1),IF(52*S$90&gt;OFFSET(Scenarios!$A$78,0,$C$1),(52*S$90-OFFSET(Scenarios!$A$78,0,$C$1))*OFFSET(Scenarios!$A$82,0,$C$1)+OFFSET(Scenarios!$A$78,0,$C$1)*OFFSET(Scenarios!$A$81,0,$C$1),52*S$90*OFFSET(Scenarios!$A$81,0,$C$1))))-52*S$90*OFFSET(Scenarios!$A$85,0,$C$1))/52,R$91*S$90/R$90)</f>
        <v>#N/A</v>
      </c>
      <c r="T91" s="173" t="e">
        <f ca="1">IF(AND(OFFSET(Scenarios!$A$26,0,$C$1)="YES",OFFSET(Scenarios!$A$28,0,$C$1)&gt;=T$4),(52*T$90-IF(52*T$90&gt;OFFSET(Scenarios!$A$80,0,$C$1),(52*T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T$90&gt;OFFSET(Scenarios!$A$79,0,$C$1),(52*T$90-OFFSET(Scenarios!$A$79,0,$C$1))*OFFSET(Scenarios!$A$83,0,$C$1)+(OFFSET(Scenarios!$A$79,0,$C$1)-OFFSET(Scenarios!$A$78,0,$C$1))*OFFSET(Scenarios!$A$82,0,$C$1)+OFFSET(Scenarios!$A$78,0,$C$1)*OFFSET(Scenarios!$A$81,0,$C$1),IF(52*T$90&gt;OFFSET(Scenarios!$A$78,0,$C$1),(52*T$90-OFFSET(Scenarios!$A$78,0,$C$1))*OFFSET(Scenarios!$A$82,0,$C$1)+OFFSET(Scenarios!$A$78,0,$C$1)*OFFSET(Scenarios!$A$81,0,$C$1),52*T$90*OFFSET(Scenarios!$A$81,0,$C$1))))-52*T$90*OFFSET(Scenarios!$A$85,0,$C$1))/52,S$91*T$90/S$90)</f>
        <v>#N/A</v>
      </c>
      <c r="U91" s="173" t="e">
        <f ca="1">IF(AND(OFFSET(Scenarios!$A$26,0,$C$1)="YES",OFFSET(Scenarios!$A$28,0,$C$1)&gt;=U$4),(52*U$90-IF(52*U$90&gt;OFFSET(Scenarios!$A$80,0,$C$1),(52*U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U$90&gt;OFFSET(Scenarios!$A$79,0,$C$1),(52*U$90-OFFSET(Scenarios!$A$79,0,$C$1))*OFFSET(Scenarios!$A$83,0,$C$1)+(OFFSET(Scenarios!$A$79,0,$C$1)-OFFSET(Scenarios!$A$78,0,$C$1))*OFFSET(Scenarios!$A$82,0,$C$1)+OFFSET(Scenarios!$A$78,0,$C$1)*OFFSET(Scenarios!$A$81,0,$C$1),IF(52*U$90&gt;OFFSET(Scenarios!$A$78,0,$C$1),(52*U$90-OFFSET(Scenarios!$A$78,0,$C$1))*OFFSET(Scenarios!$A$82,0,$C$1)+OFFSET(Scenarios!$A$78,0,$C$1)*OFFSET(Scenarios!$A$81,0,$C$1),52*U$90*OFFSET(Scenarios!$A$81,0,$C$1))))-52*U$90*OFFSET(Scenarios!$A$85,0,$C$1))/52,T$91*U$90/T$90)</f>
        <v>#N/A</v>
      </c>
      <c r="V91" s="173" t="e">
        <f ca="1">IF(AND(OFFSET(Scenarios!$A$26,0,$C$1)="YES",OFFSET(Scenarios!$A$28,0,$C$1)&gt;=V$4),(52*V$90-IF(52*V$90&gt;OFFSET(Scenarios!$A$80,0,$C$1),(52*V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V$90&gt;OFFSET(Scenarios!$A$79,0,$C$1),(52*V$90-OFFSET(Scenarios!$A$79,0,$C$1))*OFFSET(Scenarios!$A$83,0,$C$1)+(OFFSET(Scenarios!$A$79,0,$C$1)-OFFSET(Scenarios!$A$78,0,$C$1))*OFFSET(Scenarios!$A$82,0,$C$1)+OFFSET(Scenarios!$A$78,0,$C$1)*OFFSET(Scenarios!$A$81,0,$C$1),IF(52*V$90&gt;OFFSET(Scenarios!$A$78,0,$C$1),(52*V$90-OFFSET(Scenarios!$A$78,0,$C$1))*OFFSET(Scenarios!$A$82,0,$C$1)+OFFSET(Scenarios!$A$78,0,$C$1)*OFFSET(Scenarios!$A$81,0,$C$1),52*V$90*OFFSET(Scenarios!$A$81,0,$C$1))))-52*V$90*OFFSET(Scenarios!$A$85,0,$C$1))/52,U$91*V$90/U$90)</f>
        <v>#N/A</v>
      </c>
      <c r="W91" s="173" t="e">
        <f ca="1">IF(AND(OFFSET(Scenarios!$A$26,0,$C$1)="YES",OFFSET(Scenarios!$A$28,0,$C$1)&gt;=W$4),(52*W$90-IF(52*W$90&gt;OFFSET(Scenarios!$A$80,0,$C$1),(52*W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W$90&gt;OFFSET(Scenarios!$A$79,0,$C$1),(52*W$90-OFFSET(Scenarios!$A$79,0,$C$1))*OFFSET(Scenarios!$A$83,0,$C$1)+(OFFSET(Scenarios!$A$79,0,$C$1)-OFFSET(Scenarios!$A$78,0,$C$1))*OFFSET(Scenarios!$A$82,0,$C$1)+OFFSET(Scenarios!$A$78,0,$C$1)*OFFSET(Scenarios!$A$81,0,$C$1),IF(52*W$90&gt;OFFSET(Scenarios!$A$78,0,$C$1),(52*W$90-OFFSET(Scenarios!$A$78,0,$C$1))*OFFSET(Scenarios!$A$82,0,$C$1)+OFFSET(Scenarios!$A$78,0,$C$1)*OFFSET(Scenarios!$A$81,0,$C$1),52*W$90*OFFSET(Scenarios!$A$81,0,$C$1))))-52*W$90*OFFSET(Scenarios!$A$85,0,$C$1))/52,V$91*W$90/V$90)</f>
        <v>#N/A</v>
      </c>
      <c r="X91" s="173" t="e">
        <f ca="1">IF(AND(OFFSET(Scenarios!$A$26,0,$C$1)="YES",OFFSET(Scenarios!$A$28,0,$C$1)&gt;=X$4),(52*X$90-IF(52*X$90&gt;OFFSET(Scenarios!$A$80,0,$C$1),(52*X$90-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X$90&gt;OFFSET(Scenarios!$A$79,0,$C$1),(52*X$90-OFFSET(Scenarios!$A$79,0,$C$1))*OFFSET(Scenarios!$A$83,0,$C$1)+(OFFSET(Scenarios!$A$79,0,$C$1)-OFFSET(Scenarios!$A$78,0,$C$1))*OFFSET(Scenarios!$A$82,0,$C$1)+OFFSET(Scenarios!$A$78,0,$C$1)*OFFSET(Scenarios!$A$81,0,$C$1),IF(52*X$90&gt;OFFSET(Scenarios!$A$78,0,$C$1),(52*X$90-OFFSET(Scenarios!$A$78,0,$C$1))*OFFSET(Scenarios!$A$82,0,$C$1)+OFFSET(Scenarios!$A$78,0,$C$1)*OFFSET(Scenarios!$A$81,0,$C$1),52*X$90*OFFSET(Scenarios!$A$81,0,$C$1))))-52*X$90*OFFSET(Scenarios!$A$85,0,$C$1))/52,W$91*X$90/W$90)</f>
        <v>#N/A</v>
      </c>
      <c r="Y91" s="36"/>
    </row>
    <row r="92" spans="1:25" x14ac:dyDescent="0.2">
      <c r="A92" s="225" t="s">
        <v>703</v>
      </c>
      <c r="B92" s="233"/>
      <c r="C92" s="69"/>
      <c r="D92" s="178" t="e">
        <f>#REF!</f>
        <v>#REF!</v>
      </c>
      <c r="E92" s="178" t="e">
        <f>#REF!</f>
        <v>#REF!</v>
      </c>
      <c r="F92" s="178" t="e">
        <f>#REF!</f>
        <v>#REF!</v>
      </c>
      <c r="G92" s="178" t="e">
        <f>#REF!</f>
        <v>#REF!</v>
      </c>
      <c r="H92" s="178" t="e">
        <f>#REF!</f>
        <v>#REF!</v>
      </c>
      <c r="I92" s="178" t="e">
        <f>#REF!</f>
        <v>#REF!</v>
      </c>
      <c r="J92" s="294" t="e">
        <f ca="1">IF(OR($F$1="Yes",$O$1="Yes"),OFFSET('Forecast Adjuster'!$A$53,0,J$282),#REF!)</f>
        <v>#REF!</v>
      </c>
      <c r="K92" s="294" t="e">
        <f ca="1">IF(OR($F$1="Yes",$O$1="Yes"),OFFSET('Forecast Adjuster'!$A$53,0,K$282),#REF!)</f>
        <v>#REF!</v>
      </c>
      <c r="L92" s="294" t="e">
        <f ca="1">IF(OR($F$1="Yes",$O$1="Yes"),OFFSET('Forecast Adjuster'!$A$53,0,L$282),#REF!)</f>
        <v>#REF!</v>
      </c>
      <c r="M92" s="294" t="e">
        <f ca="1">IF(OR($F$1="Yes",$O$1="Yes"),OFFSET('Forecast Adjuster'!$A$53,0,M$282),#REF!)</f>
        <v>#REF!</v>
      </c>
      <c r="N92" s="294" t="e">
        <f ca="1">IF(OR($F$1="Yes",$O$1="Yes"),OFFSET('Forecast Adjuster'!$A$53,0,N$282),#REF!)</f>
        <v>#REF!</v>
      </c>
      <c r="O92" s="173" t="e">
        <f ca="1">IF(OFFSET(Scenarios!$A$47,0,$C$1)="Yes", IF(2*N$92*(1+O$240)/O$91 &gt; OFFSET(Scenarios!$A$48,0,$C$1), N$92*(1+O$240), O$91*OFFSET(Scenarios!$A$48,0,$C$1)/2), N$92*(1+O$240))</f>
        <v>#N/A</v>
      </c>
      <c r="P92" s="173" t="e">
        <f ca="1">IF(OFFSET(Scenarios!$A$47,0,$C$1)="Yes", IF(2*O$92*(1+P$240)/P$91 &gt; OFFSET(Scenarios!$A$48,0,$C$1), O$92*(1+P$240), P$91*OFFSET(Scenarios!$A$48,0,$C$1)/2), O$92*(1+P$240))</f>
        <v>#N/A</v>
      </c>
      <c r="Q92" s="173" t="e">
        <f ca="1">IF(OFFSET(Scenarios!$A$47,0,$C$1)="Yes", IF(2*P$92*(1+Q$240)/Q$91 &gt; OFFSET(Scenarios!$A$48,0,$C$1), P$92*(1+Q$240), Q$91*OFFSET(Scenarios!$A$48,0,$C$1)/2), P$92*(1+Q$240))</f>
        <v>#N/A</v>
      </c>
      <c r="R92" s="173" t="e">
        <f ca="1">IF(OFFSET(Scenarios!$A$47,0,$C$1)="Yes", IF(2*Q$92*(1+R$240)/R$91 &gt; OFFSET(Scenarios!$A$48,0,$C$1), Q$92*(1+R$240), R$91*OFFSET(Scenarios!$A$48,0,$C$1)/2), Q$92*(1+R$240))</f>
        <v>#N/A</v>
      </c>
      <c r="S92" s="173" t="e">
        <f ca="1">IF(OFFSET(Scenarios!$A$47,0,$C$1)="Yes", IF(2*R$92*(1+S$240)/S$91 &gt; OFFSET(Scenarios!$A$48,0,$C$1), R$92*(1+S$240), S$91*OFFSET(Scenarios!$A$48,0,$C$1)/2), R$92*(1+S$240))</f>
        <v>#N/A</v>
      </c>
      <c r="T92" s="173" t="e">
        <f ca="1">IF(OFFSET(Scenarios!$A$47,0,$C$1)="Yes", IF(2*S$92*(1+T$240)/T$91 &gt; OFFSET(Scenarios!$A$48,0,$C$1), S$92*(1+T$240), T$91*OFFSET(Scenarios!$A$48,0,$C$1)/2), S$92*(1+T$240))</f>
        <v>#N/A</v>
      </c>
      <c r="U92" s="173" t="e">
        <f ca="1">IF(OFFSET(Scenarios!$A$47,0,$C$1)="Yes", IF(2*T$92*(1+U$240)/U$91 &gt; OFFSET(Scenarios!$A$48,0,$C$1), T$92*(1+U$240), U$91*OFFSET(Scenarios!$A$48,0,$C$1)/2), T$92*(1+U$240))</f>
        <v>#N/A</v>
      </c>
      <c r="V92" s="173" t="e">
        <f ca="1">IF(OFFSET(Scenarios!$A$47,0,$C$1)="Yes", IF(2*U$92*(1+V$240)/V$91 &gt; OFFSET(Scenarios!$A$48,0,$C$1), U$92*(1+V$240), V$91*OFFSET(Scenarios!$A$48,0,$C$1)/2), U$92*(1+V$240))</f>
        <v>#N/A</v>
      </c>
      <c r="W92" s="173" t="e">
        <f ca="1">IF(OFFSET(Scenarios!$A$47,0,$C$1)="Yes", IF(2*V$92*(1+W$240)/W$91 &gt; OFFSET(Scenarios!$A$48,0,$C$1), V$92*(1+W$240), W$91*OFFSET(Scenarios!$A$48,0,$C$1)/2), V$92*(1+W$240))</f>
        <v>#N/A</v>
      </c>
      <c r="X92" s="173" t="e">
        <f ca="1">IF(OFFSET(Scenarios!$A$47,0,$C$1)="Yes", IF(2*W$92*(1+X$240)/X$91 &gt; OFFSET(Scenarios!$A$48,0,$C$1), W$92*(1+X$240), X$91*OFFSET(Scenarios!$A$48,0,$C$1)/2), W$92*(1+X$240))</f>
        <v>#N/A</v>
      </c>
      <c r="Y92" s="36"/>
    </row>
    <row r="93" spans="1:25" x14ac:dyDescent="0.2">
      <c r="A93" s="225" t="s">
        <v>896</v>
      </c>
      <c r="B93" s="233"/>
      <c r="C93" s="69"/>
      <c r="D93" s="178" t="e">
        <f>#REF!</f>
        <v>#REF!</v>
      </c>
      <c r="E93" s="178" t="e">
        <f>#REF!</f>
        <v>#REF!</v>
      </c>
      <c r="F93" s="178" t="e">
        <f>#REF!</f>
        <v>#REF!</v>
      </c>
      <c r="G93" s="178" t="e">
        <f>#REF!</f>
        <v>#REF!</v>
      </c>
      <c r="H93" s="178" t="e">
        <f>#REF!</f>
        <v>#REF!</v>
      </c>
      <c r="I93" s="178" t="e">
        <f>#REF!</f>
        <v>#REF!</v>
      </c>
      <c r="J93" s="294" t="e">
        <f>#REF!</f>
        <v>#REF!</v>
      </c>
      <c r="K93" s="294" t="e">
        <f>#REF!</f>
        <v>#REF!</v>
      </c>
      <c r="L93" s="294" t="e">
        <f>#REF!</f>
        <v>#REF!</v>
      </c>
      <c r="M93" s="294" t="e">
        <f>#REF!</f>
        <v>#REF!</v>
      </c>
      <c r="N93" s="294" t="e">
        <f>#REF!</f>
        <v>#REF!</v>
      </c>
      <c r="O93" s="358" t="e">
        <f ca="1">IF(AND(OFFSET(Scenarios!$A$26,0,$C$1)="Yes",O$4&lt;=OFFSET(Scenarios!$A$28,0,$C$1)),IF(52*O$92&gt;(OFFSET(Scenarios!$A$80,0,$C$1)*(1-OFFSET(Scenarios!$A$83,0,$C$1))+OFFSET(Scenarios!$A$79,0,$C$1)*(OFFSET(Scenarios!$A$83,0,$C$1)-OFFSET(Scenarios!$A$82,0,$C$1))+OFFSET(Scenarios!$A$78,0,$C$1)*(OFFSET(Scenarios!$A$82,0,$C$1)-OFFSET(Scenarios!$A$81,0,$C$1))),(52*O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O$92&gt;(OFFSET(Scenarios!$A$79,0,$C$1)*(1-OFFSET(Scenarios!$A$82,0,$C$1))+OFFSET(Scenarios!$A$78,0,$C$1)*(OFFSET(Scenarios!$A$82,0,$C$1)-OFFSET(Scenarios!$A$81,0,$C$1))),(52*O$92-OFFSET(Scenarios!$A$79,0,$C$1)*OFFSET(Scenarios!$A$83,0,$C$1)+OFFSET(Scenarios!$A$79,0,$C$1)*OFFSET(Scenarios!$A$82,0,$C$1)-OFFSET(Scenarios!$A$78,0,$C$1)*(OFFSET(Scenarios!$A$82,0,$C$1)-OFFSET(Scenarios!$A$81,0,$C$1)))/(1-OFFSET(Scenarios!$A$83,0,$C$1)),IF(52*O$92&gt;(OFFSET(Scenarios!$A$78,0,$C$1)*(1-OFFSET(Scenarios!$A$81,0,$C$1))),(52*O$92-OFFSET(Scenarios!$A$78,0,$C$1)*OFFSET(Scenarios!$A$82,0,$C$1)+OFFSET(Scenarios!$A$78,0,$C$1)*OFFSET(Scenarios!$A$81,0,$C$1))/(1-OFFSET(Scenarios!$A$82,0,$C$1)),IF(52*O$92&gt;0,52*O$92/(1-OFFSET(Scenarios!$A$81,0,$C$1)),0))))/52,N$93*O$92/N$92)</f>
        <v>#N/A</v>
      </c>
      <c r="P93" s="358" t="e">
        <f ca="1">IF(AND(OFFSET(Scenarios!$A$26,0,$C$1)="Yes",P$4&lt;=OFFSET(Scenarios!$A$28,0,$C$1)),IF(52*P$92&gt;(OFFSET(Scenarios!$A$80,0,$C$1)*(1-OFFSET(Scenarios!$A$83,0,$C$1))+OFFSET(Scenarios!$A$79,0,$C$1)*(OFFSET(Scenarios!$A$83,0,$C$1)-OFFSET(Scenarios!$A$82,0,$C$1))+OFFSET(Scenarios!$A$78,0,$C$1)*(OFFSET(Scenarios!$A$82,0,$C$1)-OFFSET(Scenarios!$A$81,0,$C$1))),(52*P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P$92&gt;(OFFSET(Scenarios!$A$79,0,$C$1)*(1-OFFSET(Scenarios!$A$82,0,$C$1))+OFFSET(Scenarios!$A$78,0,$C$1)*(OFFSET(Scenarios!$A$82,0,$C$1)-OFFSET(Scenarios!$A$81,0,$C$1))),(52*P$92-OFFSET(Scenarios!$A$79,0,$C$1)*OFFSET(Scenarios!$A$83,0,$C$1)+OFFSET(Scenarios!$A$79,0,$C$1)*OFFSET(Scenarios!$A$82,0,$C$1)-OFFSET(Scenarios!$A$78,0,$C$1)*(OFFSET(Scenarios!$A$82,0,$C$1)-OFFSET(Scenarios!$A$81,0,$C$1)))/(1-OFFSET(Scenarios!$A$83,0,$C$1)),IF(52*P$92&gt;(OFFSET(Scenarios!$A$78,0,$C$1)*(1-OFFSET(Scenarios!$A$81,0,$C$1))),(52*P$92-OFFSET(Scenarios!$A$78,0,$C$1)*OFFSET(Scenarios!$A$82,0,$C$1)+OFFSET(Scenarios!$A$78,0,$C$1)*OFFSET(Scenarios!$A$81,0,$C$1))/(1-OFFSET(Scenarios!$A$82,0,$C$1)),IF(52*P$92&gt;0,52*P$92/(1-OFFSET(Scenarios!$A$81,0,$C$1)),0))))/52,O$93*P$92/O$92)</f>
        <v>#N/A</v>
      </c>
      <c r="Q93" s="358" t="e">
        <f ca="1">IF(AND(OFFSET(Scenarios!$A$26,0,$C$1)="Yes",Q$4&lt;=OFFSET(Scenarios!$A$28,0,$C$1)),IF(52*Q$92&gt;(OFFSET(Scenarios!$A$80,0,$C$1)*(1-OFFSET(Scenarios!$A$83,0,$C$1))+OFFSET(Scenarios!$A$79,0,$C$1)*(OFFSET(Scenarios!$A$83,0,$C$1)-OFFSET(Scenarios!$A$82,0,$C$1))+OFFSET(Scenarios!$A$78,0,$C$1)*(OFFSET(Scenarios!$A$82,0,$C$1)-OFFSET(Scenarios!$A$81,0,$C$1))),(52*Q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Q$92&gt;(OFFSET(Scenarios!$A$79,0,$C$1)*(1-OFFSET(Scenarios!$A$82,0,$C$1))+OFFSET(Scenarios!$A$78,0,$C$1)*(OFFSET(Scenarios!$A$82,0,$C$1)-OFFSET(Scenarios!$A$81,0,$C$1))),(52*Q$92-OFFSET(Scenarios!$A$79,0,$C$1)*OFFSET(Scenarios!$A$83,0,$C$1)+OFFSET(Scenarios!$A$79,0,$C$1)*OFFSET(Scenarios!$A$82,0,$C$1)-OFFSET(Scenarios!$A$78,0,$C$1)*(OFFSET(Scenarios!$A$82,0,$C$1)-OFFSET(Scenarios!$A$81,0,$C$1)))/(1-OFFSET(Scenarios!$A$83,0,$C$1)),IF(52*Q$92&gt;(OFFSET(Scenarios!$A$78,0,$C$1)*(1-OFFSET(Scenarios!$A$81,0,$C$1))),(52*Q$92-OFFSET(Scenarios!$A$78,0,$C$1)*OFFSET(Scenarios!$A$82,0,$C$1)+OFFSET(Scenarios!$A$78,0,$C$1)*OFFSET(Scenarios!$A$81,0,$C$1))/(1-OFFSET(Scenarios!$A$82,0,$C$1)),IF(52*Q$92&gt;0,52*Q$92/(1-OFFSET(Scenarios!$A$81,0,$C$1)),0))))/52,P$93*Q$92/P$92)</f>
        <v>#N/A</v>
      </c>
      <c r="R93" s="358" t="e">
        <f ca="1">IF(AND(OFFSET(Scenarios!$A$26,0,$C$1)="Yes",R$4&lt;=OFFSET(Scenarios!$A$28,0,$C$1)),IF(52*R$92&gt;(OFFSET(Scenarios!$A$80,0,$C$1)*(1-OFFSET(Scenarios!$A$83,0,$C$1))+OFFSET(Scenarios!$A$79,0,$C$1)*(OFFSET(Scenarios!$A$83,0,$C$1)-OFFSET(Scenarios!$A$82,0,$C$1))+OFFSET(Scenarios!$A$78,0,$C$1)*(OFFSET(Scenarios!$A$82,0,$C$1)-OFFSET(Scenarios!$A$81,0,$C$1))),(52*R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R$92&gt;(OFFSET(Scenarios!$A$79,0,$C$1)*(1-OFFSET(Scenarios!$A$82,0,$C$1))+OFFSET(Scenarios!$A$78,0,$C$1)*(OFFSET(Scenarios!$A$82,0,$C$1)-OFFSET(Scenarios!$A$81,0,$C$1))),(52*R$92-OFFSET(Scenarios!$A$79,0,$C$1)*OFFSET(Scenarios!$A$83,0,$C$1)+OFFSET(Scenarios!$A$79,0,$C$1)*OFFSET(Scenarios!$A$82,0,$C$1)-OFFSET(Scenarios!$A$78,0,$C$1)*(OFFSET(Scenarios!$A$82,0,$C$1)-OFFSET(Scenarios!$A$81,0,$C$1)))/(1-OFFSET(Scenarios!$A$83,0,$C$1)),IF(52*R$92&gt;(OFFSET(Scenarios!$A$78,0,$C$1)*(1-OFFSET(Scenarios!$A$81,0,$C$1))),(52*R$92-OFFSET(Scenarios!$A$78,0,$C$1)*OFFSET(Scenarios!$A$82,0,$C$1)+OFFSET(Scenarios!$A$78,0,$C$1)*OFFSET(Scenarios!$A$81,0,$C$1))/(1-OFFSET(Scenarios!$A$82,0,$C$1)),IF(52*R$92&gt;0,52*R$92/(1-OFFSET(Scenarios!$A$81,0,$C$1)),0))))/52,Q$93*R$92/Q$92)</f>
        <v>#N/A</v>
      </c>
      <c r="S93" s="358" t="e">
        <f ca="1">IF(AND(OFFSET(Scenarios!$A$26,0,$C$1)="Yes",S$4&lt;=OFFSET(Scenarios!$A$28,0,$C$1)),IF(52*S$92&gt;(OFFSET(Scenarios!$A$80,0,$C$1)*(1-OFFSET(Scenarios!$A$83,0,$C$1))+OFFSET(Scenarios!$A$79,0,$C$1)*(OFFSET(Scenarios!$A$83,0,$C$1)-OFFSET(Scenarios!$A$82,0,$C$1))+OFFSET(Scenarios!$A$78,0,$C$1)*(OFFSET(Scenarios!$A$82,0,$C$1)-OFFSET(Scenarios!$A$81,0,$C$1))),(52*S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S$92&gt;(OFFSET(Scenarios!$A$79,0,$C$1)*(1-OFFSET(Scenarios!$A$82,0,$C$1))+OFFSET(Scenarios!$A$78,0,$C$1)*(OFFSET(Scenarios!$A$82,0,$C$1)-OFFSET(Scenarios!$A$81,0,$C$1))),(52*S$92-OFFSET(Scenarios!$A$79,0,$C$1)*OFFSET(Scenarios!$A$83,0,$C$1)+OFFSET(Scenarios!$A$79,0,$C$1)*OFFSET(Scenarios!$A$82,0,$C$1)-OFFSET(Scenarios!$A$78,0,$C$1)*(OFFSET(Scenarios!$A$82,0,$C$1)-OFFSET(Scenarios!$A$81,0,$C$1)))/(1-OFFSET(Scenarios!$A$83,0,$C$1)),IF(52*S$92&gt;(OFFSET(Scenarios!$A$78,0,$C$1)*(1-OFFSET(Scenarios!$A$81,0,$C$1))),(52*S$92-OFFSET(Scenarios!$A$78,0,$C$1)*OFFSET(Scenarios!$A$82,0,$C$1)+OFFSET(Scenarios!$A$78,0,$C$1)*OFFSET(Scenarios!$A$81,0,$C$1))/(1-OFFSET(Scenarios!$A$82,0,$C$1)),IF(52*S$92&gt;0,52*S$92/(1-OFFSET(Scenarios!$A$81,0,$C$1)),0))))/52,R$93*S$92/R$92)</f>
        <v>#N/A</v>
      </c>
      <c r="T93" s="358" t="e">
        <f ca="1">IF(AND(OFFSET(Scenarios!$A$26,0,$C$1)="Yes",T$4&lt;=OFFSET(Scenarios!$A$28,0,$C$1)),IF(52*T$92&gt;(OFFSET(Scenarios!$A$80,0,$C$1)*(1-OFFSET(Scenarios!$A$83,0,$C$1))+OFFSET(Scenarios!$A$79,0,$C$1)*(OFFSET(Scenarios!$A$83,0,$C$1)-OFFSET(Scenarios!$A$82,0,$C$1))+OFFSET(Scenarios!$A$78,0,$C$1)*(OFFSET(Scenarios!$A$82,0,$C$1)-OFFSET(Scenarios!$A$81,0,$C$1))),(52*T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T$92&gt;(OFFSET(Scenarios!$A$79,0,$C$1)*(1-OFFSET(Scenarios!$A$82,0,$C$1))+OFFSET(Scenarios!$A$78,0,$C$1)*(OFFSET(Scenarios!$A$82,0,$C$1)-OFFSET(Scenarios!$A$81,0,$C$1))),(52*T$92-OFFSET(Scenarios!$A$79,0,$C$1)*OFFSET(Scenarios!$A$83,0,$C$1)+OFFSET(Scenarios!$A$79,0,$C$1)*OFFSET(Scenarios!$A$82,0,$C$1)-OFFSET(Scenarios!$A$78,0,$C$1)*(OFFSET(Scenarios!$A$82,0,$C$1)-OFFSET(Scenarios!$A$81,0,$C$1)))/(1-OFFSET(Scenarios!$A$83,0,$C$1)),IF(52*T$92&gt;(OFFSET(Scenarios!$A$78,0,$C$1)*(1-OFFSET(Scenarios!$A$81,0,$C$1))),(52*T$92-OFFSET(Scenarios!$A$78,0,$C$1)*OFFSET(Scenarios!$A$82,0,$C$1)+OFFSET(Scenarios!$A$78,0,$C$1)*OFFSET(Scenarios!$A$81,0,$C$1))/(1-OFFSET(Scenarios!$A$82,0,$C$1)),IF(52*T$92&gt;0,52*T$92/(1-OFFSET(Scenarios!$A$81,0,$C$1)),0))))/52,S$93*T$92/S$92)</f>
        <v>#N/A</v>
      </c>
      <c r="U93" s="358" t="e">
        <f ca="1">IF(AND(OFFSET(Scenarios!$A$26,0,$C$1)="Yes",U$4&lt;=OFFSET(Scenarios!$A$28,0,$C$1)),IF(52*U$92&gt;(OFFSET(Scenarios!$A$80,0,$C$1)*(1-OFFSET(Scenarios!$A$83,0,$C$1))+OFFSET(Scenarios!$A$79,0,$C$1)*(OFFSET(Scenarios!$A$83,0,$C$1)-OFFSET(Scenarios!$A$82,0,$C$1))+OFFSET(Scenarios!$A$78,0,$C$1)*(OFFSET(Scenarios!$A$82,0,$C$1)-OFFSET(Scenarios!$A$81,0,$C$1))),(52*U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U$92&gt;(OFFSET(Scenarios!$A$79,0,$C$1)*(1-OFFSET(Scenarios!$A$82,0,$C$1))+OFFSET(Scenarios!$A$78,0,$C$1)*(OFFSET(Scenarios!$A$82,0,$C$1)-OFFSET(Scenarios!$A$81,0,$C$1))),(52*U$92-OFFSET(Scenarios!$A$79,0,$C$1)*OFFSET(Scenarios!$A$83,0,$C$1)+OFFSET(Scenarios!$A$79,0,$C$1)*OFFSET(Scenarios!$A$82,0,$C$1)-OFFSET(Scenarios!$A$78,0,$C$1)*(OFFSET(Scenarios!$A$82,0,$C$1)-OFFSET(Scenarios!$A$81,0,$C$1)))/(1-OFFSET(Scenarios!$A$83,0,$C$1)),IF(52*U$92&gt;(OFFSET(Scenarios!$A$78,0,$C$1)*(1-OFFSET(Scenarios!$A$81,0,$C$1))),(52*U$92-OFFSET(Scenarios!$A$78,0,$C$1)*OFFSET(Scenarios!$A$82,0,$C$1)+OFFSET(Scenarios!$A$78,0,$C$1)*OFFSET(Scenarios!$A$81,0,$C$1))/(1-OFFSET(Scenarios!$A$82,0,$C$1)),IF(52*U$92&gt;0,52*U$92/(1-OFFSET(Scenarios!$A$81,0,$C$1)),0))))/52,T$93*U$92/T$92)</f>
        <v>#N/A</v>
      </c>
      <c r="V93" s="358" t="e">
        <f ca="1">IF(AND(OFFSET(Scenarios!$A$26,0,$C$1)="Yes",V$4&lt;=OFFSET(Scenarios!$A$28,0,$C$1)),IF(52*V$92&gt;(OFFSET(Scenarios!$A$80,0,$C$1)*(1-OFFSET(Scenarios!$A$83,0,$C$1))+OFFSET(Scenarios!$A$79,0,$C$1)*(OFFSET(Scenarios!$A$83,0,$C$1)-OFFSET(Scenarios!$A$82,0,$C$1))+OFFSET(Scenarios!$A$78,0,$C$1)*(OFFSET(Scenarios!$A$82,0,$C$1)-OFFSET(Scenarios!$A$81,0,$C$1))),(52*V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V$92&gt;(OFFSET(Scenarios!$A$79,0,$C$1)*(1-OFFSET(Scenarios!$A$82,0,$C$1))+OFFSET(Scenarios!$A$78,0,$C$1)*(OFFSET(Scenarios!$A$82,0,$C$1)-OFFSET(Scenarios!$A$81,0,$C$1))),(52*V$92-OFFSET(Scenarios!$A$79,0,$C$1)*OFFSET(Scenarios!$A$83,0,$C$1)+OFFSET(Scenarios!$A$79,0,$C$1)*OFFSET(Scenarios!$A$82,0,$C$1)-OFFSET(Scenarios!$A$78,0,$C$1)*(OFFSET(Scenarios!$A$82,0,$C$1)-OFFSET(Scenarios!$A$81,0,$C$1)))/(1-OFFSET(Scenarios!$A$83,0,$C$1)),IF(52*V$92&gt;(OFFSET(Scenarios!$A$78,0,$C$1)*(1-OFFSET(Scenarios!$A$81,0,$C$1))),(52*V$92-OFFSET(Scenarios!$A$78,0,$C$1)*OFFSET(Scenarios!$A$82,0,$C$1)+OFFSET(Scenarios!$A$78,0,$C$1)*OFFSET(Scenarios!$A$81,0,$C$1))/(1-OFFSET(Scenarios!$A$82,0,$C$1)),IF(52*V$92&gt;0,52*V$92/(1-OFFSET(Scenarios!$A$81,0,$C$1)),0))))/52,U$93*V$92/U$92)</f>
        <v>#N/A</v>
      </c>
      <c r="W93" s="358" t="e">
        <f ca="1">IF(AND(OFFSET(Scenarios!$A$26,0,$C$1)="Yes",W$4&lt;=OFFSET(Scenarios!$A$28,0,$C$1)),IF(52*W$92&gt;(OFFSET(Scenarios!$A$80,0,$C$1)*(1-OFFSET(Scenarios!$A$83,0,$C$1))+OFFSET(Scenarios!$A$79,0,$C$1)*(OFFSET(Scenarios!$A$83,0,$C$1)-OFFSET(Scenarios!$A$82,0,$C$1))+OFFSET(Scenarios!$A$78,0,$C$1)*(OFFSET(Scenarios!$A$82,0,$C$1)-OFFSET(Scenarios!$A$81,0,$C$1))),(52*W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W$92&gt;(OFFSET(Scenarios!$A$79,0,$C$1)*(1-OFFSET(Scenarios!$A$82,0,$C$1))+OFFSET(Scenarios!$A$78,0,$C$1)*(OFFSET(Scenarios!$A$82,0,$C$1)-OFFSET(Scenarios!$A$81,0,$C$1))),(52*W$92-OFFSET(Scenarios!$A$79,0,$C$1)*OFFSET(Scenarios!$A$83,0,$C$1)+OFFSET(Scenarios!$A$79,0,$C$1)*OFFSET(Scenarios!$A$82,0,$C$1)-OFFSET(Scenarios!$A$78,0,$C$1)*(OFFSET(Scenarios!$A$82,0,$C$1)-OFFSET(Scenarios!$A$81,0,$C$1)))/(1-OFFSET(Scenarios!$A$83,0,$C$1)),IF(52*W$92&gt;(OFFSET(Scenarios!$A$78,0,$C$1)*(1-OFFSET(Scenarios!$A$81,0,$C$1))),(52*W$92-OFFSET(Scenarios!$A$78,0,$C$1)*OFFSET(Scenarios!$A$82,0,$C$1)+OFFSET(Scenarios!$A$78,0,$C$1)*OFFSET(Scenarios!$A$81,0,$C$1))/(1-OFFSET(Scenarios!$A$82,0,$C$1)),IF(52*W$92&gt;0,52*W$92/(1-OFFSET(Scenarios!$A$81,0,$C$1)),0))))/52,V$93*W$92/V$92)</f>
        <v>#N/A</v>
      </c>
      <c r="X93" s="358" t="e">
        <f ca="1">IF(AND(OFFSET(Scenarios!$A$26,0,$C$1)="Yes",X$4&lt;=OFFSET(Scenarios!$A$28,0,$C$1)),IF(52*X$92&gt;(OFFSET(Scenarios!$A$80,0,$C$1)*(1-OFFSET(Scenarios!$A$83,0,$C$1))+OFFSET(Scenarios!$A$79,0,$C$1)*(OFFSET(Scenarios!$A$83,0,$C$1)-OFFSET(Scenarios!$A$82,0,$C$1))+OFFSET(Scenarios!$A$78,0,$C$1)*(OFFSET(Scenarios!$A$82,0,$C$1)-OFFSET(Scenarios!$A$81,0,$C$1))),(52*X$92-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X$92&gt;(OFFSET(Scenarios!$A$79,0,$C$1)*(1-OFFSET(Scenarios!$A$82,0,$C$1))+OFFSET(Scenarios!$A$78,0,$C$1)*(OFFSET(Scenarios!$A$82,0,$C$1)-OFFSET(Scenarios!$A$81,0,$C$1))),(52*X$92-OFFSET(Scenarios!$A$79,0,$C$1)*OFFSET(Scenarios!$A$83,0,$C$1)+OFFSET(Scenarios!$A$79,0,$C$1)*OFFSET(Scenarios!$A$82,0,$C$1)-OFFSET(Scenarios!$A$78,0,$C$1)*(OFFSET(Scenarios!$A$82,0,$C$1)-OFFSET(Scenarios!$A$81,0,$C$1)))/(1-OFFSET(Scenarios!$A$83,0,$C$1)),IF(52*X$92&gt;(OFFSET(Scenarios!$A$78,0,$C$1)*(1-OFFSET(Scenarios!$A$81,0,$C$1))),(52*X$92-OFFSET(Scenarios!$A$78,0,$C$1)*OFFSET(Scenarios!$A$82,0,$C$1)+OFFSET(Scenarios!$A$78,0,$C$1)*OFFSET(Scenarios!$A$81,0,$C$1))/(1-OFFSET(Scenarios!$A$82,0,$C$1)),IF(52*X$92&gt;0,52*X$92/(1-OFFSET(Scenarios!$A$81,0,$C$1)),0))))/52,W$93*X$92/W$92)</f>
        <v>#N/A</v>
      </c>
      <c r="Y93" s="36"/>
    </row>
    <row r="94" spans="1:25" x14ac:dyDescent="0.2">
      <c r="A94" s="225" t="s">
        <v>888</v>
      </c>
      <c r="B94" s="233"/>
      <c r="C94" s="69"/>
      <c r="D94" s="69" t="e">
        <f>#REF!</f>
        <v>#REF!</v>
      </c>
      <c r="E94" s="69" t="e">
        <f>#REF!</f>
        <v>#REF!</v>
      </c>
      <c r="F94" s="69" t="e">
        <f>#REF!</f>
        <v>#REF!</v>
      </c>
      <c r="G94" s="69" t="e">
        <f>#REF!</f>
        <v>#REF!</v>
      </c>
      <c r="H94" s="69" t="e">
        <f>#REF!</f>
        <v>#REF!</v>
      </c>
      <c r="I94" s="69" t="e">
        <f>#REF!</f>
        <v>#REF!</v>
      </c>
      <c r="J94" s="125" t="e">
        <f ca="1">#REF! + IF($I$1="Yes",OFFSET('Forecast Adjuster'!$A$14,0,J$282)/1000,0)</f>
        <v>#REF!</v>
      </c>
      <c r="K94" s="125" t="e">
        <f ca="1">#REF! + IF($I$1="Yes",OFFSET('Forecast Adjuster'!$A$14,0,K$282)/1000,0)</f>
        <v>#REF!</v>
      </c>
      <c r="L94" s="125" t="e">
        <f ca="1">#REF! + IF($I$1="Yes",OFFSET('Forecast Adjuster'!$A$14,0,L$282)/1000,0)</f>
        <v>#REF!</v>
      </c>
      <c r="M94" s="125" t="e">
        <f ca="1">#REF! + IF($I$1="Yes",OFFSET('Forecast Adjuster'!$A$14,0,M$282)/1000,0)</f>
        <v>#REF!</v>
      </c>
      <c r="N94" s="125" t="e">
        <f ca="1">#REF! + IF($I$1="Yes",OFFSET('Forecast Adjuster'!$A$14,0,N$282)/1000,0)</f>
        <v>#REF!</v>
      </c>
      <c r="O94" s="73" t="e">
        <f ca="1">N$94*(1+Popn!O$199)*(3*N$92/M$92+O$92/N$92)/4</f>
        <v>#REF!</v>
      </c>
      <c r="P94" s="73" t="e">
        <f ca="1">O$94*(1+Popn!P$199)*(3*O$92/N$92+P$92/O$92)/4</f>
        <v>#REF!</v>
      </c>
      <c r="Q94" s="73" t="e">
        <f ca="1">P$94*(1+Popn!Q$199)*(3*P$92/O$92+Q$92/P$92)/4</f>
        <v>#REF!</v>
      </c>
      <c r="R94" s="73" t="e">
        <f ca="1">Q$94*(1+Popn!R$199)*(3*Q$92/P$92+R$92/Q$92)/4</f>
        <v>#REF!</v>
      </c>
      <c r="S94" s="73" t="e">
        <f ca="1">R$94*(1+Popn!S$199)*(3*R$92/Q$92+S$92/R$92)/4</f>
        <v>#REF!</v>
      </c>
      <c r="T94" s="73" t="e">
        <f ca="1">S$94*(1+Popn!T$199)*(3*S$92/R$92+T$92/S$92)/4</f>
        <v>#REF!</v>
      </c>
      <c r="U94" s="73" t="e">
        <f ca="1">T$94*(1+Popn!U$199)*(3*T$92/S$92+U$92/T$92)/4</f>
        <v>#REF!</v>
      </c>
      <c r="V94" s="73" t="e">
        <f ca="1">U$94*(1+Popn!V$199)*(3*U$92/T$92+V$92/U$92)/4</f>
        <v>#REF!</v>
      </c>
      <c r="W94" s="73" t="e">
        <f ca="1">V$94*(1+Popn!W$199)*(3*V$92/U$92+W$92/V$92)/4</f>
        <v>#REF!</v>
      </c>
      <c r="X94" s="73" t="e">
        <f ca="1">W$94*(1+Popn!X$199)*(3*W$92/V$92+X$92/W$92)/4</f>
        <v>#REF!</v>
      </c>
      <c r="Y94" s="36"/>
    </row>
    <row r="95" spans="1:25" x14ac:dyDescent="0.2">
      <c r="A95" s="108" t="s">
        <v>643</v>
      </c>
      <c r="B95" s="36"/>
      <c r="C95" s="69"/>
      <c r="D95" s="69" t="e">
        <f>SUM(SUM(Popn!D$7:D$11)*#REF!,SUM(Popn!D$101:D$105)*#REF!,SUM(Popn!D$12:D$16)*#REF!,SUM(Popn!D$106:D$110)*#REF!,SUM(Popn!D$17:D$21)*#REF!,SUM(Popn!D$111:D$115)*#REF!,SUM(Popn!D$22:D$26)*#REF!,SUM(Popn!D$116:D$120)*#REF!,SUM(Popn!D$27:D$36)*#REF!,SUM(Popn!D$121:D$130)*#REF!,SUM(Popn!D$37:D$46)*#REF!,SUM(Popn!D$131:D$140)*#REF!,SUM(Popn!D$47:D$56)*#REF!,SUM(Popn!D$141:D$150)*#REF!,SUM(Popn!D$57:D$66)*#REF!,SUM(Popn!D$151:D$160)*#REF!,SUM(Popn!D$67:D$71)*#REF!,SUM(Popn!D$161:D$165)*#REF!,SUM(Popn!D$72:D$97)*#REF!,SUM(Popn!D$166:D$191)*#REF!)/1000000000</f>
        <v>#REF!</v>
      </c>
      <c r="E95" s="69" t="e">
        <f>SUM(SUM(Popn!E$7:E$11)*#REF!,SUM(Popn!E$101:E$105)*#REF!,SUM(Popn!E$12:E$16)*#REF!,SUM(Popn!E$106:E$110)*#REF!,SUM(Popn!E$17:E$21)*#REF!,SUM(Popn!E$111:E$115)*#REF!,SUM(Popn!E$22:E$26)*#REF!,SUM(Popn!E$116:E$120)*#REF!,SUM(Popn!E$27:E$36)*#REF!,SUM(Popn!E$121:E$130)*#REF!,SUM(Popn!E$37:E$46)*#REF!,SUM(Popn!E$131:E$140)*#REF!,SUM(Popn!E$47:E$56)*#REF!,SUM(Popn!E$141:E$150)*#REF!,SUM(Popn!E$57:E$66)*#REF!,SUM(Popn!E$151:E$160)*#REF!,SUM(Popn!E$67:E$71)*#REF!,SUM(Popn!E$161:E$165)*#REF!,SUM(Popn!E$72:E$97)*#REF!,SUM(Popn!E$166:E$191)*#REF!)/1000000000</f>
        <v>#REF!</v>
      </c>
      <c r="F95" s="69" t="e">
        <f>SUM(SUM(Popn!F$7:F$11)*#REF!,SUM(Popn!F$101:F$105)*#REF!,SUM(Popn!F$12:F$16)*#REF!,SUM(Popn!F$106:F$110)*#REF!,SUM(Popn!F$17:F$21)*#REF!,SUM(Popn!F$111:F$115)*#REF!,SUM(Popn!F$22:F$26)*#REF!,SUM(Popn!F$116:F$120)*#REF!,SUM(Popn!F$27:F$36)*#REF!,SUM(Popn!F$121:F$130)*#REF!,SUM(Popn!F$37:F$46)*#REF!,SUM(Popn!F$131:F$140)*#REF!,SUM(Popn!F$47:F$56)*#REF!,SUM(Popn!F$141:F$150)*#REF!,SUM(Popn!F$57:F$66)*#REF!,SUM(Popn!F$151:F$160)*#REF!,SUM(Popn!F$67:F$71)*#REF!,SUM(Popn!F$161:F$165)*#REF!,SUM(Popn!F$72:F$97)*#REF!,SUM(Popn!F$166:F$191)*#REF!)/1000000000</f>
        <v>#REF!</v>
      </c>
      <c r="G95" s="69" t="e">
        <f>SUM(SUM(Popn!G$7:G$11)*#REF!,SUM(Popn!G$101:G$105)*#REF!,SUM(Popn!G$12:G$16)*#REF!,SUM(Popn!G$106:G$110)*#REF!,SUM(Popn!G$17:G$21)*#REF!,SUM(Popn!G$111:G$115)*#REF!,SUM(Popn!G$22:G$26)*#REF!,SUM(Popn!G$116:G$120)*#REF!,SUM(Popn!G$27:G$36)*#REF!,SUM(Popn!G$121:G$130)*#REF!,SUM(Popn!G$37:G$46)*#REF!,SUM(Popn!G$131:G$140)*#REF!,SUM(Popn!G$47:G$56)*#REF!,SUM(Popn!G$141:G$150)*#REF!,SUM(Popn!G$57:G$66)*#REF!,SUM(Popn!G$151:G$160)*#REF!,SUM(Popn!G$67:G$71)*#REF!,SUM(Popn!G$161:G$165)*#REF!,SUM(Popn!G$72:G$97)*#REF!,SUM(Popn!G$166:G$191)*#REF!)/1000000000</f>
        <v>#REF!</v>
      </c>
      <c r="H95" s="69" t="e">
        <f>SUM(SUM(Popn!H$7:H$11)*#REF!,SUM(Popn!H$101:H$105)*#REF!,SUM(Popn!H$12:H$16)*#REF!,SUM(Popn!H$106:H$110)*#REF!,SUM(Popn!H$17:H$21)*#REF!,SUM(Popn!H$111:H$115)*#REF!,SUM(Popn!H$22:H$26)*#REF!,SUM(Popn!H$116:H$120)*#REF!,SUM(Popn!H$27:H$36)*#REF!,SUM(Popn!H$121:H$130)*#REF!,SUM(Popn!H$37:H$46)*#REF!,SUM(Popn!H$131:H$140)*#REF!,SUM(Popn!H$47:H$56)*#REF!,SUM(Popn!H$141:H$150)*#REF!,SUM(Popn!H$57:H$66)*#REF!,SUM(Popn!H$151:H$160)*#REF!,SUM(Popn!H$67:H$71)*#REF!,SUM(Popn!H$161:H$165)*#REF!,SUM(Popn!H$72:H$97)*#REF!,SUM(Popn!H$166:H$191)*#REF!)/1000000000</f>
        <v>#REF!</v>
      </c>
      <c r="I95" s="69" t="e">
        <f>SUM(SUM(Popn!I$7:I$11)*#REF!,SUM(Popn!I$101:I$105)*#REF!,SUM(Popn!I$12:I$16)*#REF!,SUM(Popn!I$106:I$110)*#REF!,SUM(Popn!I$17:I$21)*#REF!,SUM(Popn!I$111:I$115)*#REF!,SUM(Popn!I$22:I$26)*#REF!,SUM(Popn!I$116:I$120)*#REF!,SUM(Popn!I$27:I$36)*#REF!,SUM(Popn!I$121:I$130)*#REF!,SUM(Popn!I$37:I$46)*#REF!,SUM(Popn!I$131:I$140)*#REF!,SUM(Popn!I$47:I$56)*#REF!,SUM(Popn!I$141:I$150)*#REF!,SUM(Popn!I$57:I$66)*#REF!,SUM(Popn!I$151:I$160)*#REF!,SUM(Popn!I$67:I$71)*#REF!,SUM(Popn!I$161:I$165)*#REF!,SUM(Popn!I$72:I$97)*#REF!,SUM(Popn!I$166:I$191)*#REF!)/1000000000</f>
        <v>#REF!</v>
      </c>
      <c r="J95" s="105" t="e">
        <f>SUM(SUM(Popn!J$7:J$11)*#REF!,SUM(Popn!J$101:J$105)*#REF!,SUM(Popn!J$12:J$16)*#REF!,SUM(Popn!J$106:J$110)*#REF!,SUM(Popn!J$17:J$21)*#REF!,SUM(Popn!J$111:J$115)*#REF!,SUM(Popn!J$22:J$26)*#REF!,SUM(Popn!J$116:J$120)*#REF!,SUM(Popn!J$27:J$36)*#REF!,SUM(Popn!J$121:J$130)*#REF!,SUM(Popn!J$37:J$46)*#REF!,SUM(Popn!J$131:J$140)*#REF!,SUM(Popn!J$47:J$56)*#REF!,SUM(Popn!J$141:J$150)*#REF!,SUM(Popn!J$57:J$66)*#REF!,SUM(Popn!J$151:J$160)*#REF!,SUM(Popn!J$67:J$71)*#REF!,SUM(Popn!J$161:J$165)*#REF!,SUM(Popn!J$72:J$97)*#REF!,SUM(Popn!J$166:J$191)*#REF!)/1000000000</f>
        <v>#REF!</v>
      </c>
      <c r="K95" s="105" t="e">
        <f>SUM(SUM(Popn!K$7:K$11)*#REF!,SUM(Popn!K$101:K$105)*#REF!,SUM(Popn!K$12:K$16)*#REF!,SUM(Popn!K$106:K$110)*#REF!,SUM(Popn!K$17:K$21)*#REF!,SUM(Popn!K$111:K$115)*#REF!,SUM(Popn!K$22:K$26)*#REF!,SUM(Popn!K$116:K$120)*#REF!,SUM(Popn!K$27:K$36)*#REF!,SUM(Popn!K$121:K$130)*#REF!,SUM(Popn!K$37:K$46)*#REF!,SUM(Popn!K$131:K$140)*#REF!,SUM(Popn!K$47:K$56)*#REF!,SUM(Popn!K$141:K$150)*#REF!,SUM(Popn!K$57:K$66)*#REF!,SUM(Popn!K$151:K$160)*#REF!,SUM(Popn!K$67:K$71)*#REF!,SUM(Popn!K$161:K$165)*#REF!,SUM(Popn!K$72:K$97)*#REF!,SUM(Popn!K$166:K$191)*#REF!)/1000000000</f>
        <v>#REF!</v>
      </c>
      <c r="L95" s="105" t="e">
        <f>SUM(SUM(Popn!L$7:L$11)*#REF!,SUM(Popn!L$101:L$105)*#REF!,SUM(Popn!L$12:L$16)*#REF!,SUM(Popn!L$106:L$110)*#REF!,SUM(Popn!L$17:L$21)*#REF!,SUM(Popn!L$111:L$115)*#REF!,SUM(Popn!L$22:L$26)*#REF!,SUM(Popn!L$116:L$120)*#REF!,SUM(Popn!L$27:L$36)*#REF!,SUM(Popn!L$121:L$130)*#REF!,SUM(Popn!L$37:L$46)*#REF!,SUM(Popn!L$131:L$140)*#REF!,SUM(Popn!L$47:L$56)*#REF!,SUM(Popn!L$141:L$150)*#REF!,SUM(Popn!L$57:L$66)*#REF!,SUM(Popn!L$151:L$160)*#REF!,SUM(Popn!L$67:L$71)*#REF!,SUM(Popn!L$161:L$165)*#REF!,SUM(Popn!L$72:L$97)*#REF!,SUM(Popn!L$166:L$191)*#REF!)/1000000000</f>
        <v>#REF!</v>
      </c>
      <c r="M95" s="105" t="e">
        <f>SUM(SUM(Popn!M$7:M$11)*#REF!,SUM(Popn!M$101:M$105)*#REF!,SUM(Popn!M$12:M$16)*#REF!,SUM(Popn!M$106:M$110)*#REF!,SUM(Popn!M$17:M$21)*#REF!,SUM(Popn!M$111:M$115)*#REF!,SUM(Popn!M$22:M$26)*#REF!,SUM(Popn!M$116:M$120)*#REF!,SUM(Popn!M$27:M$36)*#REF!,SUM(Popn!M$121:M$130)*#REF!,SUM(Popn!M$37:M$46)*#REF!,SUM(Popn!M$131:M$140)*#REF!,SUM(Popn!M$47:M$56)*#REF!,SUM(Popn!M$141:M$150)*#REF!,SUM(Popn!M$57:M$66)*#REF!,SUM(Popn!M$151:M$160)*#REF!,SUM(Popn!M$67:M$71)*#REF!,SUM(Popn!M$161:M$165)*#REF!,SUM(Popn!M$72:M$97)*#REF!,SUM(Popn!M$166:M$191)*#REF!)/1000000000</f>
        <v>#REF!</v>
      </c>
      <c r="N95" s="105" t="e">
        <f>SUM(SUM(Popn!N$7:N$11)*#REF!,SUM(Popn!N$101:N$105)*#REF!,SUM(Popn!N$12:N$16)*#REF!,SUM(Popn!N$106:N$110)*#REF!,SUM(Popn!N$17:N$21)*#REF!,SUM(Popn!N$111:N$115)*#REF!,SUM(Popn!N$22:N$26)*#REF!,SUM(Popn!N$116:N$120)*#REF!,SUM(Popn!N$27:N$36)*#REF!,SUM(Popn!N$121:N$130)*#REF!,SUM(Popn!N$37:N$46)*#REF!,SUM(Popn!N$131:N$140)*#REF!,SUM(Popn!N$47:N$56)*#REF!,SUM(Popn!N$141:N$150)*#REF!,SUM(Popn!N$57:N$66)*#REF!,SUM(Popn!N$151:N$160)*#REF!,SUM(Popn!N$67:N$71)*#REF!,SUM(Popn!N$161:N$165)*#REF!,SUM(Popn!N$72:N$97)*#REF!,SUM(Popn!N$166:N$191)*#REF!)/1000000000</f>
        <v>#REF!</v>
      </c>
      <c r="O95" s="73" t="e">
        <f>SUM(SUM(Popn!O$7:O$11)*#REF!,SUM(Popn!O$101:O$105)*#REF!,SUM(Popn!O$12:O$16)*#REF!,SUM(Popn!O$106:O$110)*#REF!,SUM(Popn!O$17:O$21)*#REF!,SUM(Popn!O$111:O$115)*#REF!,SUM(Popn!O$22:O$26)*#REF!,SUM(Popn!O$116:O$120)*#REF!,SUM(Popn!O$27:O$36)*#REF!,SUM(Popn!O$121:O$130)*#REF!,SUM(Popn!O$37:O$46)*#REF!,SUM(Popn!O$131:O$140)*#REF!,SUM(Popn!O$47:O$56)*#REF!,SUM(Popn!O$141:O$150)*#REF!,SUM(Popn!O$57:O$66)*#REF!,SUM(Popn!O$151:O$160)*#REF!,SUM(Popn!O$67:O$71)*#REF!,SUM(Popn!O$161:O$165)*#REF!,SUM(Popn!O$72:O$97)*#REF!,SUM(Popn!O$166:O$191)*#REF!)/1000000000</f>
        <v>#REF!</v>
      </c>
      <c r="P95" s="73" t="e">
        <f>SUM(SUM(Popn!P$7:P$11)*#REF!,SUM(Popn!P$101:P$105)*#REF!,SUM(Popn!P$12:P$16)*#REF!,SUM(Popn!P$106:P$110)*#REF!,SUM(Popn!P$17:P$21)*#REF!,SUM(Popn!P$111:P$115)*#REF!,SUM(Popn!P$22:P$26)*#REF!,SUM(Popn!P$116:P$120)*#REF!,SUM(Popn!P$27:P$36)*#REF!,SUM(Popn!P$121:P$130)*#REF!,SUM(Popn!P$37:P$46)*#REF!,SUM(Popn!P$131:P$140)*#REF!,SUM(Popn!P$47:P$56)*#REF!,SUM(Popn!P$141:P$150)*#REF!,SUM(Popn!P$57:P$66)*#REF!,SUM(Popn!P$151:P$160)*#REF!,SUM(Popn!P$67:P$71)*#REF!,SUM(Popn!P$161:P$165)*#REF!,SUM(Popn!P$72:P$97)*#REF!,SUM(Popn!P$166:P$191)*#REF!)/1000000000</f>
        <v>#REF!</v>
      </c>
      <c r="Q95" s="73" t="e">
        <f>SUM(SUM(Popn!Q$7:Q$11)*#REF!,SUM(Popn!Q$101:Q$105)*#REF!,SUM(Popn!Q$12:Q$16)*#REF!,SUM(Popn!Q$106:Q$110)*#REF!,SUM(Popn!Q$17:Q$21)*#REF!,SUM(Popn!Q$111:Q$115)*#REF!,SUM(Popn!Q$22:Q$26)*#REF!,SUM(Popn!Q$116:Q$120)*#REF!,SUM(Popn!Q$27:Q$36)*#REF!,SUM(Popn!Q$121:Q$130)*#REF!,SUM(Popn!Q$37:Q$46)*#REF!,SUM(Popn!Q$131:Q$140)*#REF!,SUM(Popn!Q$47:Q$56)*#REF!,SUM(Popn!Q$141:Q$150)*#REF!,SUM(Popn!Q$57:Q$66)*#REF!,SUM(Popn!Q$151:Q$160)*#REF!,SUM(Popn!Q$67:Q$71)*#REF!,SUM(Popn!Q$161:Q$165)*#REF!,SUM(Popn!Q$72:Q$97)*#REF!,SUM(Popn!Q$166:Q$191)*#REF!)/1000000000</f>
        <v>#REF!</v>
      </c>
      <c r="R95" s="73" t="e">
        <f>SUM(SUM(Popn!R$7:R$11)*#REF!,SUM(Popn!R$101:R$105)*#REF!,SUM(Popn!R$12:R$16)*#REF!,SUM(Popn!R$106:R$110)*#REF!,SUM(Popn!R$17:R$21)*#REF!,SUM(Popn!R$111:R$115)*#REF!,SUM(Popn!R$22:R$26)*#REF!,SUM(Popn!R$116:R$120)*#REF!,SUM(Popn!R$27:R$36)*#REF!,SUM(Popn!R$121:R$130)*#REF!,SUM(Popn!R$37:R$46)*#REF!,SUM(Popn!R$131:R$140)*#REF!,SUM(Popn!R$47:R$56)*#REF!,SUM(Popn!R$141:R$150)*#REF!,SUM(Popn!R$57:R$66)*#REF!,SUM(Popn!R$151:R$160)*#REF!,SUM(Popn!R$67:R$71)*#REF!,SUM(Popn!R$161:R$165)*#REF!,SUM(Popn!R$72:R$97)*#REF!,SUM(Popn!R$166:R$191)*#REF!)/1000000000</f>
        <v>#REF!</v>
      </c>
      <c r="S95" s="73" t="e">
        <f>SUM(SUM(Popn!S$7:S$11)*#REF!,SUM(Popn!S$101:S$105)*#REF!,SUM(Popn!S$12:S$16)*#REF!,SUM(Popn!S$106:S$110)*#REF!,SUM(Popn!S$17:S$21)*#REF!,SUM(Popn!S$111:S$115)*#REF!,SUM(Popn!S$22:S$26)*#REF!,SUM(Popn!S$116:S$120)*#REF!,SUM(Popn!S$27:S$36)*#REF!,SUM(Popn!S$121:S$130)*#REF!,SUM(Popn!S$37:S$46)*#REF!,SUM(Popn!S$131:S$140)*#REF!,SUM(Popn!S$47:S$56)*#REF!,SUM(Popn!S$141:S$150)*#REF!,SUM(Popn!S$57:S$66)*#REF!,SUM(Popn!S$151:S$160)*#REF!,SUM(Popn!S$67:S$71)*#REF!,SUM(Popn!S$161:S$165)*#REF!,SUM(Popn!S$72:S$97)*#REF!,SUM(Popn!S$166:S$191)*#REF!)/1000000000</f>
        <v>#REF!</v>
      </c>
      <c r="T95" s="73" t="e">
        <f>SUM(SUM(Popn!T$7:T$11)*#REF!,SUM(Popn!T$101:T$105)*#REF!,SUM(Popn!T$12:T$16)*#REF!,SUM(Popn!T$106:T$110)*#REF!,SUM(Popn!T$17:T$21)*#REF!,SUM(Popn!T$111:T$115)*#REF!,SUM(Popn!T$22:T$26)*#REF!,SUM(Popn!T$116:T$120)*#REF!,SUM(Popn!T$27:T$36)*#REF!,SUM(Popn!T$121:T$130)*#REF!,SUM(Popn!T$37:T$46)*#REF!,SUM(Popn!T$131:T$140)*#REF!,SUM(Popn!T$47:T$56)*#REF!,SUM(Popn!T$141:T$150)*#REF!,SUM(Popn!T$57:T$66)*#REF!,SUM(Popn!T$151:T$160)*#REF!,SUM(Popn!T$67:T$71)*#REF!,SUM(Popn!T$161:T$165)*#REF!,SUM(Popn!T$72:T$97)*#REF!,SUM(Popn!T$166:T$191)*#REF!)/1000000000</f>
        <v>#REF!</v>
      </c>
      <c r="U95" s="73" t="e">
        <f>SUM(SUM(Popn!U$7:U$11)*#REF!,SUM(Popn!U$101:U$105)*#REF!,SUM(Popn!U$12:U$16)*#REF!,SUM(Popn!U$106:U$110)*#REF!,SUM(Popn!U$17:U$21)*#REF!,SUM(Popn!U$111:U$115)*#REF!,SUM(Popn!U$22:U$26)*#REF!,SUM(Popn!U$116:U$120)*#REF!,SUM(Popn!U$27:U$36)*#REF!,SUM(Popn!U$121:U$130)*#REF!,SUM(Popn!U$37:U$46)*#REF!,SUM(Popn!U$131:U$140)*#REF!,SUM(Popn!U$47:U$56)*#REF!,SUM(Popn!U$141:U$150)*#REF!,SUM(Popn!U$57:U$66)*#REF!,SUM(Popn!U$151:U$160)*#REF!,SUM(Popn!U$67:U$71)*#REF!,SUM(Popn!U$161:U$165)*#REF!,SUM(Popn!U$72:U$97)*#REF!,SUM(Popn!U$166:U$191)*#REF!)/1000000000</f>
        <v>#REF!</v>
      </c>
      <c r="V95" s="73" t="e">
        <f>SUM(SUM(Popn!V$7:V$11)*#REF!,SUM(Popn!V$101:V$105)*#REF!,SUM(Popn!V$12:V$16)*#REF!,SUM(Popn!V$106:V$110)*#REF!,SUM(Popn!V$17:V$21)*#REF!,SUM(Popn!V$111:V$115)*#REF!,SUM(Popn!V$22:V$26)*#REF!,SUM(Popn!V$116:V$120)*#REF!,SUM(Popn!V$27:V$36)*#REF!,SUM(Popn!V$121:V$130)*#REF!,SUM(Popn!V$37:V$46)*#REF!,SUM(Popn!V$131:V$140)*#REF!,SUM(Popn!V$47:V$56)*#REF!,SUM(Popn!V$141:V$150)*#REF!,SUM(Popn!V$57:V$66)*#REF!,SUM(Popn!V$151:V$160)*#REF!,SUM(Popn!V$67:V$71)*#REF!,SUM(Popn!V$161:V$165)*#REF!,SUM(Popn!V$72:V$97)*#REF!,SUM(Popn!V$166:V$191)*#REF!)/1000000000</f>
        <v>#REF!</v>
      </c>
      <c r="W95" s="73" t="e">
        <f>SUM(SUM(Popn!W$7:W$11)*#REF!,SUM(Popn!W$101:W$105)*#REF!,SUM(Popn!W$12:W$16)*#REF!,SUM(Popn!W$106:W$110)*#REF!,SUM(Popn!W$17:W$21)*#REF!,SUM(Popn!W$111:W$115)*#REF!,SUM(Popn!W$22:W$26)*#REF!,SUM(Popn!W$116:W$120)*#REF!,SUM(Popn!W$27:W$36)*#REF!,SUM(Popn!W$121:W$130)*#REF!,SUM(Popn!W$37:W$46)*#REF!,SUM(Popn!W$131:W$140)*#REF!,SUM(Popn!W$47:W$56)*#REF!,SUM(Popn!W$141:W$150)*#REF!,SUM(Popn!W$57:W$66)*#REF!,SUM(Popn!W$151:W$160)*#REF!,SUM(Popn!W$67:W$71)*#REF!,SUM(Popn!W$161:W$165)*#REF!,SUM(Popn!W$72:W$97)*#REF!,SUM(Popn!W$166:W$191)*#REF!)/1000000000</f>
        <v>#REF!</v>
      </c>
      <c r="X95" s="73" t="e">
        <f>SUM(SUM(Popn!X$7:X$11)*#REF!,SUM(Popn!X$101:X$105)*#REF!,SUM(Popn!X$12:X$16)*#REF!,SUM(Popn!X$106:X$110)*#REF!,SUM(Popn!X$17:X$21)*#REF!,SUM(Popn!X$111:X$115)*#REF!,SUM(Popn!X$22:X$26)*#REF!,SUM(Popn!X$116:X$120)*#REF!,SUM(Popn!X$27:X$36)*#REF!,SUM(Popn!X$121:X$130)*#REF!,SUM(Popn!X$37:X$46)*#REF!,SUM(Popn!X$131:X$140)*#REF!,SUM(Popn!X$47:X$56)*#REF!,SUM(Popn!X$141:X$150)*#REF!,SUM(Popn!X$57:X$66)*#REF!,SUM(Popn!X$151:X$160)*#REF!,SUM(Popn!X$67:X$71)*#REF!,SUM(Popn!X$161:X$165)*#REF!,SUM(Popn!X$72:X$97)*#REF!,SUM(Popn!X$166:X$191)*#REF!)/1000000000</f>
        <v>#REF!</v>
      </c>
      <c r="Y95" s="36"/>
    </row>
    <row r="96" spans="1:25" x14ac:dyDescent="0.2">
      <c r="A96" s="108"/>
      <c r="B96" s="36"/>
      <c r="C96" s="69"/>
      <c r="D96" s="69"/>
      <c r="E96" s="69"/>
      <c r="F96" s="69"/>
      <c r="G96" s="69"/>
      <c r="H96" s="69"/>
      <c r="I96" s="105"/>
      <c r="J96" s="105"/>
      <c r="K96" s="105"/>
      <c r="L96" s="105"/>
      <c r="M96" s="105"/>
      <c r="Y96" s="36"/>
    </row>
    <row r="97" spans="1:25" x14ac:dyDescent="0.2">
      <c r="A97" s="108" t="s">
        <v>926</v>
      </c>
      <c r="B97" s="36"/>
      <c r="C97" s="69"/>
      <c r="D97" s="69"/>
      <c r="E97" s="69"/>
      <c r="F97" s="69"/>
      <c r="G97" s="69"/>
      <c r="H97" s="69"/>
      <c r="I97" s="105"/>
      <c r="J97" s="105"/>
      <c r="K97" s="105"/>
      <c r="L97" s="105"/>
      <c r="M97" s="105"/>
      <c r="Y97" s="36"/>
    </row>
    <row r="98" spans="1:25" x14ac:dyDescent="0.2">
      <c r="A98" s="27" t="s">
        <v>927</v>
      </c>
      <c r="B98" s="233"/>
      <c r="C98" s="69"/>
      <c r="D98" s="71" t="e">
        <f>#REF!</f>
        <v>#REF!</v>
      </c>
      <c r="E98" s="71" t="e">
        <f>#REF!</f>
        <v>#REF!</v>
      </c>
      <c r="F98" s="71" t="e">
        <f>#REF!</f>
        <v>#REF!</v>
      </c>
      <c r="G98" s="71" t="e">
        <f>#REF!</f>
        <v>#REF!</v>
      </c>
      <c r="H98" s="71" t="e">
        <f>#REF!</f>
        <v>#REF!</v>
      </c>
      <c r="I98" s="71" t="e">
        <f>#REF!</f>
        <v>#REF!</v>
      </c>
      <c r="J98" s="131" t="e">
        <f>#REF!</f>
        <v>#REF!</v>
      </c>
      <c r="K98" s="131" t="e">
        <f>#REF!</f>
        <v>#REF!</v>
      </c>
      <c r="L98" s="131" t="e">
        <f>#REF!</f>
        <v>#REF!</v>
      </c>
      <c r="M98" s="131" t="e">
        <f>#REF!</f>
        <v>#REF!</v>
      </c>
      <c r="N98" s="131" t="e">
        <f>#REF!</f>
        <v>#REF!</v>
      </c>
      <c r="O98" s="75" t="e">
        <f>N$98*#REF!/#REF!</f>
        <v>#REF!</v>
      </c>
      <c r="P98" s="75" t="e">
        <f>O$98*#REF!/#REF!</f>
        <v>#REF!</v>
      </c>
      <c r="Q98" s="75" t="e">
        <f>P$98*#REF!/#REF!</f>
        <v>#REF!</v>
      </c>
      <c r="R98" s="75" t="e">
        <f>Q$98*#REF!/#REF!</f>
        <v>#REF!</v>
      </c>
      <c r="S98" s="75" t="e">
        <f>R$98*#REF!/#REF!</f>
        <v>#REF!</v>
      </c>
      <c r="T98" s="75" t="e">
        <f>S$98*#REF!/#REF!</f>
        <v>#REF!</v>
      </c>
      <c r="U98" s="75" t="e">
        <f>T$98*#REF!/#REF!</f>
        <v>#REF!</v>
      </c>
      <c r="V98" s="75" t="e">
        <f>U$98*#REF!/#REF!</f>
        <v>#REF!</v>
      </c>
      <c r="W98" s="75" t="e">
        <f>V$98*#REF!/#REF!</f>
        <v>#REF!</v>
      </c>
      <c r="X98" s="75" t="e">
        <f>W$98*#REF!/#REF!</f>
        <v>#REF!</v>
      </c>
      <c r="Y98" s="36"/>
    </row>
    <row r="99" spans="1:25" x14ac:dyDescent="0.2">
      <c r="A99" s="27" t="s">
        <v>928</v>
      </c>
      <c r="B99" s="233"/>
      <c r="C99" s="69"/>
      <c r="D99" s="71" t="e">
        <f>#REF!</f>
        <v>#REF!</v>
      </c>
      <c r="E99" s="71" t="e">
        <f>#REF!</f>
        <v>#REF!</v>
      </c>
      <c r="F99" s="71" t="e">
        <f>#REF!</f>
        <v>#REF!</v>
      </c>
      <c r="G99" s="71" t="e">
        <f>#REF!</f>
        <v>#REF!</v>
      </c>
      <c r="H99" s="71" t="e">
        <f>#REF!</f>
        <v>#REF!</v>
      </c>
      <c r="I99" s="71" t="e">
        <f>#REF!</f>
        <v>#REF!</v>
      </c>
      <c r="J99" s="131" t="e">
        <f>#REF!</f>
        <v>#REF!</v>
      </c>
      <c r="K99" s="131" t="e">
        <f>#REF!</f>
        <v>#REF!</v>
      </c>
      <c r="L99" s="131" t="e">
        <f>#REF!</f>
        <v>#REF!</v>
      </c>
      <c r="M99" s="131" t="e">
        <f>#REF!</f>
        <v>#REF!</v>
      </c>
      <c r="N99" s="131" t="e">
        <f>#REF!</f>
        <v>#REF!</v>
      </c>
      <c r="O99" s="75" t="e">
        <f t="shared" ref="O99:X99" si="54">N$99*O$98/N$98</f>
        <v>#REF!</v>
      </c>
      <c r="P99" s="75" t="e">
        <f t="shared" si="54"/>
        <v>#REF!</v>
      </c>
      <c r="Q99" s="75" t="e">
        <f t="shared" si="54"/>
        <v>#REF!</v>
      </c>
      <c r="R99" s="75" t="e">
        <f t="shared" si="54"/>
        <v>#REF!</v>
      </c>
      <c r="S99" s="75" t="e">
        <f t="shared" si="54"/>
        <v>#REF!</v>
      </c>
      <c r="T99" s="75" t="e">
        <f t="shared" si="54"/>
        <v>#REF!</v>
      </c>
      <c r="U99" s="75" t="e">
        <f t="shared" si="54"/>
        <v>#REF!</v>
      </c>
      <c r="V99" s="75" t="e">
        <f t="shared" si="54"/>
        <v>#REF!</v>
      </c>
      <c r="W99" s="75" t="e">
        <f t="shared" si="54"/>
        <v>#REF!</v>
      </c>
      <c r="X99" s="75" t="e">
        <f t="shared" si="54"/>
        <v>#REF!</v>
      </c>
      <c r="Y99" s="36"/>
    </row>
    <row r="100" spans="1:25" x14ac:dyDescent="0.2">
      <c r="A100" s="28"/>
      <c r="B100" s="40"/>
      <c r="C100" s="69"/>
      <c r="D100" s="73"/>
      <c r="E100" s="73"/>
      <c r="F100" s="73"/>
      <c r="G100" s="73"/>
      <c r="H100" s="73"/>
      <c r="I100" s="73"/>
      <c r="J100" s="73"/>
      <c r="Y100" s="36"/>
    </row>
    <row r="101" spans="1:25" x14ac:dyDescent="0.2">
      <c r="A101" s="108" t="s">
        <v>929</v>
      </c>
      <c r="B101" s="77"/>
      <c r="C101" s="69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36"/>
    </row>
    <row r="102" spans="1:25" x14ac:dyDescent="0.2">
      <c r="A102" s="27" t="s">
        <v>140</v>
      </c>
      <c r="B102" s="233"/>
      <c r="C102" s="69"/>
      <c r="D102" s="71" t="e">
        <f>#REF!</f>
        <v>#REF!</v>
      </c>
      <c r="E102" s="71" t="e">
        <f>#REF!</f>
        <v>#REF!</v>
      </c>
      <c r="F102" s="71" t="e">
        <f>#REF!</f>
        <v>#REF!</v>
      </c>
      <c r="G102" s="71" t="e">
        <f>#REF!</f>
        <v>#REF!</v>
      </c>
      <c r="H102" s="71" t="e">
        <f>#REF!</f>
        <v>#REF!</v>
      </c>
      <c r="I102" s="71" t="e">
        <f>#REF!</f>
        <v>#REF!</v>
      </c>
      <c r="J102" s="131" t="e">
        <f ca="1">#REF!*IF($F$1="Yes",OFFSET('Forecast Adjuster'!$A$60,0,J$282)*OFFSET('Forecast Adjuster'!$A$63,0,J$282),1) + IF(OFFSET(Scenarios!$A$63,0,$C$1)="Yes",OFFSET(Scenarios!$A$64,0,$C$1)*J$144,0) + IF($I$1="Yes",J$299,0)</f>
        <v>#REF!</v>
      </c>
      <c r="K102" s="131" t="e">
        <f ca="1">#REF!*IF($F$1="Yes",OFFSET('Forecast Adjuster'!$A$60,0,K$282)*OFFSET('Forecast Adjuster'!$A$63,0,K$282),1) + IF(OFFSET(Scenarios!$A$63,0,$C$1)="Yes",OFFSET(Scenarios!$A$64,0,$C$1)*K$144,0) + IF($I$1="Yes",K$299,0)</f>
        <v>#REF!</v>
      </c>
      <c r="L102" s="131" t="e">
        <f ca="1">#REF!*IF($F$1="Yes",OFFSET('Forecast Adjuster'!$A$60,0,L$282)*OFFSET('Forecast Adjuster'!$A$63,0,L$282),1) + IF(OFFSET(Scenarios!$A$63,0,$C$1)="Yes",OFFSET(Scenarios!$A$64,0,$C$1)*L$144,0) + IF($I$1="Yes",L$299,0)</f>
        <v>#REF!</v>
      </c>
      <c r="M102" s="131" t="e">
        <f ca="1">#REF!*IF($F$1="Yes",OFFSET('Forecast Adjuster'!$A$60,0,M$282)*OFFSET('Forecast Adjuster'!$A$63,0,M$282),1) + IF(OFFSET(Scenarios!$A$63,0,$C$1)="Yes",OFFSET(Scenarios!$A$64,0,$C$1)*M$144,0) + IF($I$1="Yes",M$299,0)</f>
        <v>#REF!</v>
      </c>
      <c r="N102" s="131" t="e">
        <f ca="1">#REF!*IF($F$1="Yes",OFFSET('Forecast Adjuster'!$A$60,0,N$282)*OFFSET('Forecast Adjuster'!$A$63,0,N$282),1) + IF(OFFSET(Scenarios!$A$63,0,$C$1)="Yes",OFFSET(Scenarios!$A$64,0,$C$1)*N$144,0) + IF($I$1="Yes",N$299,0)</f>
        <v>#REF!</v>
      </c>
      <c r="O102" s="75" t="e">
        <f ca="1">N$102 +IF(OFFSET(Scenarios!$A$63,0,$C$1)="Yes",(O$144-N$144)*OFFSET(Scenarios!$A$64,0,$C$1),0)</f>
        <v>#REF!</v>
      </c>
      <c r="P102" s="75" t="e">
        <f ca="1">O$102 +IF(OFFSET(Scenarios!$A$63,0,$C$1)="Yes",(P$144-O$144)*OFFSET(Scenarios!$A$64,0,$C$1),0)</f>
        <v>#REF!</v>
      </c>
      <c r="Q102" s="75" t="e">
        <f ca="1">P$102 +IF(OFFSET(Scenarios!$A$63,0,$C$1)="Yes",(Q$144-P$144)*OFFSET(Scenarios!$A$64,0,$C$1),0)</f>
        <v>#REF!</v>
      </c>
      <c r="R102" s="75" t="e">
        <f ca="1">Q$102 +IF(OFFSET(Scenarios!$A$63,0,$C$1)="Yes",(R$144-Q$144)*OFFSET(Scenarios!$A$64,0,$C$1),0)</f>
        <v>#REF!</v>
      </c>
      <c r="S102" s="75" t="e">
        <f ca="1">R$102 +IF(OFFSET(Scenarios!$A$63,0,$C$1)="Yes",(S$144-R$144)*OFFSET(Scenarios!$A$64,0,$C$1),0)</f>
        <v>#REF!</v>
      </c>
      <c r="T102" s="75" t="e">
        <f ca="1">S$102 +IF(OFFSET(Scenarios!$A$63,0,$C$1)="Yes",(T$144-S$144)*OFFSET(Scenarios!$A$64,0,$C$1),0)</f>
        <v>#REF!</v>
      </c>
      <c r="U102" s="75" t="e">
        <f ca="1">T$102 +IF(OFFSET(Scenarios!$A$63,0,$C$1)="Yes",(U$144-T$144)*OFFSET(Scenarios!$A$64,0,$C$1),0)</f>
        <v>#REF!</v>
      </c>
      <c r="V102" s="75" t="e">
        <f ca="1">U$102 +IF(OFFSET(Scenarios!$A$63,0,$C$1)="Yes",(V$144-U$144)*OFFSET(Scenarios!$A$64,0,$C$1),0)</f>
        <v>#REF!</v>
      </c>
      <c r="W102" s="75" t="e">
        <f ca="1">V$102 +IF(OFFSET(Scenarios!$A$63,0,$C$1)="Yes",(W$144-V$144)*OFFSET(Scenarios!$A$64,0,$C$1),0)</f>
        <v>#REF!</v>
      </c>
      <c r="X102" s="75" t="e">
        <f ca="1">W$102 +IF(OFFSET(Scenarios!$A$63,0,$C$1)="Yes",(X$144-W$144)*OFFSET(Scenarios!$A$64,0,$C$1),0)</f>
        <v>#REF!</v>
      </c>
      <c r="Y102" s="36"/>
    </row>
    <row r="103" spans="1:25" x14ac:dyDescent="0.2">
      <c r="A103" s="27" t="s">
        <v>141</v>
      </c>
      <c r="B103" s="233"/>
      <c r="C103" s="69"/>
      <c r="D103" s="71" t="e">
        <f>#REF!</f>
        <v>#REF!</v>
      </c>
      <c r="E103" s="71" t="e">
        <f>#REF!</f>
        <v>#REF!</v>
      </c>
      <c r="F103" s="71" t="e">
        <f>#REF!</f>
        <v>#REF!</v>
      </c>
      <c r="G103" s="71" t="e">
        <f>#REF!</f>
        <v>#REF!</v>
      </c>
      <c r="H103" s="71" t="e">
        <f>#REF!</f>
        <v>#REF!</v>
      </c>
      <c r="I103" s="71" t="e">
        <f>#REF!</f>
        <v>#REF!</v>
      </c>
      <c r="J103" s="131" t="e">
        <f ca="1">#REF! + IF($F$1="Yes",#REF!*(OFFSET('Forecast Adjuster'!$A$60,0,J$282)*OFFSET('Forecast Adjuster'!$A$63,0,J$282)-1),0) + IF(OFFSET(Scenarios!$A$63,0,$C$1)="Yes",OFFSET(Scenarios!$A$64,0,$C$1)*J$144,0) + IF($I$1="Yes",J$299,0)</f>
        <v>#REF!</v>
      </c>
      <c r="K103" s="131" t="e">
        <f ca="1">#REF! + IF($F$1="Yes",#REF!*(OFFSET('Forecast Adjuster'!$A$60,0,K$282)*OFFSET('Forecast Adjuster'!$A$63,0,K$282)-1),0) + IF(OFFSET(Scenarios!$A$63,0,$C$1)="Yes",OFFSET(Scenarios!$A$64,0,$C$1)*K$144,0) + IF($I$1="Yes",K$299,0)</f>
        <v>#REF!</v>
      </c>
      <c r="L103" s="131" t="e">
        <f ca="1">#REF! + IF($F$1="Yes",#REF!*(OFFSET('Forecast Adjuster'!$A$60,0,L$282)*OFFSET('Forecast Adjuster'!$A$63,0,L$282)-1),0) + IF(OFFSET(Scenarios!$A$63,0,$C$1)="Yes",OFFSET(Scenarios!$A$64,0,$C$1)*L$144,0) + IF($I$1="Yes",L$299,0)</f>
        <v>#REF!</v>
      </c>
      <c r="M103" s="131" t="e">
        <f ca="1">#REF! + IF($F$1="Yes",#REF!*(OFFSET('Forecast Adjuster'!$A$60,0,M$282)*OFFSET('Forecast Adjuster'!$A$63,0,M$282)-1),0) + IF(OFFSET(Scenarios!$A$63,0,$C$1)="Yes",OFFSET(Scenarios!$A$64,0,$C$1)*M$144,0) + IF($I$1="Yes",M$299,0)</f>
        <v>#REF!</v>
      </c>
      <c r="N103" s="131" t="e">
        <f ca="1">#REF! + IF($F$1="Yes",#REF!*(OFFSET('Forecast Adjuster'!$A$60,0,N$282)*OFFSET('Forecast Adjuster'!$A$63,0,N$282)-1),0) + IF(OFFSET(Scenarios!$A$63,0,$C$1)="Yes",OFFSET(Scenarios!$A$64,0,$C$1)*N$144,0) + IF($I$1="Yes",N$299,0)</f>
        <v>#REF!</v>
      </c>
      <c r="O103" s="75" t="e">
        <f t="shared" ref="O103:X103" ca="1" si="55">SUM(O$102,(N$103-N$102)*SUM(O$104,O$105)/SUM(N$104,N$105))</f>
        <v>#REF!</v>
      </c>
      <c r="P103" s="75" t="e">
        <f t="shared" ca="1" si="55"/>
        <v>#REF!</v>
      </c>
      <c r="Q103" s="75" t="e">
        <f t="shared" ca="1" si="55"/>
        <v>#REF!</v>
      </c>
      <c r="R103" s="75" t="e">
        <f t="shared" ca="1" si="55"/>
        <v>#REF!</v>
      </c>
      <c r="S103" s="75" t="e">
        <f t="shared" ca="1" si="55"/>
        <v>#REF!</v>
      </c>
      <c r="T103" s="75" t="e">
        <f t="shared" ca="1" si="55"/>
        <v>#REF!</v>
      </c>
      <c r="U103" s="75" t="e">
        <f t="shared" ca="1" si="55"/>
        <v>#REF!</v>
      </c>
      <c r="V103" s="75" t="e">
        <f t="shared" ca="1" si="55"/>
        <v>#REF!</v>
      </c>
      <c r="W103" s="75" t="e">
        <f t="shared" ca="1" si="55"/>
        <v>#REF!</v>
      </c>
      <c r="X103" s="75" t="e">
        <f t="shared" ca="1" si="55"/>
        <v>#REF!</v>
      </c>
      <c r="Y103" s="36"/>
    </row>
    <row r="104" spans="1:25" x14ac:dyDescent="0.2">
      <c r="A104" s="108" t="s">
        <v>930</v>
      </c>
      <c r="B104" s="77"/>
      <c r="C104" s="69"/>
      <c r="D104" s="69" t="e">
        <f>SUM(SUM(Popn!D$7:D$11)*#REF!,SUM(Popn!D$12:D$16)*#REF!,SUM(Popn!D$17:D$21)*#REF!,SUM(Popn!D$22:D$26)*#REF!,SUM(Popn!D$27:D$31)*#REF!,SUM(Popn!D$32:D$36)*#REF!,SUM(Popn!D$37:D$41)*#REF!,SUM(Popn!D$42:D$46)*#REF!,SUM(Popn!D$47:D$51)*#REF!,SUM(Popn!D$52:D$56)*#REF!,SUM(Popn!D$57:D$61)*#REF!,SUM(Popn!D$62:D$66)*#REF!,SUM(Popn!D$67:D$71)*#REF!,SUM(Popn!D$72:D$76)*#REF!,SUM(Popn!D$77:D$81)*#REF!,SUM(Popn!D$82:D$86)*#REF!,SUM(Popn!D$87:D$91)*#REF!,SUM(Popn!D$92:D$97)*#REF!)/1000000000</f>
        <v>#REF!</v>
      </c>
      <c r="E104" s="69" t="e">
        <f>SUM(SUM(Popn!E$7:E$11)*#REF!,SUM(Popn!E$12:E$16)*#REF!,SUM(Popn!E$17:E$21)*#REF!,SUM(Popn!E$22:E$26)*#REF!,SUM(Popn!E$27:E$31)*#REF!,SUM(Popn!E$32:E$36)*#REF!,SUM(Popn!E$37:E$41)*#REF!,SUM(Popn!E$42:E$46)*#REF!,SUM(Popn!E$47:E$51)*#REF!,SUM(Popn!E$52:E$56)*#REF!,SUM(Popn!E$57:E$61)*#REF!,SUM(Popn!E$62:E$66)*#REF!,SUM(Popn!E$67:E$71)*#REF!,SUM(Popn!E$72:E$76)*#REF!,SUM(Popn!E$77:E$81)*#REF!,SUM(Popn!E$82:E$86)*#REF!,SUM(Popn!E$87:E$91)*#REF!,SUM(Popn!E$92:E$97)*#REF!)/1000000000</f>
        <v>#REF!</v>
      </c>
      <c r="F104" s="69" t="e">
        <f>SUM(SUM(Popn!F$7:F$11)*#REF!,SUM(Popn!F$12:F$16)*#REF!,SUM(Popn!F$17:F$21)*#REF!,SUM(Popn!F$22:F$26)*#REF!,SUM(Popn!F$27:F$31)*#REF!,SUM(Popn!F$32:F$36)*#REF!,SUM(Popn!F$37:F$41)*#REF!,SUM(Popn!F$42:F$46)*#REF!,SUM(Popn!F$47:F$51)*#REF!,SUM(Popn!F$52:F$56)*#REF!,SUM(Popn!F$57:F$61)*#REF!,SUM(Popn!F$62:F$66)*#REF!,SUM(Popn!F$67:F$71)*#REF!,SUM(Popn!F$72:F$76)*#REF!,SUM(Popn!F$77:F$81)*#REF!,SUM(Popn!F$82:F$86)*#REF!,SUM(Popn!F$87:F$91)*#REF!,SUM(Popn!F$92:F$97)*#REF!)/1000000000</f>
        <v>#REF!</v>
      </c>
      <c r="G104" s="69" t="e">
        <f>SUM(SUM(Popn!G$7:G$11)*#REF!,SUM(Popn!G$12:G$16)*#REF!,SUM(Popn!G$17:G$21)*#REF!,SUM(Popn!G$22:G$26)*#REF!,SUM(Popn!G$27:G$31)*#REF!,SUM(Popn!G$32:G$36)*#REF!,SUM(Popn!G$37:G$41)*#REF!,SUM(Popn!G$42:G$46)*#REF!,SUM(Popn!G$47:G$51)*#REF!,SUM(Popn!G$52:G$56)*#REF!,SUM(Popn!G$57:G$61)*#REF!,SUM(Popn!G$62:G$66)*#REF!,SUM(Popn!G$67:G$71)*#REF!,SUM(Popn!G$72:G$76)*#REF!,SUM(Popn!G$77:G$81)*#REF!,SUM(Popn!G$82:G$86)*#REF!,SUM(Popn!G$87:G$91)*#REF!,SUM(Popn!G$92:G$97)*#REF!)/1000000000</f>
        <v>#REF!</v>
      </c>
      <c r="H104" s="69" t="e">
        <f>SUM(SUM(Popn!H$7:H$11)*#REF!,SUM(Popn!H$12:H$16)*#REF!,SUM(Popn!H$17:H$21)*#REF!,SUM(Popn!H$22:H$26)*#REF!,SUM(Popn!H$27:H$31)*#REF!,SUM(Popn!H$32:H$36)*#REF!,SUM(Popn!H$37:H$41)*#REF!,SUM(Popn!H$42:H$46)*#REF!,SUM(Popn!H$47:H$51)*#REF!,SUM(Popn!H$52:H$56)*#REF!,SUM(Popn!H$57:H$61)*#REF!,SUM(Popn!H$62:H$66)*#REF!,SUM(Popn!H$67:H$71)*#REF!,SUM(Popn!H$72:H$76)*#REF!,SUM(Popn!H$77:H$81)*#REF!,SUM(Popn!H$82:H$86)*#REF!,SUM(Popn!H$87:H$91)*#REF!,SUM(Popn!H$92:H$97)*#REF!)/1000000000</f>
        <v>#REF!</v>
      </c>
      <c r="I104" s="69" t="e">
        <f>SUM(SUM(Popn!I$7:I$11)*#REF!,SUM(Popn!I$12:I$16)*#REF!,SUM(Popn!I$17:I$21)*#REF!,SUM(Popn!I$22:I$26)*#REF!,SUM(Popn!I$27:I$31)*#REF!,SUM(Popn!I$32:I$36)*#REF!,SUM(Popn!I$37:I$41)*#REF!,SUM(Popn!I$42:I$46)*#REF!,SUM(Popn!I$47:I$51)*#REF!,SUM(Popn!I$52:I$56)*#REF!,SUM(Popn!I$57:I$61)*#REF!,SUM(Popn!I$62:I$66)*#REF!,SUM(Popn!I$67:I$71)*#REF!,SUM(Popn!I$72:I$76)*#REF!,SUM(Popn!I$77:I$81)*#REF!,SUM(Popn!I$82:I$86)*#REF!,SUM(Popn!I$87:I$91)*#REF!,SUM(Popn!I$92:I$97)*#REF!)/1000000000</f>
        <v>#REF!</v>
      </c>
      <c r="J104" s="125" t="e">
        <f>SUM(SUM(Popn!J$7:J$11)*#REF!,SUM(Popn!J$12:J$16)*#REF!,SUM(Popn!J$17:J$21)*#REF!,SUM(Popn!J$22:J$26)*#REF!,SUM(Popn!J$27:J$31)*#REF!,SUM(Popn!J$32:J$36)*#REF!,SUM(Popn!J$37:J$41)*#REF!,SUM(Popn!J$42:J$46)*#REF!,SUM(Popn!J$47:J$51)*#REF!,SUM(Popn!J$52:J$56)*#REF!,SUM(Popn!J$57:J$61)*#REF!,SUM(Popn!J$62:J$66)*#REF!,SUM(Popn!J$67:J$71)*#REF!,SUM(Popn!J$72:J$76)*#REF!,SUM(Popn!J$77:J$81)*#REF!,SUM(Popn!J$82:J$86)*#REF!,SUM(Popn!J$87:J$91)*#REF!,SUM(Popn!J$92:J$97)*#REF!)/1000000000</f>
        <v>#REF!</v>
      </c>
      <c r="K104" s="125" t="e">
        <f>SUM(SUM(Popn!K$7:K$11)*#REF!,SUM(Popn!K$12:K$16)*#REF!,SUM(Popn!K$17:K$21)*#REF!,SUM(Popn!K$22:K$26)*#REF!,SUM(Popn!K$27:K$31)*#REF!,SUM(Popn!K$32:K$36)*#REF!,SUM(Popn!K$37:K$41)*#REF!,SUM(Popn!K$42:K$46)*#REF!,SUM(Popn!K$47:K$51)*#REF!,SUM(Popn!K$52:K$56)*#REF!,SUM(Popn!K$57:K$61)*#REF!,SUM(Popn!K$62:K$66)*#REF!,SUM(Popn!K$67:K$71)*#REF!,SUM(Popn!K$72:K$76)*#REF!,SUM(Popn!K$77:K$81)*#REF!,SUM(Popn!K$82:K$86)*#REF!,SUM(Popn!K$87:K$91)*#REF!,SUM(Popn!K$92:K$97)*#REF!)/1000000000</f>
        <v>#REF!</v>
      </c>
      <c r="L104" s="125" t="e">
        <f>SUM(SUM(Popn!L$7:L$11)*#REF!,SUM(Popn!L$12:L$16)*#REF!,SUM(Popn!L$17:L$21)*#REF!,SUM(Popn!L$22:L$26)*#REF!,SUM(Popn!L$27:L$31)*#REF!,SUM(Popn!L$32:L$36)*#REF!,SUM(Popn!L$37:L$41)*#REF!,SUM(Popn!L$42:L$46)*#REF!,SUM(Popn!L$47:L$51)*#REF!,SUM(Popn!L$52:L$56)*#REF!,SUM(Popn!L$57:L$61)*#REF!,SUM(Popn!L$62:L$66)*#REF!,SUM(Popn!L$67:L$71)*#REF!,SUM(Popn!L$72:L$76)*#REF!,SUM(Popn!L$77:L$81)*#REF!,SUM(Popn!L$82:L$86)*#REF!,SUM(Popn!L$87:L$91)*#REF!,SUM(Popn!L$92:L$97)*#REF!)/1000000000</f>
        <v>#REF!</v>
      </c>
      <c r="M104" s="125" t="e">
        <f>SUM(SUM(Popn!M$7:M$11)*#REF!,SUM(Popn!M$12:M$16)*#REF!,SUM(Popn!M$17:M$21)*#REF!,SUM(Popn!M$22:M$26)*#REF!,SUM(Popn!M$27:M$31)*#REF!,SUM(Popn!M$32:M$36)*#REF!,SUM(Popn!M$37:M$41)*#REF!,SUM(Popn!M$42:M$46)*#REF!,SUM(Popn!M$47:M$51)*#REF!,SUM(Popn!M$52:M$56)*#REF!,SUM(Popn!M$57:M$61)*#REF!,SUM(Popn!M$62:M$66)*#REF!,SUM(Popn!M$67:M$71)*#REF!,SUM(Popn!M$72:M$76)*#REF!,SUM(Popn!M$77:M$81)*#REF!,SUM(Popn!M$82:M$86)*#REF!,SUM(Popn!M$87:M$91)*#REF!,SUM(Popn!M$92:M$97)*#REF!)/1000000000</f>
        <v>#REF!</v>
      </c>
      <c r="N104" s="125" t="e">
        <f>SUM(SUM(Popn!N$7:N$11)*#REF!,SUM(Popn!N$12:N$16)*#REF!,SUM(Popn!N$17:N$21)*#REF!,SUM(Popn!N$22:N$26)*#REF!,SUM(Popn!N$27:N$31)*#REF!,SUM(Popn!N$32:N$36)*#REF!,SUM(Popn!N$37:N$41)*#REF!,SUM(Popn!N$42:N$46)*#REF!,SUM(Popn!N$47:N$51)*#REF!,SUM(Popn!N$52:N$56)*#REF!,SUM(Popn!N$57:N$61)*#REF!,SUM(Popn!N$62:N$66)*#REF!,SUM(Popn!N$67:N$71)*#REF!,SUM(Popn!N$72:N$76)*#REF!,SUM(Popn!N$77:N$81)*#REF!,SUM(Popn!N$82:N$86)*#REF!,SUM(Popn!N$87:N$91)*#REF!,SUM(Popn!N$92:N$97)*#REF!)/1000000000</f>
        <v>#REF!</v>
      </c>
      <c r="O104" s="73" t="e">
        <f>SUM(SUM(Popn!O$7:O$11)*#REF!,SUM(Popn!O$12:O$16)*#REF!,SUM(Popn!O$17:O$21)*#REF!,SUM(Popn!O$22:O$26)*#REF!,SUM(Popn!O$27:O$31)*#REF!,SUM(Popn!O$32:O$36)*#REF!,SUM(Popn!O$37:O$41)*#REF!,SUM(Popn!O$42:O$46)*#REF!,SUM(Popn!O$47:O$51)*#REF!,SUM(Popn!O$52:O$56)*#REF!,SUM(Popn!O$57:O$61)*#REF!,SUM(Popn!O$62:O$66)*#REF!,SUM(Popn!O$67:O$71)*#REF!,SUM(Popn!O$72:O$76)*#REF!,SUM(Popn!O$77:O$81)*#REF!,SUM(Popn!O$82:O$86)*#REF!,SUM(Popn!O$87:O$91)*#REF!,SUM(Popn!O$92:O$97)*#REF!)/1000000000</f>
        <v>#REF!</v>
      </c>
      <c r="P104" s="73" t="e">
        <f>SUM(SUM(Popn!P$7:P$11)*#REF!,SUM(Popn!P$12:P$16)*#REF!,SUM(Popn!P$17:P$21)*#REF!,SUM(Popn!P$22:P$26)*#REF!,SUM(Popn!P$27:P$31)*#REF!,SUM(Popn!P$32:P$36)*#REF!,SUM(Popn!P$37:P$41)*#REF!,SUM(Popn!P$42:P$46)*#REF!,SUM(Popn!P$47:P$51)*#REF!,SUM(Popn!P$52:P$56)*#REF!,SUM(Popn!P$57:P$61)*#REF!,SUM(Popn!P$62:P$66)*#REF!,SUM(Popn!P$67:P$71)*#REF!,SUM(Popn!P$72:P$76)*#REF!,SUM(Popn!P$77:P$81)*#REF!,SUM(Popn!P$82:P$86)*#REF!,SUM(Popn!P$87:P$91)*#REF!,SUM(Popn!P$92:P$97)*#REF!)/1000000000</f>
        <v>#REF!</v>
      </c>
      <c r="Q104" s="73" t="e">
        <f>SUM(SUM(Popn!Q$7:Q$11)*#REF!,SUM(Popn!Q$12:Q$16)*#REF!,SUM(Popn!Q$17:Q$21)*#REF!,SUM(Popn!Q$22:Q$26)*#REF!,SUM(Popn!Q$27:Q$31)*#REF!,SUM(Popn!Q$32:Q$36)*#REF!,SUM(Popn!Q$37:Q$41)*#REF!,SUM(Popn!Q$42:Q$46)*#REF!,SUM(Popn!Q$47:Q$51)*#REF!,SUM(Popn!Q$52:Q$56)*#REF!,SUM(Popn!Q$57:Q$61)*#REF!,SUM(Popn!Q$62:Q$66)*#REF!,SUM(Popn!Q$67:Q$71)*#REF!,SUM(Popn!Q$72:Q$76)*#REF!,SUM(Popn!Q$77:Q$81)*#REF!,SUM(Popn!Q$82:Q$86)*#REF!,SUM(Popn!Q$87:Q$91)*#REF!,SUM(Popn!Q$92:Q$97)*#REF!)/1000000000</f>
        <v>#REF!</v>
      </c>
      <c r="R104" s="73" t="e">
        <f>SUM(SUM(Popn!R$7:R$11)*#REF!,SUM(Popn!R$12:R$16)*#REF!,SUM(Popn!R$17:R$21)*#REF!,SUM(Popn!R$22:R$26)*#REF!,SUM(Popn!R$27:R$31)*#REF!,SUM(Popn!R$32:R$36)*#REF!,SUM(Popn!R$37:R$41)*#REF!,SUM(Popn!R$42:R$46)*#REF!,SUM(Popn!R$47:R$51)*#REF!,SUM(Popn!R$52:R$56)*#REF!,SUM(Popn!R$57:R$61)*#REF!,SUM(Popn!R$62:R$66)*#REF!,SUM(Popn!R$67:R$71)*#REF!,SUM(Popn!R$72:R$76)*#REF!,SUM(Popn!R$77:R$81)*#REF!,SUM(Popn!R$82:R$86)*#REF!,SUM(Popn!R$87:R$91)*#REF!,SUM(Popn!R$92:R$97)*#REF!)/1000000000</f>
        <v>#REF!</v>
      </c>
      <c r="S104" s="73" t="e">
        <f>SUM(SUM(Popn!S$7:S$11)*#REF!,SUM(Popn!S$12:S$16)*#REF!,SUM(Popn!S$17:S$21)*#REF!,SUM(Popn!S$22:S$26)*#REF!,SUM(Popn!S$27:S$31)*#REF!,SUM(Popn!S$32:S$36)*#REF!,SUM(Popn!S$37:S$41)*#REF!,SUM(Popn!S$42:S$46)*#REF!,SUM(Popn!S$47:S$51)*#REF!,SUM(Popn!S$52:S$56)*#REF!,SUM(Popn!S$57:S$61)*#REF!,SUM(Popn!S$62:S$66)*#REF!,SUM(Popn!S$67:S$71)*#REF!,SUM(Popn!S$72:S$76)*#REF!,SUM(Popn!S$77:S$81)*#REF!,SUM(Popn!S$82:S$86)*#REF!,SUM(Popn!S$87:S$91)*#REF!,SUM(Popn!S$92:S$97)*#REF!)/1000000000</f>
        <v>#REF!</v>
      </c>
      <c r="T104" s="73" t="e">
        <f>SUM(SUM(Popn!T$7:T$11)*#REF!,SUM(Popn!T$12:T$16)*#REF!,SUM(Popn!T$17:T$21)*#REF!,SUM(Popn!T$22:T$26)*#REF!,SUM(Popn!T$27:T$31)*#REF!,SUM(Popn!T$32:T$36)*#REF!,SUM(Popn!T$37:T$41)*#REF!,SUM(Popn!T$42:T$46)*#REF!,SUM(Popn!T$47:T$51)*#REF!,SUM(Popn!T$52:T$56)*#REF!,SUM(Popn!T$57:T$61)*#REF!,SUM(Popn!T$62:T$66)*#REF!,SUM(Popn!T$67:T$71)*#REF!,SUM(Popn!T$72:T$76)*#REF!,SUM(Popn!T$77:T$81)*#REF!,SUM(Popn!T$82:T$86)*#REF!,SUM(Popn!T$87:T$91)*#REF!,SUM(Popn!T$92:T$97)*#REF!)/1000000000</f>
        <v>#REF!</v>
      </c>
      <c r="U104" s="73" t="e">
        <f>SUM(SUM(Popn!U$7:U$11)*#REF!,SUM(Popn!U$12:U$16)*#REF!,SUM(Popn!U$17:U$21)*#REF!,SUM(Popn!U$22:U$26)*#REF!,SUM(Popn!U$27:U$31)*#REF!,SUM(Popn!U$32:U$36)*#REF!,SUM(Popn!U$37:U$41)*#REF!,SUM(Popn!U$42:U$46)*#REF!,SUM(Popn!U$47:U$51)*#REF!,SUM(Popn!U$52:U$56)*#REF!,SUM(Popn!U$57:U$61)*#REF!,SUM(Popn!U$62:U$66)*#REF!,SUM(Popn!U$67:U$71)*#REF!,SUM(Popn!U$72:U$76)*#REF!,SUM(Popn!U$77:U$81)*#REF!,SUM(Popn!U$82:U$86)*#REF!,SUM(Popn!U$87:U$91)*#REF!,SUM(Popn!U$92:U$97)*#REF!)/1000000000</f>
        <v>#REF!</v>
      </c>
      <c r="V104" s="73" t="e">
        <f>SUM(SUM(Popn!V$7:V$11)*#REF!,SUM(Popn!V$12:V$16)*#REF!,SUM(Popn!V$17:V$21)*#REF!,SUM(Popn!V$22:V$26)*#REF!,SUM(Popn!V$27:V$31)*#REF!,SUM(Popn!V$32:V$36)*#REF!,SUM(Popn!V$37:V$41)*#REF!,SUM(Popn!V$42:V$46)*#REF!,SUM(Popn!V$47:V$51)*#REF!,SUM(Popn!V$52:V$56)*#REF!,SUM(Popn!V$57:V$61)*#REF!,SUM(Popn!V$62:V$66)*#REF!,SUM(Popn!V$67:V$71)*#REF!,SUM(Popn!V$72:V$76)*#REF!,SUM(Popn!V$77:V$81)*#REF!,SUM(Popn!V$82:V$86)*#REF!,SUM(Popn!V$87:V$91)*#REF!,SUM(Popn!V$92:V$97)*#REF!)/1000000000</f>
        <v>#REF!</v>
      </c>
      <c r="W104" s="73" t="e">
        <f>SUM(SUM(Popn!W$7:W$11)*#REF!,SUM(Popn!W$12:W$16)*#REF!,SUM(Popn!W$17:W$21)*#REF!,SUM(Popn!W$22:W$26)*#REF!,SUM(Popn!W$27:W$31)*#REF!,SUM(Popn!W$32:W$36)*#REF!,SUM(Popn!W$37:W$41)*#REF!,SUM(Popn!W$42:W$46)*#REF!,SUM(Popn!W$47:W$51)*#REF!,SUM(Popn!W$52:W$56)*#REF!,SUM(Popn!W$57:W$61)*#REF!,SUM(Popn!W$62:W$66)*#REF!,SUM(Popn!W$67:W$71)*#REF!,SUM(Popn!W$72:W$76)*#REF!,SUM(Popn!W$77:W$81)*#REF!,SUM(Popn!W$82:W$86)*#REF!,SUM(Popn!W$87:W$91)*#REF!,SUM(Popn!W$92:W$97)*#REF!)/1000000000</f>
        <v>#REF!</v>
      </c>
      <c r="X104" s="73" t="e">
        <f>SUM(SUM(Popn!X$7:X$11)*#REF!,SUM(Popn!X$12:X$16)*#REF!,SUM(Popn!X$17:X$21)*#REF!,SUM(Popn!X$22:X$26)*#REF!,SUM(Popn!X$27:X$31)*#REF!,SUM(Popn!X$32:X$36)*#REF!,SUM(Popn!X$37:X$41)*#REF!,SUM(Popn!X$42:X$46)*#REF!,SUM(Popn!X$47:X$51)*#REF!,SUM(Popn!X$52:X$56)*#REF!,SUM(Popn!X$57:X$61)*#REF!,SUM(Popn!X$62:X$66)*#REF!,SUM(Popn!X$67:X$71)*#REF!,SUM(Popn!X$72:X$76)*#REF!,SUM(Popn!X$77:X$81)*#REF!,SUM(Popn!X$82:X$86)*#REF!,SUM(Popn!X$87:X$91)*#REF!,SUM(Popn!X$92:X$97)*#REF!)/1000000000</f>
        <v>#REF!</v>
      </c>
      <c r="Y104" s="36"/>
    </row>
    <row r="105" spans="1:25" x14ac:dyDescent="0.2">
      <c r="A105" s="108" t="s">
        <v>931</v>
      </c>
      <c r="B105" s="77"/>
      <c r="C105" s="69"/>
      <c r="D105" s="86" t="e">
        <f>SUM(SUM(Popn!D$101:D$105)*#REF!,SUM(Popn!D$106:D$110)*#REF!,SUM(Popn!D$111:D$115)*#REF!,SUM(Popn!D$116:D$120)*#REF!,SUM(Popn!D$121:D$125)*#REF!,SUM(Popn!D$126:D$130)*#REF!,SUM(Popn!D$131:D$135)*#REF!,SUM(Popn!D$136:D$140)*#REF!,SUM(Popn!D$141:D$145)*#REF!,SUM(Popn!D$146:D$150)*#REF!,SUM(Popn!D$151:D$155)*#REF!,SUM(Popn!D$156:D$160)*#REF!,SUM(Popn!D$161:D$165)*#REF!,SUM(Popn!D$166:D$170)*#REF!,SUM(Popn!D$171:D$175)*#REF!,SUM(Popn!D$176:D$180)*#REF!,SUM(Popn!D$181:D$185)*#REF!,SUM(Popn!D$186:D$191)*#REF!)/1000000000</f>
        <v>#REF!</v>
      </c>
      <c r="E105" s="86" t="e">
        <f>SUM(SUM(Popn!E$101:E$105)*#REF!,SUM(Popn!E$106:E$110)*#REF!,SUM(Popn!E$111:E$115)*#REF!,SUM(Popn!E$116:E$120)*#REF!,SUM(Popn!E$121:E$125)*#REF!,SUM(Popn!E$126:E$130)*#REF!,SUM(Popn!E$131:E$135)*#REF!,SUM(Popn!E$136:E$140)*#REF!,SUM(Popn!E$141:E$145)*#REF!,SUM(Popn!E$146:E$150)*#REF!,SUM(Popn!E$151:E$155)*#REF!,SUM(Popn!E$156:E$160)*#REF!,SUM(Popn!E$161:E$165)*#REF!,SUM(Popn!E$166:E$170)*#REF!,SUM(Popn!E$171:E$175)*#REF!,SUM(Popn!E$176:E$180)*#REF!,SUM(Popn!E$181:E$185)*#REF!,SUM(Popn!E$186:E$191)*#REF!)/1000000000</f>
        <v>#REF!</v>
      </c>
      <c r="F105" s="86" t="e">
        <f>SUM(SUM(Popn!F$101:F$105)*#REF!,SUM(Popn!F$106:F$110)*#REF!,SUM(Popn!F$111:F$115)*#REF!,SUM(Popn!F$116:F$120)*#REF!,SUM(Popn!F$121:F$125)*#REF!,SUM(Popn!F$126:F$130)*#REF!,SUM(Popn!F$131:F$135)*#REF!,SUM(Popn!F$136:F$140)*#REF!,SUM(Popn!F$141:F$145)*#REF!,SUM(Popn!F$146:F$150)*#REF!,SUM(Popn!F$151:F$155)*#REF!,SUM(Popn!F$156:F$160)*#REF!,SUM(Popn!F$161:F$165)*#REF!,SUM(Popn!F$166:F$170)*#REF!,SUM(Popn!F$171:F$175)*#REF!,SUM(Popn!F$176:F$180)*#REF!,SUM(Popn!F$181:F$185)*#REF!,SUM(Popn!F$186:F$191)*#REF!)/1000000000</f>
        <v>#REF!</v>
      </c>
      <c r="G105" s="86" t="e">
        <f>SUM(SUM(Popn!G$101:G$105)*#REF!,SUM(Popn!G$106:G$110)*#REF!,SUM(Popn!G$111:G$115)*#REF!,SUM(Popn!G$116:G$120)*#REF!,SUM(Popn!G$121:G$125)*#REF!,SUM(Popn!G$126:G$130)*#REF!,SUM(Popn!G$131:G$135)*#REF!,SUM(Popn!G$136:G$140)*#REF!,SUM(Popn!G$141:G$145)*#REF!,SUM(Popn!G$146:G$150)*#REF!,SUM(Popn!G$151:G$155)*#REF!,SUM(Popn!G$156:G$160)*#REF!,SUM(Popn!G$161:G$165)*#REF!,SUM(Popn!G$166:G$170)*#REF!,SUM(Popn!G$171:G$175)*#REF!,SUM(Popn!G$176:G$180)*#REF!,SUM(Popn!G$181:G$185)*#REF!,SUM(Popn!G$186:G$191)*#REF!)/1000000000</f>
        <v>#REF!</v>
      </c>
      <c r="H105" s="86" t="e">
        <f>SUM(SUM(Popn!H$101:H$105)*#REF!,SUM(Popn!H$106:H$110)*#REF!,SUM(Popn!H$111:H$115)*#REF!,SUM(Popn!H$116:H$120)*#REF!,SUM(Popn!H$121:H$125)*#REF!,SUM(Popn!H$126:H$130)*#REF!,SUM(Popn!H$131:H$135)*#REF!,SUM(Popn!H$136:H$140)*#REF!,SUM(Popn!H$141:H$145)*#REF!,SUM(Popn!H$146:H$150)*#REF!,SUM(Popn!H$151:H$155)*#REF!,SUM(Popn!H$156:H$160)*#REF!,SUM(Popn!H$161:H$165)*#REF!,SUM(Popn!H$166:H$170)*#REF!,SUM(Popn!H$171:H$175)*#REF!,SUM(Popn!H$176:H$180)*#REF!,SUM(Popn!H$181:H$185)*#REF!,SUM(Popn!H$186:H$191)*#REF!)/1000000000</f>
        <v>#REF!</v>
      </c>
      <c r="I105" s="86" t="e">
        <f>SUM(SUM(Popn!I$101:I$105)*#REF!,SUM(Popn!I$106:I$110)*#REF!,SUM(Popn!I$111:I$115)*#REF!,SUM(Popn!I$116:I$120)*#REF!,SUM(Popn!I$121:I$125)*#REF!,SUM(Popn!I$126:I$130)*#REF!,SUM(Popn!I$131:I$135)*#REF!,SUM(Popn!I$136:I$140)*#REF!,SUM(Popn!I$141:I$145)*#REF!,SUM(Popn!I$146:I$150)*#REF!,SUM(Popn!I$151:I$155)*#REF!,SUM(Popn!I$156:I$160)*#REF!,SUM(Popn!I$161:I$165)*#REF!,SUM(Popn!I$166:I$170)*#REF!,SUM(Popn!I$171:I$175)*#REF!,SUM(Popn!I$176:I$180)*#REF!,SUM(Popn!I$181:I$185)*#REF!,SUM(Popn!I$186:I$191)*#REF!)/1000000000</f>
        <v>#REF!</v>
      </c>
      <c r="J105" s="129" t="e">
        <f>SUM(SUM(Popn!J$101:J$105)*#REF!,SUM(Popn!J$106:J$110)*#REF!,SUM(Popn!J$111:J$115)*#REF!,SUM(Popn!J$116:J$120)*#REF!,SUM(Popn!J$121:J$125)*#REF!,SUM(Popn!J$126:J$130)*#REF!,SUM(Popn!J$131:J$135)*#REF!,SUM(Popn!J$136:J$140)*#REF!,SUM(Popn!J$141:J$145)*#REF!,SUM(Popn!J$146:J$150)*#REF!,SUM(Popn!J$151:J$155)*#REF!,SUM(Popn!J$156:J$160)*#REF!,SUM(Popn!J$161:J$165)*#REF!,SUM(Popn!J$166:J$170)*#REF!,SUM(Popn!J$171:J$175)*#REF!,SUM(Popn!J$176:J$180)*#REF!,SUM(Popn!J$181:J$185)*#REF!,SUM(Popn!J$186:J$191)*#REF!)/1000000000</f>
        <v>#REF!</v>
      </c>
      <c r="K105" s="129" t="e">
        <f>SUM(SUM(Popn!K$101:K$105)*#REF!,SUM(Popn!K$106:K$110)*#REF!,SUM(Popn!K$111:K$115)*#REF!,SUM(Popn!K$116:K$120)*#REF!,SUM(Popn!K$121:K$125)*#REF!,SUM(Popn!K$126:K$130)*#REF!,SUM(Popn!K$131:K$135)*#REF!,SUM(Popn!K$136:K$140)*#REF!,SUM(Popn!K$141:K$145)*#REF!,SUM(Popn!K$146:K$150)*#REF!,SUM(Popn!K$151:K$155)*#REF!,SUM(Popn!K$156:K$160)*#REF!,SUM(Popn!K$161:K$165)*#REF!,SUM(Popn!K$166:K$170)*#REF!,SUM(Popn!K$171:K$175)*#REF!,SUM(Popn!K$176:K$180)*#REF!,SUM(Popn!K$181:K$185)*#REF!,SUM(Popn!K$186:K$191)*#REF!)/1000000000</f>
        <v>#REF!</v>
      </c>
      <c r="L105" s="129" t="e">
        <f>SUM(SUM(Popn!L$101:L$105)*#REF!,SUM(Popn!L$106:L$110)*#REF!,SUM(Popn!L$111:L$115)*#REF!,SUM(Popn!L$116:L$120)*#REF!,SUM(Popn!L$121:L$125)*#REF!,SUM(Popn!L$126:L$130)*#REF!,SUM(Popn!L$131:L$135)*#REF!,SUM(Popn!L$136:L$140)*#REF!,SUM(Popn!L$141:L$145)*#REF!,SUM(Popn!L$146:L$150)*#REF!,SUM(Popn!L$151:L$155)*#REF!,SUM(Popn!L$156:L$160)*#REF!,SUM(Popn!L$161:L$165)*#REF!,SUM(Popn!L$166:L$170)*#REF!,SUM(Popn!L$171:L$175)*#REF!,SUM(Popn!L$176:L$180)*#REF!,SUM(Popn!L$181:L$185)*#REF!,SUM(Popn!L$186:L$191)*#REF!)/1000000000</f>
        <v>#REF!</v>
      </c>
      <c r="M105" s="129" t="e">
        <f>SUM(SUM(Popn!M$101:M$105)*#REF!,SUM(Popn!M$106:M$110)*#REF!,SUM(Popn!M$111:M$115)*#REF!,SUM(Popn!M$116:M$120)*#REF!,SUM(Popn!M$121:M$125)*#REF!,SUM(Popn!M$126:M$130)*#REF!,SUM(Popn!M$131:M$135)*#REF!,SUM(Popn!M$136:M$140)*#REF!,SUM(Popn!M$141:M$145)*#REF!,SUM(Popn!M$146:M$150)*#REF!,SUM(Popn!M$151:M$155)*#REF!,SUM(Popn!M$156:M$160)*#REF!,SUM(Popn!M$161:M$165)*#REF!,SUM(Popn!M$166:M$170)*#REF!,SUM(Popn!M$171:M$175)*#REF!,SUM(Popn!M$176:M$180)*#REF!,SUM(Popn!M$181:M$185)*#REF!,SUM(Popn!M$186:M$191)*#REF!)/1000000000</f>
        <v>#REF!</v>
      </c>
      <c r="N105" s="129" t="e">
        <f>SUM(SUM(Popn!N$101:N$105)*#REF!,SUM(Popn!N$106:N$110)*#REF!,SUM(Popn!N$111:N$115)*#REF!,SUM(Popn!N$116:N$120)*#REF!,SUM(Popn!N$121:N$125)*#REF!,SUM(Popn!N$126:N$130)*#REF!,SUM(Popn!N$131:N$135)*#REF!,SUM(Popn!N$136:N$140)*#REF!,SUM(Popn!N$141:N$145)*#REF!,SUM(Popn!N$146:N$150)*#REF!,SUM(Popn!N$151:N$155)*#REF!,SUM(Popn!N$156:N$160)*#REF!,SUM(Popn!N$161:N$165)*#REF!,SUM(Popn!N$166:N$170)*#REF!,SUM(Popn!N$171:N$175)*#REF!,SUM(Popn!N$176:N$180)*#REF!,SUM(Popn!N$181:N$185)*#REF!,SUM(Popn!N$186:N$191)*#REF!)/1000000000</f>
        <v>#REF!</v>
      </c>
      <c r="O105" s="100" t="e">
        <f>SUM(SUM(Popn!O$101:O$105)*#REF!,SUM(Popn!O$106:O$110)*#REF!,SUM(Popn!O$111:O$115)*#REF!,SUM(Popn!O$116:O$120)*#REF!,SUM(Popn!O$121:O$125)*#REF!,SUM(Popn!O$126:O$130)*#REF!,SUM(Popn!O$131:O$135)*#REF!,SUM(Popn!O$136:O$140)*#REF!,SUM(Popn!O$141:O$145)*#REF!,SUM(Popn!O$146:O$150)*#REF!,SUM(Popn!O$151:O$155)*#REF!,SUM(Popn!O$156:O$160)*#REF!,SUM(Popn!O$161:O$165)*#REF!,SUM(Popn!O$166:O$170)*#REF!,SUM(Popn!O$171:O$175)*#REF!,SUM(Popn!O$176:O$180)*#REF!,SUM(Popn!O$181:O$185)*#REF!,SUM(Popn!O$186:O$191)*#REF!)/1000000000</f>
        <v>#REF!</v>
      </c>
      <c r="P105" s="100" t="e">
        <f>SUM(SUM(Popn!P$101:P$105)*#REF!,SUM(Popn!P$106:P$110)*#REF!,SUM(Popn!P$111:P$115)*#REF!,SUM(Popn!P$116:P$120)*#REF!,SUM(Popn!P$121:P$125)*#REF!,SUM(Popn!P$126:P$130)*#REF!,SUM(Popn!P$131:P$135)*#REF!,SUM(Popn!P$136:P$140)*#REF!,SUM(Popn!P$141:P$145)*#REF!,SUM(Popn!P$146:P$150)*#REF!,SUM(Popn!P$151:P$155)*#REF!,SUM(Popn!P$156:P$160)*#REF!,SUM(Popn!P$161:P$165)*#REF!,SUM(Popn!P$166:P$170)*#REF!,SUM(Popn!P$171:P$175)*#REF!,SUM(Popn!P$176:P$180)*#REF!,SUM(Popn!P$181:P$185)*#REF!,SUM(Popn!P$186:P$191)*#REF!)/1000000000</f>
        <v>#REF!</v>
      </c>
      <c r="Q105" s="100" t="e">
        <f>SUM(SUM(Popn!Q$101:Q$105)*#REF!,SUM(Popn!Q$106:Q$110)*#REF!,SUM(Popn!Q$111:Q$115)*#REF!,SUM(Popn!Q$116:Q$120)*#REF!,SUM(Popn!Q$121:Q$125)*#REF!,SUM(Popn!Q$126:Q$130)*#REF!,SUM(Popn!Q$131:Q$135)*#REF!,SUM(Popn!Q$136:Q$140)*#REF!,SUM(Popn!Q$141:Q$145)*#REF!,SUM(Popn!Q$146:Q$150)*#REF!,SUM(Popn!Q$151:Q$155)*#REF!,SUM(Popn!Q$156:Q$160)*#REF!,SUM(Popn!Q$161:Q$165)*#REF!,SUM(Popn!Q$166:Q$170)*#REF!,SUM(Popn!Q$171:Q$175)*#REF!,SUM(Popn!Q$176:Q$180)*#REF!,SUM(Popn!Q$181:Q$185)*#REF!,SUM(Popn!Q$186:Q$191)*#REF!)/1000000000</f>
        <v>#REF!</v>
      </c>
      <c r="R105" s="100" t="e">
        <f>SUM(SUM(Popn!R$101:R$105)*#REF!,SUM(Popn!R$106:R$110)*#REF!,SUM(Popn!R$111:R$115)*#REF!,SUM(Popn!R$116:R$120)*#REF!,SUM(Popn!R$121:R$125)*#REF!,SUM(Popn!R$126:R$130)*#REF!,SUM(Popn!R$131:R$135)*#REF!,SUM(Popn!R$136:R$140)*#REF!,SUM(Popn!R$141:R$145)*#REF!,SUM(Popn!R$146:R$150)*#REF!,SUM(Popn!R$151:R$155)*#REF!,SUM(Popn!R$156:R$160)*#REF!,SUM(Popn!R$161:R$165)*#REF!,SUM(Popn!R$166:R$170)*#REF!,SUM(Popn!R$171:R$175)*#REF!,SUM(Popn!R$176:R$180)*#REF!,SUM(Popn!R$181:R$185)*#REF!,SUM(Popn!R$186:R$191)*#REF!)/1000000000</f>
        <v>#REF!</v>
      </c>
      <c r="S105" s="100" t="e">
        <f>SUM(SUM(Popn!S$101:S$105)*#REF!,SUM(Popn!S$106:S$110)*#REF!,SUM(Popn!S$111:S$115)*#REF!,SUM(Popn!S$116:S$120)*#REF!,SUM(Popn!S$121:S$125)*#REF!,SUM(Popn!S$126:S$130)*#REF!,SUM(Popn!S$131:S$135)*#REF!,SUM(Popn!S$136:S$140)*#REF!,SUM(Popn!S$141:S$145)*#REF!,SUM(Popn!S$146:S$150)*#REF!,SUM(Popn!S$151:S$155)*#REF!,SUM(Popn!S$156:S$160)*#REF!,SUM(Popn!S$161:S$165)*#REF!,SUM(Popn!S$166:S$170)*#REF!,SUM(Popn!S$171:S$175)*#REF!,SUM(Popn!S$176:S$180)*#REF!,SUM(Popn!S$181:S$185)*#REF!,SUM(Popn!S$186:S$191)*#REF!)/1000000000</f>
        <v>#REF!</v>
      </c>
      <c r="T105" s="100" t="e">
        <f>SUM(SUM(Popn!T$101:T$105)*#REF!,SUM(Popn!T$106:T$110)*#REF!,SUM(Popn!T$111:T$115)*#REF!,SUM(Popn!T$116:T$120)*#REF!,SUM(Popn!T$121:T$125)*#REF!,SUM(Popn!T$126:T$130)*#REF!,SUM(Popn!T$131:T$135)*#REF!,SUM(Popn!T$136:T$140)*#REF!,SUM(Popn!T$141:T$145)*#REF!,SUM(Popn!T$146:T$150)*#REF!,SUM(Popn!T$151:T$155)*#REF!,SUM(Popn!T$156:T$160)*#REF!,SUM(Popn!T$161:T$165)*#REF!,SUM(Popn!T$166:T$170)*#REF!,SUM(Popn!T$171:T$175)*#REF!,SUM(Popn!T$176:T$180)*#REF!,SUM(Popn!T$181:T$185)*#REF!,SUM(Popn!T$186:T$191)*#REF!)/1000000000</f>
        <v>#REF!</v>
      </c>
      <c r="U105" s="100" t="e">
        <f>SUM(SUM(Popn!U$101:U$105)*#REF!,SUM(Popn!U$106:U$110)*#REF!,SUM(Popn!U$111:U$115)*#REF!,SUM(Popn!U$116:U$120)*#REF!,SUM(Popn!U$121:U$125)*#REF!,SUM(Popn!U$126:U$130)*#REF!,SUM(Popn!U$131:U$135)*#REF!,SUM(Popn!U$136:U$140)*#REF!,SUM(Popn!U$141:U$145)*#REF!,SUM(Popn!U$146:U$150)*#REF!,SUM(Popn!U$151:U$155)*#REF!,SUM(Popn!U$156:U$160)*#REF!,SUM(Popn!U$161:U$165)*#REF!,SUM(Popn!U$166:U$170)*#REF!,SUM(Popn!U$171:U$175)*#REF!,SUM(Popn!U$176:U$180)*#REF!,SUM(Popn!U$181:U$185)*#REF!,SUM(Popn!U$186:U$191)*#REF!)/1000000000</f>
        <v>#REF!</v>
      </c>
      <c r="V105" s="100" t="e">
        <f>SUM(SUM(Popn!V$101:V$105)*#REF!,SUM(Popn!V$106:V$110)*#REF!,SUM(Popn!V$111:V$115)*#REF!,SUM(Popn!V$116:V$120)*#REF!,SUM(Popn!V$121:V$125)*#REF!,SUM(Popn!V$126:V$130)*#REF!,SUM(Popn!V$131:V$135)*#REF!,SUM(Popn!V$136:V$140)*#REF!,SUM(Popn!V$141:V$145)*#REF!,SUM(Popn!V$146:V$150)*#REF!,SUM(Popn!V$151:V$155)*#REF!,SUM(Popn!V$156:V$160)*#REF!,SUM(Popn!V$161:V$165)*#REF!,SUM(Popn!V$166:V$170)*#REF!,SUM(Popn!V$171:V$175)*#REF!,SUM(Popn!V$176:V$180)*#REF!,SUM(Popn!V$181:V$185)*#REF!,SUM(Popn!V$186:V$191)*#REF!)/1000000000</f>
        <v>#REF!</v>
      </c>
      <c r="W105" s="100" t="e">
        <f>SUM(SUM(Popn!W$101:W$105)*#REF!,SUM(Popn!W$106:W$110)*#REF!,SUM(Popn!W$111:W$115)*#REF!,SUM(Popn!W$116:W$120)*#REF!,SUM(Popn!W$121:W$125)*#REF!,SUM(Popn!W$126:W$130)*#REF!,SUM(Popn!W$131:W$135)*#REF!,SUM(Popn!W$136:W$140)*#REF!,SUM(Popn!W$141:W$145)*#REF!,SUM(Popn!W$146:W$150)*#REF!,SUM(Popn!W$151:W$155)*#REF!,SUM(Popn!W$156:W$160)*#REF!,SUM(Popn!W$161:W$165)*#REF!,SUM(Popn!W$166:W$170)*#REF!,SUM(Popn!W$171:W$175)*#REF!,SUM(Popn!W$176:W$180)*#REF!,SUM(Popn!W$181:W$185)*#REF!,SUM(Popn!W$186:W$191)*#REF!)/1000000000</f>
        <v>#REF!</v>
      </c>
      <c r="X105" s="100" t="e">
        <f>SUM(SUM(Popn!X$101:X$105)*#REF!,SUM(Popn!X$106:X$110)*#REF!,SUM(Popn!X$111:X$115)*#REF!,SUM(Popn!X$116:X$120)*#REF!,SUM(Popn!X$121:X$125)*#REF!,SUM(Popn!X$126:X$130)*#REF!,SUM(Popn!X$131:X$135)*#REF!,SUM(Popn!X$136:X$140)*#REF!,SUM(Popn!X$141:X$145)*#REF!,SUM(Popn!X$146:X$150)*#REF!,SUM(Popn!X$151:X$155)*#REF!,SUM(Popn!X$156:X$160)*#REF!,SUM(Popn!X$161:X$165)*#REF!,SUM(Popn!X$166:X$170)*#REF!,SUM(Popn!X$171:X$175)*#REF!,SUM(Popn!X$176:X$180)*#REF!,SUM(Popn!X$181:X$185)*#REF!,SUM(Popn!X$186:X$191)*#REF!)/1000000000</f>
        <v>#REF!</v>
      </c>
      <c r="Y105" s="36"/>
    </row>
    <row r="106" spans="1:25" x14ac:dyDescent="0.2">
      <c r="A106" s="108"/>
      <c r="B106" s="77"/>
      <c r="C106" s="69"/>
      <c r="D106" s="69"/>
      <c r="E106" s="69"/>
      <c r="F106" s="69"/>
      <c r="G106" s="69"/>
      <c r="H106" s="69"/>
      <c r="I106" s="73"/>
      <c r="J106" s="73"/>
      <c r="Y106" s="36"/>
    </row>
    <row r="107" spans="1:25" x14ac:dyDescent="0.2">
      <c r="A107" s="108" t="s">
        <v>933</v>
      </c>
      <c r="B107" s="77"/>
      <c r="C107" s="69"/>
      <c r="D107" s="69"/>
      <c r="E107" s="69"/>
      <c r="F107" s="69"/>
      <c r="G107" s="69"/>
      <c r="H107" s="69"/>
      <c r="I107" s="73"/>
      <c r="J107" s="73"/>
      <c r="Y107" s="36"/>
    </row>
    <row r="108" spans="1:25" x14ac:dyDescent="0.2">
      <c r="A108" s="31" t="s">
        <v>923</v>
      </c>
      <c r="B108" s="233"/>
      <c r="C108" s="69"/>
      <c r="D108" s="69" t="e">
        <f>#REF!</f>
        <v>#REF!</v>
      </c>
      <c r="E108" s="69" t="e">
        <f>#REF!</f>
        <v>#REF!</v>
      </c>
      <c r="F108" s="69" t="e">
        <f>#REF!</f>
        <v>#REF!</v>
      </c>
      <c r="G108" s="69" t="e">
        <f>#REF!</f>
        <v>#REF!</v>
      </c>
      <c r="H108" s="69" t="e">
        <f>#REF!</f>
        <v>#REF!</v>
      </c>
      <c r="I108" s="69" t="e">
        <f>#REF!</f>
        <v>#REF!</v>
      </c>
      <c r="J108" s="125" t="e">
        <f>#REF! + IF($I$1="Yes",J$300,0)</f>
        <v>#REF!</v>
      </c>
      <c r="K108" s="125" t="e">
        <f>#REF! + IF($I$1="Yes",K$300,0)</f>
        <v>#REF!</v>
      </c>
      <c r="L108" s="125" t="e">
        <f>#REF! + IF($I$1="Yes",L$300,0)</f>
        <v>#REF!</v>
      </c>
      <c r="M108" s="125" t="e">
        <f>#REF! + IF($I$1="Yes",M$300,0)</f>
        <v>#REF!</v>
      </c>
      <c r="N108" s="125" t="e">
        <f>#REF! + IF($I$1="Yes",N$300,0)</f>
        <v>#REF!</v>
      </c>
      <c r="O108" s="73" t="e">
        <f ca="1">N$108*(1+O$240)*(1+Popn!O$198)</f>
        <v>#REF!</v>
      </c>
      <c r="P108" s="73" t="e">
        <f ca="1">O$108*(1+P$240)*(1+Popn!P$198)</f>
        <v>#REF!</v>
      </c>
      <c r="Q108" s="73" t="e">
        <f ca="1">P$108*(1+Q$240)*(1+Popn!Q$198)</f>
        <v>#REF!</v>
      </c>
      <c r="R108" s="73" t="e">
        <f ca="1">Q$108*(1+R$240)*(1+Popn!R$198)</f>
        <v>#REF!</v>
      </c>
      <c r="S108" s="73" t="e">
        <f ca="1">R$108*(1+S$240)*(1+Popn!S$198)</f>
        <v>#REF!</v>
      </c>
      <c r="T108" s="73" t="e">
        <f ca="1">S$108*(1+T$240)*(1+Popn!T$198)</f>
        <v>#REF!</v>
      </c>
      <c r="U108" s="73" t="e">
        <f ca="1">T$108*(1+U$240)*(1+Popn!U$198)</f>
        <v>#REF!</v>
      </c>
      <c r="V108" s="73" t="e">
        <f ca="1">U$108*(1+V$240)*(1+Popn!V$198)</f>
        <v>#REF!</v>
      </c>
      <c r="W108" s="73" t="e">
        <f ca="1">V$108*(1+W$240)*(1+Popn!W$198)</f>
        <v>#REF!</v>
      </c>
      <c r="X108" s="73" t="e">
        <f ca="1">W$108*(1+X$240)*(1+Popn!X$198)</f>
        <v>#REF!</v>
      </c>
      <c r="Y108" s="36"/>
    </row>
    <row r="109" spans="1:25" x14ac:dyDescent="0.2">
      <c r="A109" s="31" t="s">
        <v>924</v>
      </c>
      <c r="B109" s="77"/>
      <c r="C109" s="69"/>
      <c r="D109" s="69" t="e">
        <f t="shared" ref="D109:X109" si="56">SUM(D$185,D$188)</f>
        <v>#REF!</v>
      </c>
      <c r="E109" s="69" t="e">
        <f t="shared" si="56"/>
        <v>#REF!</v>
      </c>
      <c r="F109" s="69" t="e">
        <f t="shared" si="56"/>
        <v>#REF!</v>
      </c>
      <c r="G109" s="69" t="e">
        <f t="shared" si="56"/>
        <v>#REF!</v>
      </c>
      <c r="H109" s="69" t="e">
        <f t="shared" si="56"/>
        <v>#REF!</v>
      </c>
      <c r="I109" s="69" t="e">
        <f t="shared" si="56"/>
        <v>#REF!</v>
      </c>
      <c r="J109" s="125" t="e">
        <f t="shared" si="56"/>
        <v>#REF!</v>
      </c>
      <c r="K109" s="125" t="e">
        <f t="shared" si="56"/>
        <v>#REF!</v>
      </c>
      <c r="L109" s="125" t="e">
        <f t="shared" si="56"/>
        <v>#REF!</v>
      </c>
      <c r="M109" s="125" t="e">
        <f t="shared" si="56"/>
        <v>#REF!</v>
      </c>
      <c r="N109" s="125" t="e">
        <f t="shared" si="56"/>
        <v>#REF!</v>
      </c>
      <c r="O109" s="73" t="e">
        <f t="shared" si="56"/>
        <v>#REF!</v>
      </c>
      <c r="P109" s="73" t="e">
        <f t="shared" si="56"/>
        <v>#REF!</v>
      </c>
      <c r="Q109" s="73" t="e">
        <f t="shared" si="56"/>
        <v>#REF!</v>
      </c>
      <c r="R109" s="73" t="e">
        <f t="shared" si="56"/>
        <v>#REF!</v>
      </c>
      <c r="S109" s="73" t="e">
        <f t="shared" si="56"/>
        <v>#REF!</v>
      </c>
      <c r="T109" s="73" t="e">
        <f t="shared" si="56"/>
        <v>#REF!</v>
      </c>
      <c r="U109" s="73" t="e">
        <f t="shared" si="56"/>
        <v>#REF!</v>
      </c>
      <c r="V109" s="73" t="e">
        <f t="shared" si="56"/>
        <v>#REF!</v>
      </c>
      <c r="W109" s="73" t="e">
        <f t="shared" si="56"/>
        <v>#REF!</v>
      </c>
      <c r="X109" s="73" t="e">
        <f t="shared" si="56"/>
        <v>#REF!</v>
      </c>
      <c r="Y109" s="36"/>
    </row>
    <row r="110" spans="1:25" x14ac:dyDescent="0.2">
      <c r="A110" s="31" t="s">
        <v>925</v>
      </c>
      <c r="B110" s="77"/>
      <c r="C110" s="69"/>
      <c r="D110" s="176" t="e">
        <f t="shared" ref="D110:I110" si="57">D$111-SUM(D$108:D$109)</f>
        <v>#REF!</v>
      </c>
      <c r="E110" s="176" t="e">
        <f t="shared" si="57"/>
        <v>#REF!</v>
      </c>
      <c r="F110" s="176" t="e">
        <f t="shared" si="57"/>
        <v>#REF!</v>
      </c>
      <c r="G110" s="176" t="e">
        <f t="shared" si="57"/>
        <v>#REF!</v>
      </c>
      <c r="H110" s="176" t="e">
        <f t="shared" si="57"/>
        <v>#REF!</v>
      </c>
      <c r="I110" s="176" t="e">
        <f t="shared" si="57"/>
        <v>#REF!</v>
      </c>
      <c r="J110" s="130" t="e">
        <f ca="1">J$111-SUM(J$108:J$109) + IF($I$1="Yes",J$300,0)</f>
        <v>#REF!</v>
      </c>
      <c r="K110" s="130" t="e">
        <f ca="1">K$111-SUM(K$108:K$109) + IF($I$1="Yes",K$300,0)</f>
        <v>#REF!</v>
      </c>
      <c r="L110" s="130" t="e">
        <f ca="1">L$111-SUM(L$108:L$109) + IF($I$1="Yes",L$300,0)</f>
        <v>#REF!</v>
      </c>
      <c r="M110" s="130" t="e">
        <f ca="1">M$111-SUM(M$108:M$109) + IF($I$1="Yes",M$300,0)</f>
        <v>#REF!</v>
      </c>
      <c r="N110" s="130" t="e">
        <f ca="1">N$111-SUM(N$108:N$109) + IF($I$1="Yes",N$300,0)</f>
        <v>#REF!</v>
      </c>
      <c r="O110" s="278" t="e">
        <f ca="1">N$110 +IF(OFFSET(Scenarios!$A$63,0,$C$1)="Yes",(O$144-N$144)*OFFSET(Scenarios!$A$65,0,$C$1),0)</f>
        <v>#REF!</v>
      </c>
      <c r="P110" s="278" t="e">
        <f ca="1">O$110 +IF(OFFSET(Scenarios!$A$63,0,$C$1)="Yes",(P$144-O$144)*OFFSET(Scenarios!$A$65,0,$C$1),0)</f>
        <v>#REF!</v>
      </c>
      <c r="Q110" s="278" t="e">
        <f ca="1">P$110 +IF(OFFSET(Scenarios!$A$63,0,$C$1)="Yes",(Q$144-P$144)*OFFSET(Scenarios!$A$65,0,$C$1),0)</f>
        <v>#REF!</v>
      </c>
      <c r="R110" s="278" t="e">
        <f ca="1">Q$110 +IF(OFFSET(Scenarios!$A$63,0,$C$1)="Yes",(R$144-Q$144)*OFFSET(Scenarios!$A$65,0,$C$1),0)</f>
        <v>#REF!</v>
      </c>
      <c r="S110" s="278" t="e">
        <f ca="1">R$110 +IF(OFFSET(Scenarios!$A$63,0,$C$1)="Yes",(S$144-R$144)*OFFSET(Scenarios!$A$65,0,$C$1),0)</f>
        <v>#REF!</v>
      </c>
      <c r="T110" s="278" t="e">
        <f ca="1">S$110 +IF(OFFSET(Scenarios!$A$63,0,$C$1)="Yes",(T$144-S$144)*OFFSET(Scenarios!$A$65,0,$C$1),0)</f>
        <v>#REF!</v>
      </c>
      <c r="U110" s="278" t="e">
        <f ca="1">T$110 +IF(OFFSET(Scenarios!$A$63,0,$C$1)="Yes",(U$144-T$144)*OFFSET(Scenarios!$A$65,0,$C$1),0)</f>
        <v>#REF!</v>
      </c>
      <c r="V110" s="278" t="e">
        <f ca="1">U$110 +IF(OFFSET(Scenarios!$A$63,0,$C$1)="Yes",(V$144-U$144)*OFFSET(Scenarios!$A$65,0,$C$1),0)</f>
        <v>#REF!</v>
      </c>
      <c r="W110" s="278" t="e">
        <f ca="1">V$110 +IF(OFFSET(Scenarios!$A$63,0,$C$1)="Yes",(W$144-V$144)*OFFSET(Scenarios!$A$65,0,$C$1),0)</f>
        <v>#REF!</v>
      </c>
      <c r="X110" s="278" t="e">
        <f ca="1">W$110 +IF(OFFSET(Scenarios!$A$63,0,$C$1)="Yes",(X$144-W$144)*OFFSET(Scenarios!$A$65,0,$C$1),0)</f>
        <v>#REF!</v>
      </c>
      <c r="Y110" s="36"/>
    </row>
    <row r="111" spans="1:25" x14ac:dyDescent="0.2">
      <c r="A111" s="27" t="s">
        <v>142</v>
      </c>
      <c r="B111" s="233"/>
      <c r="C111" s="69"/>
      <c r="D111" s="71" t="e">
        <f>#REF!</f>
        <v>#REF!</v>
      </c>
      <c r="E111" s="71" t="e">
        <f>#REF!</f>
        <v>#REF!</v>
      </c>
      <c r="F111" s="71" t="e">
        <f>#REF!</f>
        <v>#REF!</v>
      </c>
      <c r="G111" s="71" t="e">
        <f>#REF!</f>
        <v>#REF!</v>
      </c>
      <c r="H111" s="71" t="e">
        <f>#REF!</f>
        <v>#REF!</v>
      </c>
      <c r="I111" s="71" t="e">
        <f>#REF!</f>
        <v>#REF!</v>
      </c>
      <c r="J111" s="131" t="e">
        <f ca="1">#REF!*IF($F$1="Yes",OFFSET('Forecast Adjuster'!$A$60,0,J$282)*OFFSET('Forecast Adjuster'!$A$63,0,J$282),1) + IF(OFFSET(Scenarios!$A$63,0,$C$1)="Yes",OFFSET(Scenarios!$A$65,0,$C$1)*J$144,0) + IF($I$1="Yes",SUM(J$300,J$301),0)</f>
        <v>#REF!</v>
      </c>
      <c r="K111" s="131" t="e">
        <f ca="1">#REF!*IF($F$1="Yes",OFFSET('Forecast Adjuster'!$A$60,0,K$282)*OFFSET('Forecast Adjuster'!$A$63,0,K$282),1) + IF(OFFSET(Scenarios!$A$63,0,$C$1)="Yes",OFFSET(Scenarios!$A$65,0,$C$1)*K$144,0) + IF($I$1="Yes",SUM(K$300,K$301),0)</f>
        <v>#REF!</v>
      </c>
      <c r="L111" s="131" t="e">
        <f ca="1">#REF!*IF($F$1="Yes",OFFSET('Forecast Adjuster'!$A$60,0,L$282)*OFFSET('Forecast Adjuster'!$A$63,0,L$282),1) + IF(OFFSET(Scenarios!$A$63,0,$C$1)="Yes",OFFSET(Scenarios!$A$65,0,$C$1)*L$144,0) + IF($I$1="Yes",SUM(L$300,L$301),0)</f>
        <v>#REF!</v>
      </c>
      <c r="M111" s="131" t="e">
        <f ca="1">#REF!*IF($F$1="Yes",OFFSET('Forecast Adjuster'!$A$60,0,M$282)*OFFSET('Forecast Adjuster'!$A$63,0,M$282),1) + IF(OFFSET(Scenarios!$A$63,0,$C$1)="Yes",OFFSET(Scenarios!$A$65,0,$C$1)*M$144,0) + IF($I$1="Yes",SUM(M$300,M$301),0)</f>
        <v>#REF!</v>
      </c>
      <c r="N111" s="131" t="e">
        <f ca="1">#REF!*IF($F$1="Yes",OFFSET('Forecast Adjuster'!$A$60,0,N$282)*OFFSET('Forecast Adjuster'!$A$63,0,N$282),1) + IF(OFFSET(Scenarios!$A$63,0,$C$1)="Yes",OFFSET(Scenarios!$A$65,0,$C$1)*N$144,0) + IF($I$1="Yes",SUM(N$300,N$301),0)</f>
        <v>#REF!</v>
      </c>
      <c r="O111" s="75" t="e">
        <f t="shared" ref="O111:X111" ca="1" si="58">SUM(O$108:O$110)</f>
        <v>#REF!</v>
      </c>
      <c r="P111" s="75" t="e">
        <f t="shared" ca="1" si="58"/>
        <v>#REF!</v>
      </c>
      <c r="Q111" s="75" t="e">
        <f t="shared" ca="1" si="58"/>
        <v>#REF!</v>
      </c>
      <c r="R111" s="75" t="e">
        <f t="shared" ca="1" si="58"/>
        <v>#REF!</v>
      </c>
      <c r="S111" s="75" t="e">
        <f t="shared" ca="1" si="58"/>
        <v>#REF!</v>
      </c>
      <c r="T111" s="75" t="e">
        <f t="shared" ca="1" si="58"/>
        <v>#REF!</v>
      </c>
      <c r="U111" s="75" t="e">
        <f t="shared" ca="1" si="58"/>
        <v>#REF!</v>
      </c>
      <c r="V111" s="75" t="e">
        <f t="shared" ca="1" si="58"/>
        <v>#REF!</v>
      </c>
      <c r="W111" s="75" t="e">
        <f t="shared" ca="1" si="58"/>
        <v>#REF!</v>
      </c>
      <c r="X111" s="75" t="e">
        <f t="shared" ca="1" si="58"/>
        <v>#REF!</v>
      </c>
      <c r="Y111" s="36"/>
    </row>
    <row r="112" spans="1:25" x14ac:dyDescent="0.2">
      <c r="A112" s="27" t="s">
        <v>143</v>
      </c>
      <c r="B112" s="233"/>
      <c r="C112" s="69"/>
      <c r="D112" s="71" t="e">
        <f>#REF!</f>
        <v>#REF!</v>
      </c>
      <c r="E112" s="71" t="e">
        <f>#REF!</f>
        <v>#REF!</v>
      </c>
      <c r="F112" s="71" t="e">
        <f>#REF!</f>
        <v>#REF!</v>
      </c>
      <c r="G112" s="71" t="e">
        <f>#REF!</f>
        <v>#REF!</v>
      </c>
      <c r="H112" s="71" t="e">
        <f>#REF!</f>
        <v>#REF!</v>
      </c>
      <c r="I112" s="71" t="e">
        <f>#REF!</f>
        <v>#REF!</v>
      </c>
      <c r="J112" s="131" t="e">
        <f ca="1">#REF! + IF($F$1="Yes",#REF!*(OFFSET('Forecast Adjuster'!$A$60,0,J$282)*OFFSET('Forecast Adjuster'!$A$63,0,J$282)-1),0) + IF(OFFSET(Scenarios!$A$63,0,$C$1)="Yes",OFFSET(Scenarios!$A$65,0,$C$1)*J$144,0) + IF($I$1="Yes",SUM(J$300,J$301),0)</f>
        <v>#REF!</v>
      </c>
      <c r="K112" s="131" t="e">
        <f ca="1">#REF! + IF($F$1="Yes",#REF!*(OFFSET('Forecast Adjuster'!$A$60,0,K$282)*OFFSET('Forecast Adjuster'!$A$63,0,K$282)-1),0) + IF(OFFSET(Scenarios!$A$63,0,$C$1)="Yes",OFFSET(Scenarios!$A$65,0,$C$1)*K$144,0) + IF($I$1="Yes",SUM(K$300,K$301),0)</f>
        <v>#REF!</v>
      </c>
      <c r="L112" s="131" t="e">
        <f ca="1">#REF! + IF($F$1="Yes",#REF!*(OFFSET('Forecast Adjuster'!$A$60,0,L$282)*OFFSET('Forecast Adjuster'!$A$63,0,L$282)-1),0) + IF(OFFSET(Scenarios!$A$63,0,$C$1)="Yes",OFFSET(Scenarios!$A$65,0,$C$1)*L$144,0) + IF($I$1="Yes",SUM(L$300,L$301),0)</f>
        <v>#REF!</v>
      </c>
      <c r="M112" s="131" t="e">
        <f ca="1">#REF! + IF($F$1="Yes",#REF!*(OFFSET('Forecast Adjuster'!$A$60,0,M$282)*OFFSET('Forecast Adjuster'!$A$63,0,M$282)-1),0) + IF(OFFSET(Scenarios!$A$63,0,$C$1)="Yes",OFFSET(Scenarios!$A$65,0,$C$1)*M$144,0) + IF($I$1="Yes",SUM(M$300,M$301),0)</f>
        <v>#REF!</v>
      </c>
      <c r="N112" s="131" t="e">
        <f ca="1">#REF! + IF($F$1="Yes",#REF!*(OFFSET('Forecast Adjuster'!$A$60,0,N$282)*OFFSET('Forecast Adjuster'!$A$63,0,N$282)-1),0) + IF(OFFSET(Scenarios!$A$63,0,$C$1)="Yes",OFFSET(Scenarios!$A$65,0,$C$1)*N$144,0) + IF($I$1="Yes",SUM(N$300,N$301),0)</f>
        <v>#REF!</v>
      </c>
      <c r="O112" s="75" t="e">
        <f ca="1">SUM(O$111,(N$112-N$111)*(1+AVERAGE(Popn!O$196:O$198)))</f>
        <v>#REF!</v>
      </c>
      <c r="P112" s="75" t="e">
        <f ca="1">SUM(P$111,(O$112-O$111)*(1+AVERAGE(Popn!P$196:P$198)))</f>
        <v>#REF!</v>
      </c>
      <c r="Q112" s="75" t="e">
        <f ca="1">SUM(Q$111,(P$112-P$111)*(1+AVERAGE(Popn!Q$196:Q$198)))</f>
        <v>#REF!</v>
      </c>
      <c r="R112" s="75" t="e">
        <f ca="1">SUM(R$111,(Q$112-Q$111)*(1+AVERAGE(Popn!R$196:R$198)))</f>
        <v>#REF!</v>
      </c>
      <c r="S112" s="75" t="e">
        <f ca="1">SUM(S$111,(R$112-R$111)*(1+AVERAGE(Popn!S$196:S$198)))</f>
        <v>#REF!</v>
      </c>
      <c r="T112" s="75" t="e">
        <f ca="1">SUM(T$111,(S$112-S$111)*(1+AVERAGE(Popn!T$196:T$198)))</f>
        <v>#REF!</v>
      </c>
      <c r="U112" s="75" t="e">
        <f ca="1">SUM(U$111,(T$112-T$111)*(1+AVERAGE(Popn!U$196:U$198)))</f>
        <v>#REF!</v>
      </c>
      <c r="V112" s="75" t="e">
        <f ca="1">SUM(V$111,(U$112-U$111)*(1+AVERAGE(Popn!V$196:V$198)))</f>
        <v>#REF!</v>
      </c>
      <c r="W112" s="75" t="e">
        <f ca="1">SUM(W$111,(V$112-V$111)*(1+AVERAGE(Popn!W$196:W$198)))</f>
        <v>#REF!</v>
      </c>
      <c r="X112" s="75" t="e">
        <f ca="1">SUM(X$111,(W$112-W$111)*(1+AVERAGE(Popn!X$196:X$198)))</f>
        <v>#REF!</v>
      </c>
      <c r="Y112" s="36"/>
    </row>
    <row r="113" spans="1:25" x14ac:dyDescent="0.2">
      <c r="A113" s="27"/>
      <c r="B113" s="69"/>
      <c r="C113" s="69"/>
      <c r="D113" s="71"/>
      <c r="E113" s="71"/>
      <c r="F113" s="71"/>
      <c r="G113" s="71"/>
      <c r="H113" s="71"/>
      <c r="I113" s="131"/>
      <c r="J113" s="131"/>
      <c r="K113" s="131"/>
      <c r="L113" s="131"/>
      <c r="M113" s="131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36"/>
    </row>
    <row r="114" spans="1:25" x14ac:dyDescent="0.2">
      <c r="A114" s="108" t="s">
        <v>934</v>
      </c>
      <c r="B114" s="69"/>
      <c r="C114" s="69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36"/>
    </row>
    <row r="115" spans="1:25" x14ac:dyDescent="0.2">
      <c r="A115" s="27" t="s">
        <v>935</v>
      </c>
      <c r="B115" s="233"/>
      <c r="C115" s="69"/>
      <c r="D115" s="71" t="e">
        <f>#REF!</f>
        <v>#REF!</v>
      </c>
      <c r="E115" s="71" t="e">
        <f>#REF!</f>
        <v>#REF!</v>
      </c>
      <c r="F115" s="71" t="e">
        <f>#REF!</f>
        <v>#REF!</v>
      </c>
      <c r="G115" s="71" t="e">
        <f>#REF!</f>
        <v>#REF!</v>
      </c>
      <c r="H115" s="71" t="e">
        <f>#REF!</f>
        <v>#REF!</v>
      </c>
      <c r="I115" s="71" t="e">
        <f>#REF!</f>
        <v>#REF!</v>
      </c>
      <c r="J115" s="131" t="e">
        <f>#REF!</f>
        <v>#REF!</v>
      </c>
      <c r="K115" s="131" t="e">
        <f>#REF!</f>
        <v>#REF!</v>
      </c>
      <c r="L115" s="131" t="e">
        <f>#REF!</f>
        <v>#REF!</v>
      </c>
      <c r="M115" s="131" t="e">
        <f>#REF!</f>
        <v>#REF!</v>
      </c>
      <c r="N115" s="131" t="e">
        <f>#REF!</f>
        <v>#REF!</v>
      </c>
      <c r="O115" s="75" t="e">
        <f t="shared" ref="O115:X115" ca="1" si="59">N$115*O$50/N$50</f>
        <v>#REF!</v>
      </c>
      <c r="P115" s="75" t="e">
        <f t="shared" ca="1" si="59"/>
        <v>#REF!</v>
      </c>
      <c r="Q115" s="75" t="e">
        <f t="shared" ca="1" si="59"/>
        <v>#REF!</v>
      </c>
      <c r="R115" s="75" t="e">
        <f t="shared" ca="1" si="59"/>
        <v>#REF!</v>
      </c>
      <c r="S115" s="75" t="e">
        <f t="shared" ca="1" si="59"/>
        <v>#REF!</v>
      </c>
      <c r="T115" s="75" t="e">
        <f t="shared" ca="1" si="59"/>
        <v>#REF!</v>
      </c>
      <c r="U115" s="75" t="e">
        <f t="shared" ca="1" si="59"/>
        <v>#REF!</v>
      </c>
      <c r="V115" s="75" t="e">
        <f t="shared" ca="1" si="59"/>
        <v>#REF!</v>
      </c>
      <c r="W115" s="75" t="e">
        <f t="shared" ca="1" si="59"/>
        <v>#REF!</v>
      </c>
      <c r="X115" s="75" t="e">
        <f t="shared" ca="1" si="59"/>
        <v>#REF!</v>
      </c>
      <c r="Y115" s="36"/>
    </row>
    <row r="116" spans="1:25" x14ac:dyDescent="0.2">
      <c r="A116" s="27" t="s">
        <v>936</v>
      </c>
      <c r="B116" s="233"/>
      <c r="C116" s="69"/>
      <c r="D116" s="71" t="e">
        <f>#REF!</f>
        <v>#REF!</v>
      </c>
      <c r="E116" s="71" t="e">
        <f>#REF!</f>
        <v>#REF!</v>
      </c>
      <c r="F116" s="71" t="e">
        <f>#REF!</f>
        <v>#REF!</v>
      </c>
      <c r="G116" s="71" t="e">
        <f>#REF!</f>
        <v>#REF!</v>
      </c>
      <c r="H116" s="71" t="e">
        <f>#REF!</f>
        <v>#REF!</v>
      </c>
      <c r="I116" s="71" t="e">
        <f>#REF!</f>
        <v>#REF!</v>
      </c>
      <c r="J116" s="131" t="e">
        <f>#REF!</f>
        <v>#REF!</v>
      </c>
      <c r="K116" s="131" t="e">
        <f>#REF!</f>
        <v>#REF!</v>
      </c>
      <c r="L116" s="131" t="e">
        <f>#REF!</f>
        <v>#REF!</v>
      </c>
      <c r="M116" s="131" t="e">
        <f>#REF!</f>
        <v>#REF!</v>
      </c>
      <c r="N116" s="131" t="e">
        <f>#REF!</f>
        <v>#REF!</v>
      </c>
      <c r="O116" s="75" t="e">
        <f t="shared" ref="O116:X116" ca="1" si="60">SUM(O$115,(N$116-N$115)*(1+O$238))</f>
        <v>#REF!</v>
      </c>
      <c r="P116" s="75" t="e">
        <f t="shared" ca="1" si="60"/>
        <v>#REF!</v>
      </c>
      <c r="Q116" s="75" t="e">
        <f t="shared" ca="1" si="60"/>
        <v>#REF!</v>
      </c>
      <c r="R116" s="75" t="e">
        <f t="shared" ca="1" si="60"/>
        <v>#REF!</v>
      </c>
      <c r="S116" s="75" t="e">
        <f t="shared" ca="1" si="60"/>
        <v>#REF!</v>
      </c>
      <c r="T116" s="75" t="e">
        <f t="shared" ca="1" si="60"/>
        <v>#REF!</v>
      </c>
      <c r="U116" s="75" t="e">
        <f t="shared" ca="1" si="60"/>
        <v>#REF!</v>
      </c>
      <c r="V116" s="75" t="e">
        <f t="shared" ca="1" si="60"/>
        <v>#REF!</v>
      </c>
      <c r="W116" s="75" t="e">
        <f t="shared" ca="1" si="60"/>
        <v>#REF!</v>
      </c>
      <c r="X116" s="75" t="e">
        <f t="shared" ca="1" si="60"/>
        <v>#REF!</v>
      </c>
      <c r="Y116" s="36"/>
    </row>
    <row r="117" spans="1:25" x14ac:dyDescent="0.2">
      <c r="A117" s="27"/>
      <c r="B117" s="102"/>
      <c r="C117" s="69"/>
      <c r="D117" s="71"/>
      <c r="E117" s="71"/>
      <c r="F117" s="71"/>
      <c r="G117" s="71"/>
      <c r="H117" s="71"/>
      <c r="I117" s="71"/>
      <c r="J117" s="131"/>
      <c r="K117" s="131"/>
      <c r="L117" s="131"/>
      <c r="M117" s="131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36"/>
    </row>
    <row r="118" spans="1:25" x14ac:dyDescent="0.2">
      <c r="A118" s="108" t="s">
        <v>937</v>
      </c>
      <c r="B118" s="102"/>
      <c r="C118" s="69"/>
      <c r="D118" s="71"/>
      <c r="E118" s="71"/>
      <c r="F118" s="71"/>
      <c r="G118" s="71"/>
      <c r="H118" s="71"/>
      <c r="I118" s="71"/>
      <c r="J118" s="131"/>
      <c r="K118" s="131"/>
      <c r="L118" s="131"/>
      <c r="M118" s="131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36"/>
    </row>
    <row r="119" spans="1:25" x14ac:dyDescent="0.2">
      <c r="A119" s="31" t="s">
        <v>165</v>
      </c>
      <c r="B119" s="233"/>
      <c r="C119" s="69"/>
      <c r="D119" s="69" t="e">
        <f>#REF!</f>
        <v>#REF!</v>
      </c>
      <c r="E119" s="69" t="e">
        <f>#REF!</f>
        <v>#REF!</v>
      </c>
      <c r="F119" s="69" t="e">
        <f>#REF!</f>
        <v>#REF!</v>
      </c>
      <c r="G119" s="69" t="e">
        <f>#REF!</f>
        <v>#REF!</v>
      </c>
      <c r="H119" s="69" t="e">
        <f>#REF!</f>
        <v>#REF!</v>
      </c>
      <c r="I119" s="69" t="e">
        <f>#REF!</f>
        <v>#REF!</v>
      </c>
      <c r="J119" s="272" t="e">
        <f>#REF! + IF($I$1="Yes",J$302,0)</f>
        <v>#REF!</v>
      </c>
      <c r="K119" s="272" t="e">
        <f>#REF! + IF($I$1="Yes",K$302,0)</f>
        <v>#REF!</v>
      </c>
      <c r="L119" s="272" t="e">
        <f>#REF! + IF($I$1="Yes",L$302,0)</f>
        <v>#REF!</v>
      </c>
      <c r="M119" s="272" t="e">
        <f>#REF! + IF($I$1="Yes",M$302,0)</f>
        <v>#REF!</v>
      </c>
      <c r="N119" s="272" t="e">
        <f>#REF! + IF($I$1="Yes",N$302,0)</f>
        <v>#REF!</v>
      </c>
      <c r="O119" s="73" t="e">
        <f>#REF!/1000</f>
        <v>#REF!</v>
      </c>
      <c r="P119" s="73" t="e">
        <f>#REF!/1000</f>
        <v>#REF!</v>
      </c>
      <c r="Q119" s="73" t="e">
        <f>#REF!/1000</f>
        <v>#REF!</v>
      </c>
      <c r="R119" s="73" t="e">
        <f>#REF!/1000</f>
        <v>#REF!</v>
      </c>
      <c r="S119" s="73" t="e">
        <f>#REF!/1000</f>
        <v>#REF!</v>
      </c>
      <c r="T119" s="224" t="e">
        <f ca="1">S$119*(1+T$238)</f>
        <v>#REF!</v>
      </c>
      <c r="U119" s="100" t="e">
        <f ca="1">T$119*(1+U$238)</f>
        <v>#REF!</v>
      </c>
      <c r="V119" s="100" t="e">
        <f ca="1">U$119*(1+V$238)</f>
        <v>#REF!</v>
      </c>
      <c r="W119" s="100" t="e">
        <f ca="1">V$119*(1+W$238)</f>
        <v>#REF!</v>
      </c>
      <c r="X119" s="100" t="e">
        <f ca="1">W$119*(1+X$238)</f>
        <v>#REF!</v>
      </c>
      <c r="Y119" s="36"/>
    </row>
    <row r="120" spans="1:25" x14ac:dyDescent="0.2">
      <c r="A120" s="31" t="s">
        <v>938</v>
      </c>
      <c r="B120" s="102"/>
      <c r="C120" s="69"/>
      <c r="D120" s="176" t="e">
        <f>D$121-D$119</f>
        <v>#REF!</v>
      </c>
      <c r="E120" s="176" t="e">
        <f t="shared" ref="E120:N120" si="61">E$121-E$119</f>
        <v>#REF!</v>
      </c>
      <c r="F120" s="176" t="e">
        <f t="shared" si="61"/>
        <v>#REF!</v>
      </c>
      <c r="G120" s="176" t="e">
        <f t="shared" si="61"/>
        <v>#REF!</v>
      </c>
      <c r="H120" s="176" t="e">
        <f t="shared" si="61"/>
        <v>#REF!</v>
      </c>
      <c r="I120" s="176" t="e">
        <f t="shared" si="61"/>
        <v>#REF!</v>
      </c>
      <c r="J120" s="130" t="e">
        <f t="shared" ca="1" si="61"/>
        <v>#REF!</v>
      </c>
      <c r="K120" s="130" t="e">
        <f t="shared" ca="1" si="61"/>
        <v>#REF!</v>
      </c>
      <c r="L120" s="130" t="e">
        <f t="shared" ca="1" si="61"/>
        <v>#REF!</v>
      </c>
      <c r="M120" s="130" t="e">
        <f t="shared" ca="1" si="61"/>
        <v>#REF!</v>
      </c>
      <c r="N120" s="130" t="e">
        <f t="shared" ca="1" si="61"/>
        <v>#REF!</v>
      </c>
      <c r="O120" s="278" t="e">
        <f ca="1">N$120 +IF(OFFSET(Scenarios!$A$63,0,$C$1)="Yes",(O$144-N$144)*OFFSET(Scenarios!$A$70,0,$C$1),0)</f>
        <v>#REF!</v>
      </c>
      <c r="P120" s="278" t="e">
        <f ca="1">O$120 +IF(OFFSET(Scenarios!$A$63,0,$C$1)="Yes",(P$144-O$144)*OFFSET(Scenarios!$A$70,0,$C$1),0)</f>
        <v>#REF!</v>
      </c>
      <c r="Q120" s="278" t="e">
        <f ca="1">P$120 +IF(OFFSET(Scenarios!$A$63,0,$C$1)="Yes",(Q$144-P$144)*OFFSET(Scenarios!$A$70,0,$C$1),0)</f>
        <v>#REF!</v>
      </c>
      <c r="R120" s="278" t="e">
        <f ca="1">Q$120 +IF(OFFSET(Scenarios!$A$63,0,$C$1)="Yes",(R$144-Q$144)*OFFSET(Scenarios!$A$70,0,$C$1),0)</f>
        <v>#REF!</v>
      </c>
      <c r="S120" s="278" t="e">
        <f ca="1">R$120 +IF(OFFSET(Scenarios!$A$63,0,$C$1)="Yes",(S$144-R$144)*OFFSET(Scenarios!$A$70,0,$C$1),0)</f>
        <v>#REF!</v>
      </c>
      <c r="T120" s="278" t="e">
        <f ca="1">S$120 +IF(OFFSET(Scenarios!$A$63,0,$C$1)="Yes",(T$144-S$144)*OFFSET(Scenarios!$A$70,0,$C$1),0)</f>
        <v>#REF!</v>
      </c>
      <c r="U120" s="278" t="e">
        <f ca="1">T$120 +IF(OFFSET(Scenarios!$A$63,0,$C$1)="Yes",(U$144-T$144)*OFFSET(Scenarios!$A$70,0,$C$1),0)</f>
        <v>#REF!</v>
      </c>
      <c r="V120" s="278" t="e">
        <f ca="1">U$120 +IF(OFFSET(Scenarios!$A$63,0,$C$1)="Yes",(V$144-U$144)*OFFSET(Scenarios!$A$70,0,$C$1),0)</f>
        <v>#REF!</v>
      </c>
      <c r="W120" s="278" t="e">
        <f ca="1">V$120 +IF(OFFSET(Scenarios!$A$63,0,$C$1)="Yes",(W$144-V$144)*OFFSET(Scenarios!$A$70,0,$C$1),0)</f>
        <v>#REF!</v>
      </c>
      <c r="X120" s="278" t="e">
        <f ca="1">W$120 +IF(OFFSET(Scenarios!$A$63,0,$C$1)="Yes",(X$144-W$144)*OFFSET(Scenarios!$A$70,0,$C$1),0)</f>
        <v>#REF!</v>
      </c>
      <c r="Y120" s="36"/>
    </row>
    <row r="121" spans="1:25" x14ac:dyDescent="0.2">
      <c r="A121" s="27" t="s">
        <v>939</v>
      </c>
      <c r="B121" s="233"/>
      <c r="C121" s="69"/>
      <c r="D121" s="71" t="e">
        <f>#REF!</f>
        <v>#REF!</v>
      </c>
      <c r="E121" s="71" t="e">
        <f>#REF!</f>
        <v>#REF!</v>
      </c>
      <c r="F121" s="71" t="e">
        <f>#REF!</f>
        <v>#REF!</v>
      </c>
      <c r="G121" s="71" t="e">
        <f>#REF!</f>
        <v>#REF!</v>
      </c>
      <c r="H121" s="71" t="e">
        <f>#REF!</f>
        <v>#REF!</v>
      </c>
      <c r="I121" s="71" t="e">
        <f>#REF!</f>
        <v>#REF!</v>
      </c>
      <c r="J121" s="131" t="e">
        <f ca="1">#REF!*IF($F$1="Yes",OFFSET('Forecast Adjuster'!$A$60,0,J$282)*OFFSET('Forecast Adjuster'!$A$63,0,J$282),1) + IF(OFFSET(Scenarios!$A$63,0,$C$1)="Yes",OFFSET(Scenarios!$A$70,0,$C$1)*J$144,0) + IF($I$1="Yes",J$302,0)</f>
        <v>#REF!</v>
      </c>
      <c r="K121" s="131" t="e">
        <f ca="1">#REF!*IF($F$1="Yes",OFFSET('Forecast Adjuster'!$A$60,0,K$282)*OFFSET('Forecast Adjuster'!$A$63,0,K$282),1) + IF(OFFSET(Scenarios!$A$63,0,$C$1)="Yes",OFFSET(Scenarios!$A$70,0,$C$1)*K$144,0) + IF($I$1="Yes",K$302,0)</f>
        <v>#REF!</v>
      </c>
      <c r="L121" s="131" t="e">
        <f ca="1">#REF!*IF($F$1="Yes",OFFSET('Forecast Adjuster'!$A$60,0,L$282)*OFFSET('Forecast Adjuster'!$A$63,0,L$282),1) + IF(OFFSET(Scenarios!$A$63,0,$C$1)="Yes",OFFSET(Scenarios!$A$70,0,$C$1)*L$144,0) + IF($I$1="Yes",L$302,0)</f>
        <v>#REF!</v>
      </c>
      <c r="M121" s="131" t="e">
        <f ca="1">#REF!*IF($F$1="Yes",OFFSET('Forecast Adjuster'!$A$60,0,M$282)*OFFSET('Forecast Adjuster'!$A$63,0,M$282),1) + IF(OFFSET(Scenarios!$A$63,0,$C$1)="Yes",OFFSET(Scenarios!$A$70,0,$C$1)*M$144,0) + IF($I$1="Yes",M$302,0)</f>
        <v>#REF!</v>
      </c>
      <c r="N121" s="131" t="e">
        <f ca="1">#REF!*IF($F$1="Yes",OFFSET('Forecast Adjuster'!$A$60,0,N$282)*OFFSET('Forecast Adjuster'!$A$63,0,N$282),1) + IF(OFFSET(Scenarios!$A$63,0,$C$1)="Yes",OFFSET(Scenarios!$A$70,0,$C$1)*N$144,0) + IF($I$1="Yes",N$302,0)</f>
        <v>#REF!</v>
      </c>
      <c r="O121" s="75" t="e">
        <f t="shared" ref="O121:X121" si="62">SUM(O$119:O$120)</f>
        <v>#REF!</v>
      </c>
      <c r="P121" s="75" t="e">
        <f t="shared" si="62"/>
        <v>#REF!</v>
      </c>
      <c r="Q121" s="75" t="e">
        <f t="shared" si="62"/>
        <v>#REF!</v>
      </c>
      <c r="R121" s="75" t="e">
        <f t="shared" si="62"/>
        <v>#REF!</v>
      </c>
      <c r="S121" s="75" t="e">
        <f t="shared" si="62"/>
        <v>#REF!</v>
      </c>
      <c r="T121" s="75" t="e">
        <f t="shared" ca="1" si="62"/>
        <v>#REF!</v>
      </c>
      <c r="U121" s="75" t="e">
        <f t="shared" ca="1" si="62"/>
        <v>#REF!</v>
      </c>
      <c r="V121" s="75" t="e">
        <f t="shared" ca="1" si="62"/>
        <v>#REF!</v>
      </c>
      <c r="W121" s="75" t="e">
        <f t="shared" ca="1" si="62"/>
        <v>#REF!</v>
      </c>
      <c r="X121" s="75" t="e">
        <f t="shared" ca="1" si="62"/>
        <v>#REF!</v>
      </c>
      <c r="Y121" s="36"/>
    </row>
    <row r="122" spans="1:25" x14ac:dyDescent="0.2">
      <c r="A122" s="27" t="s">
        <v>940</v>
      </c>
      <c r="B122" s="233"/>
      <c r="C122" s="69"/>
      <c r="D122" s="71" t="e">
        <f>#REF!</f>
        <v>#REF!</v>
      </c>
      <c r="E122" s="71" t="e">
        <f>#REF!</f>
        <v>#REF!</v>
      </c>
      <c r="F122" s="71" t="e">
        <f>#REF!</f>
        <v>#REF!</v>
      </c>
      <c r="G122" s="71" t="e">
        <f>#REF!</f>
        <v>#REF!</v>
      </c>
      <c r="H122" s="71" t="e">
        <f>#REF!</f>
        <v>#REF!</v>
      </c>
      <c r="I122" s="71" t="e">
        <f>#REF!</f>
        <v>#REF!</v>
      </c>
      <c r="J122" s="131" t="e">
        <f ca="1">#REF! + IF($F$1="Yes",#REF!*(OFFSET('Forecast Adjuster'!$A$60,0,J$282)*OFFSET('Forecast Adjuster'!$A$63,0,J$282)-1),0) + IF(OFFSET(Scenarios!$A$63,0,$C$1)="Yes",OFFSET(Scenarios!$A$70,0,$C$1)*J$144,0) + IF($I$1="Yes",J$302,0)</f>
        <v>#REF!</v>
      </c>
      <c r="K122" s="131" t="e">
        <f ca="1">#REF! + IF($F$1="Yes",#REF!*(OFFSET('Forecast Adjuster'!$A$60,0,K$282)*OFFSET('Forecast Adjuster'!$A$63,0,K$282)-1),0) + IF(OFFSET(Scenarios!$A$63,0,$C$1)="Yes",OFFSET(Scenarios!$A$70,0,$C$1)*K$144,0) + IF($I$1="Yes",K$302,0)</f>
        <v>#REF!</v>
      </c>
      <c r="L122" s="131" t="e">
        <f ca="1">#REF! + IF($F$1="Yes",#REF!*(OFFSET('Forecast Adjuster'!$A$60,0,L$282)*OFFSET('Forecast Adjuster'!$A$63,0,L$282)-1),0) + IF(OFFSET(Scenarios!$A$63,0,$C$1)="Yes",OFFSET(Scenarios!$A$70,0,$C$1)*L$144,0) + IF($I$1="Yes",L$302,0)</f>
        <v>#REF!</v>
      </c>
      <c r="M122" s="131" t="e">
        <f ca="1">#REF! + IF($F$1="Yes",#REF!*(OFFSET('Forecast Adjuster'!$A$60,0,M$282)*OFFSET('Forecast Adjuster'!$A$63,0,M$282)-1),0) + IF(OFFSET(Scenarios!$A$63,0,$C$1)="Yes",OFFSET(Scenarios!$A$70,0,$C$1)*M$144,0) + IF($I$1="Yes",M$302,0)</f>
        <v>#REF!</v>
      </c>
      <c r="N122" s="131" t="e">
        <f ca="1">#REF! + IF($F$1="Yes",#REF!*(OFFSET('Forecast Adjuster'!$A$60,0,N$282)*OFFSET('Forecast Adjuster'!$A$63,0,N$282)-1),0) + IF(OFFSET(Scenarios!$A$63,0,$C$1)="Yes",OFFSET(Scenarios!$A$70,0,$C$1)*N$144,0) + IF($I$1="Yes",N$302,0)</f>
        <v>#REF!</v>
      </c>
      <c r="O122" s="75" t="e">
        <f t="shared" ref="O122:X122" ca="1" si="63">SUM(O$121,(N$122-N$121)*(1+O$238))</f>
        <v>#REF!</v>
      </c>
      <c r="P122" s="75" t="e">
        <f t="shared" ca="1" si="63"/>
        <v>#REF!</v>
      </c>
      <c r="Q122" s="75" t="e">
        <f t="shared" ca="1" si="63"/>
        <v>#REF!</v>
      </c>
      <c r="R122" s="75" t="e">
        <f t="shared" ca="1" si="63"/>
        <v>#REF!</v>
      </c>
      <c r="S122" s="75" t="e">
        <f t="shared" ca="1" si="63"/>
        <v>#REF!</v>
      </c>
      <c r="T122" s="75" t="e">
        <f t="shared" ca="1" si="63"/>
        <v>#REF!</v>
      </c>
      <c r="U122" s="75" t="e">
        <f t="shared" ca="1" si="63"/>
        <v>#REF!</v>
      </c>
      <c r="V122" s="75" t="e">
        <f t="shared" ca="1" si="63"/>
        <v>#REF!</v>
      </c>
      <c r="W122" s="75" t="e">
        <f t="shared" ca="1" si="63"/>
        <v>#REF!</v>
      </c>
      <c r="X122" s="75" t="e">
        <f t="shared" ca="1" si="63"/>
        <v>#REF!</v>
      </c>
      <c r="Y122" s="36"/>
    </row>
    <row r="123" spans="1:25" x14ac:dyDescent="0.2">
      <c r="A123" s="27"/>
      <c r="B123" s="69"/>
      <c r="C123" s="69"/>
      <c r="D123" s="71"/>
      <c r="E123" s="71"/>
      <c r="F123" s="71"/>
      <c r="G123" s="71"/>
      <c r="H123" s="71"/>
      <c r="I123" s="131"/>
      <c r="J123" s="131"/>
      <c r="K123" s="131"/>
      <c r="L123" s="131"/>
      <c r="M123" s="131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36"/>
    </row>
    <row r="124" spans="1:25" x14ac:dyDescent="0.2">
      <c r="A124" s="108" t="s">
        <v>941</v>
      </c>
      <c r="B124" s="69"/>
      <c r="C124" s="69"/>
      <c r="D124" s="71"/>
      <c r="E124" s="71"/>
      <c r="F124" s="71"/>
      <c r="G124" s="71"/>
      <c r="H124" s="71"/>
      <c r="I124" s="131"/>
      <c r="J124" s="131"/>
      <c r="K124" s="131"/>
      <c r="L124" s="131"/>
      <c r="M124" s="131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36"/>
    </row>
    <row r="125" spans="1:25" x14ac:dyDescent="0.2">
      <c r="A125" s="31" t="s">
        <v>942</v>
      </c>
      <c r="B125" s="233"/>
      <c r="C125" s="69"/>
      <c r="D125" s="69" t="e">
        <f>D$212</f>
        <v>#REF!</v>
      </c>
      <c r="E125" s="69" t="e">
        <f t="shared" ref="E125:X125" si="64">E$212</f>
        <v>#REF!</v>
      </c>
      <c r="F125" s="69" t="e">
        <f t="shared" si="64"/>
        <v>#REF!</v>
      </c>
      <c r="G125" s="69" t="e">
        <f t="shared" si="64"/>
        <v>#REF!</v>
      </c>
      <c r="H125" s="69" t="e">
        <f t="shared" si="64"/>
        <v>#REF!</v>
      </c>
      <c r="I125" s="69" t="e">
        <f t="shared" si="64"/>
        <v>#REF!</v>
      </c>
      <c r="J125" s="125" t="e">
        <f t="shared" si="64"/>
        <v>#REF!</v>
      </c>
      <c r="K125" s="125" t="e">
        <f t="shared" si="64"/>
        <v>#REF!</v>
      </c>
      <c r="L125" s="125" t="e">
        <f t="shared" si="64"/>
        <v>#REF!</v>
      </c>
      <c r="M125" s="125" t="e">
        <f t="shared" si="64"/>
        <v>#REF!</v>
      </c>
      <c r="N125" s="125" t="e">
        <f t="shared" si="64"/>
        <v>#REF!</v>
      </c>
      <c r="O125" s="73" t="e">
        <f t="shared" ca="1" si="64"/>
        <v>#REF!</v>
      </c>
      <c r="P125" s="73" t="e">
        <f t="shared" ca="1" si="64"/>
        <v>#REF!</v>
      </c>
      <c r="Q125" s="73" t="e">
        <f t="shared" ca="1" si="64"/>
        <v>#REF!</v>
      </c>
      <c r="R125" s="73" t="e">
        <f t="shared" ca="1" si="64"/>
        <v>#REF!</v>
      </c>
      <c r="S125" s="73" t="e">
        <f t="shared" ca="1" si="64"/>
        <v>#REF!</v>
      </c>
      <c r="T125" s="73" t="e">
        <f t="shared" ca="1" si="64"/>
        <v>#REF!</v>
      </c>
      <c r="U125" s="73" t="e">
        <f t="shared" ca="1" si="64"/>
        <v>#REF!</v>
      </c>
      <c r="V125" s="73" t="e">
        <f t="shared" ca="1" si="64"/>
        <v>#REF!</v>
      </c>
      <c r="W125" s="73" t="e">
        <f t="shared" ca="1" si="64"/>
        <v>#REF!</v>
      </c>
      <c r="X125" s="73" t="e">
        <f t="shared" ca="1" si="64"/>
        <v>#REF!</v>
      </c>
      <c r="Y125" s="36"/>
    </row>
    <row r="126" spans="1:25" x14ac:dyDescent="0.2">
      <c r="A126" s="31" t="s">
        <v>973</v>
      </c>
      <c r="B126" s="69"/>
      <c r="C126" s="69"/>
      <c r="D126" s="176" t="e">
        <f>D$127-D$125</f>
        <v>#REF!</v>
      </c>
      <c r="E126" s="176" t="e">
        <f>E$127-E$125</f>
        <v>#REF!</v>
      </c>
      <c r="F126" s="176" t="e">
        <f t="shared" ref="F126:N126" si="65">F$127-F$125</f>
        <v>#REF!</v>
      </c>
      <c r="G126" s="176" t="e">
        <f t="shared" si="65"/>
        <v>#REF!</v>
      </c>
      <c r="H126" s="176" t="e">
        <f t="shared" si="65"/>
        <v>#REF!</v>
      </c>
      <c r="I126" s="176" t="e">
        <f t="shared" si="65"/>
        <v>#REF!</v>
      </c>
      <c r="J126" s="130" t="e">
        <f t="shared" ca="1" si="65"/>
        <v>#REF!</v>
      </c>
      <c r="K126" s="130" t="e">
        <f t="shared" ca="1" si="65"/>
        <v>#REF!</v>
      </c>
      <c r="L126" s="130" t="e">
        <f t="shared" ca="1" si="65"/>
        <v>#REF!</v>
      </c>
      <c r="M126" s="130" t="e">
        <f t="shared" ca="1" si="65"/>
        <v>#REF!</v>
      </c>
      <c r="N126" s="130" t="e">
        <f t="shared" ca="1" si="65"/>
        <v>#REF!</v>
      </c>
      <c r="O126" s="278" t="e">
        <f ca="1">N$126 +IF(OFFSET(Scenarios!$A$63,0,$C$1)="Yes",(O$144-N$144)*OFFSET(Scenarios!$A$73,0,$C$1),0)</f>
        <v>#REF!</v>
      </c>
      <c r="P126" s="278" t="e">
        <f ca="1">O$126 +IF(OFFSET(Scenarios!$A$63,0,$C$1)="Yes",(P$144-O$144)*OFFSET(Scenarios!$A$73,0,$C$1),0)</f>
        <v>#REF!</v>
      </c>
      <c r="Q126" s="278" t="e">
        <f ca="1">P$126 +IF(OFFSET(Scenarios!$A$63,0,$C$1)="Yes",(Q$144-P$144)*OFFSET(Scenarios!$A$73,0,$C$1),0)</f>
        <v>#REF!</v>
      </c>
      <c r="R126" s="278" t="e">
        <f ca="1">Q$126 +IF(OFFSET(Scenarios!$A$63,0,$C$1)="Yes",(R$144-Q$144)*OFFSET(Scenarios!$A$73,0,$C$1),0)</f>
        <v>#REF!</v>
      </c>
      <c r="S126" s="278" t="e">
        <f ca="1">R$126 +IF(OFFSET(Scenarios!$A$63,0,$C$1)="Yes",(S$144-R$144)*OFFSET(Scenarios!$A$73,0,$C$1),0)</f>
        <v>#REF!</v>
      </c>
      <c r="T126" s="278" t="e">
        <f ca="1">S$126 +IF(OFFSET(Scenarios!$A$63,0,$C$1)="Yes",(T$144-S$144)*OFFSET(Scenarios!$A$73,0,$C$1),0)</f>
        <v>#REF!</v>
      </c>
      <c r="U126" s="278" t="e">
        <f ca="1">T$126 +IF(OFFSET(Scenarios!$A$63,0,$C$1)="Yes",(U$144-T$144)*OFFSET(Scenarios!$A$73,0,$C$1),0)</f>
        <v>#REF!</v>
      </c>
      <c r="V126" s="278" t="e">
        <f ca="1">U$126 +IF(OFFSET(Scenarios!$A$63,0,$C$1)="Yes",(V$144-U$144)*OFFSET(Scenarios!$A$73,0,$C$1),0)</f>
        <v>#REF!</v>
      </c>
      <c r="W126" s="278" t="e">
        <f ca="1">V$126 +IF(OFFSET(Scenarios!$A$63,0,$C$1)="Yes",(W$144-V$144)*OFFSET(Scenarios!$A$73,0,$C$1),0)</f>
        <v>#REF!</v>
      </c>
      <c r="X126" s="278" t="e">
        <f ca="1">W$126 +IF(OFFSET(Scenarios!$A$63,0,$C$1)="Yes",(X$144-W$144)*OFFSET(Scenarios!$A$73,0,$C$1),0)</f>
        <v>#REF!</v>
      </c>
      <c r="Y126" s="36"/>
    </row>
    <row r="127" spans="1:25" x14ac:dyDescent="0.2">
      <c r="A127" s="27" t="s">
        <v>947</v>
      </c>
      <c r="B127" s="233"/>
      <c r="C127" s="69"/>
      <c r="D127" s="71" t="e">
        <f>#REF!</f>
        <v>#REF!</v>
      </c>
      <c r="E127" s="71" t="e">
        <f>#REF!</f>
        <v>#REF!</v>
      </c>
      <c r="F127" s="71" t="e">
        <f>#REF!</f>
        <v>#REF!</v>
      </c>
      <c r="G127" s="71" t="e">
        <f>#REF!</f>
        <v>#REF!</v>
      </c>
      <c r="H127" s="71" t="e">
        <f>#REF!</f>
        <v>#REF!</v>
      </c>
      <c r="I127" s="71" t="e">
        <f>#REF!</f>
        <v>#REF!</v>
      </c>
      <c r="J127" s="131" t="e">
        <f ca="1">#REF!*IF($F$1="Yes",OFFSET('Forecast Adjuster'!$A$60,0,J$282)*OFFSET('Forecast Adjuster'!$A$63,0,J$282),1) + IF(OFFSET(Scenarios!$A$63,0,$C$1)="Yes",OFFSET(Scenarios!$A$73,0,$C$1)*J$144,0)</f>
        <v>#REF!</v>
      </c>
      <c r="K127" s="131" t="e">
        <f ca="1">#REF!*IF($F$1="Yes",OFFSET('Forecast Adjuster'!$A$60,0,K$282)*OFFSET('Forecast Adjuster'!$A$63,0,K$282),1) + IF(OFFSET(Scenarios!$A$63,0,$C$1)="Yes",OFFSET(Scenarios!$A$73,0,$C$1)*K$144,0)</f>
        <v>#REF!</v>
      </c>
      <c r="L127" s="131" t="e">
        <f ca="1">#REF!*IF($F$1="Yes",OFFSET('Forecast Adjuster'!$A$60,0,L$282)*OFFSET('Forecast Adjuster'!$A$63,0,L$282),1) + IF(OFFSET(Scenarios!$A$63,0,$C$1)="Yes",OFFSET(Scenarios!$A$73,0,$C$1)*L$144,0)</f>
        <v>#REF!</v>
      </c>
      <c r="M127" s="131" t="e">
        <f ca="1">#REF!*IF($F$1="Yes",OFFSET('Forecast Adjuster'!$A$60,0,M$282)*OFFSET('Forecast Adjuster'!$A$63,0,M$282),1) + IF(OFFSET(Scenarios!$A$63,0,$C$1)="Yes",OFFSET(Scenarios!$A$73,0,$C$1)*M$144,0)</f>
        <v>#REF!</v>
      </c>
      <c r="N127" s="131" t="e">
        <f ca="1">#REF!*IF($F$1="Yes",OFFSET('Forecast Adjuster'!$A$60,0,N$282)*OFFSET('Forecast Adjuster'!$A$63,0,N$282),1) + IF(OFFSET(Scenarios!$A$63,0,$C$1)="Yes",OFFSET(Scenarios!$A$73,0,$C$1)*N$144,0)</f>
        <v>#REF!</v>
      </c>
      <c r="O127" s="75" t="e">
        <f t="shared" ref="O127:X127" ca="1" si="66">SUM(O$125:O$126)</f>
        <v>#REF!</v>
      </c>
      <c r="P127" s="75" t="e">
        <f t="shared" ca="1" si="66"/>
        <v>#REF!</v>
      </c>
      <c r="Q127" s="75" t="e">
        <f t="shared" ca="1" si="66"/>
        <v>#REF!</v>
      </c>
      <c r="R127" s="75" t="e">
        <f t="shared" ca="1" si="66"/>
        <v>#REF!</v>
      </c>
      <c r="S127" s="75" t="e">
        <f t="shared" ca="1" si="66"/>
        <v>#REF!</v>
      </c>
      <c r="T127" s="75" t="e">
        <f t="shared" ca="1" si="66"/>
        <v>#REF!</v>
      </c>
      <c r="U127" s="75" t="e">
        <f t="shared" ca="1" si="66"/>
        <v>#REF!</v>
      </c>
      <c r="V127" s="75" t="e">
        <f t="shared" ca="1" si="66"/>
        <v>#REF!</v>
      </c>
      <c r="W127" s="75" t="e">
        <f t="shared" ca="1" si="66"/>
        <v>#REF!</v>
      </c>
      <c r="X127" s="75" t="e">
        <f t="shared" ca="1" si="66"/>
        <v>#REF!</v>
      </c>
      <c r="Y127" s="36"/>
    </row>
    <row r="128" spans="1:25" x14ac:dyDescent="0.2">
      <c r="A128" s="27" t="s">
        <v>948</v>
      </c>
      <c r="B128" s="233"/>
      <c r="C128" s="69"/>
      <c r="D128" s="71" t="e">
        <f>#REF!</f>
        <v>#REF!</v>
      </c>
      <c r="E128" s="71" t="e">
        <f>#REF!</f>
        <v>#REF!</v>
      </c>
      <c r="F128" s="71" t="e">
        <f>#REF!</f>
        <v>#REF!</v>
      </c>
      <c r="G128" s="71" t="e">
        <f>#REF!</f>
        <v>#REF!</v>
      </c>
      <c r="H128" s="71" t="e">
        <f>#REF!</f>
        <v>#REF!</v>
      </c>
      <c r="I128" s="71" t="e">
        <f>#REF!</f>
        <v>#REF!</v>
      </c>
      <c r="J128" s="131" t="e">
        <f ca="1">#REF! + IF($F$1="Yes",#REF!*(OFFSET('Forecast Adjuster'!$A$60,0,J$282)*OFFSET('Forecast Adjuster'!$A$63,0,J$282)-1),0) + IF(OFFSET(Scenarios!$A$63,0,$C$1)="Yes",OFFSET(Scenarios!$A$73,0,$C$1)*J$144,0)</f>
        <v>#REF!</v>
      </c>
      <c r="K128" s="131" t="e">
        <f ca="1">#REF! + IF($F$1="Yes",#REF!*(OFFSET('Forecast Adjuster'!$A$60,0,K$282)*OFFSET('Forecast Adjuster'!$A$63,0,K$282)-1),0) + IF(OFFSET(Scenarios!$A$63,0,$C$1)="Yes",OFFSET(Scenarios!$A$73,0,$C$1)*K$144,0)</f>
        <v>#REF!</v>
      </c>
      <c r="L128" s="131" t="e">
        <f ca="1">#REF! + IF($F$1="Yes",#REF!*(OFFSET('Forecast Adjuster'!$A$60,0,L$282)*OFFSET('Forecast Adjuster'!$A$63,0,L$282)-1),0) + IF(OFFSET(Scenarios!$A$63,0,$C$1)="Yes",OFFSET(Scenarios!$A$73,0,$C$1)*L$144,0)</f>
        <v>#REF!</v>
      </c>
      <c r="M128" s="131" t="e">
        <f ca="1">#REF! + IF($F$1="Yes",#REF!*(OFFSET('Forecast Adjuster'!$A$60,0,M$282)*OFFSET('Forecast Adjuster'!$A$63,0,M$282)-1),0) + IF(OFFSET(Scenarios!$A$63,0,$C$1)="Yes",OFFSET(Scenarios!$A$73,0,$C$1)*M$144,0)</f>
        <v>#REF!</v>
      </c>
      <c r="N128" s="131" t="e">
        <f ca="1">#REF! + IF($F$1="Yes",#REF!*(OFFSET('Forecast Adjuster'!$A$60,0,N$282)*OFFSET('Forecast Adjuster'!$A$63,0,N$282)-1),0) + IF(OFFSET(Scenarios!$A$63,0,$C$1)="Yes",OFFSET(Scenarios!$A$73,0,$C$1)*N$144,0)</f>
        <v>#REF!</v>
      </c>
      <c r="O128" s="75" t="e">
        <f t="shared" ref="O128:X128" ca="1" si="67">SUM(O$127,(N$128-N$127)*(1+O$238))</f>
        <v>#REF!</v>
      </c>
      <c r="P128" s="75" t="e">
        <f t="shared" ca="1" si="67"/>
        <v>#REF!</v>
      </c>
      <c r="Q128" s="75" t="e">
        <f t="shared" ca="1" si="67"/>
        <v>#REF!</v>
      </c>
      <c r="R128" s="75" t="e">
        <f t="shared" ca="1" si="67"/>
        <v>#REF!</v>
      </c>
      <c r="S128" s="75" t="e">
        <f t="shared" ca="1" si="67"/>
        <v>#REF!</v>
      </c>
      <c r="T128" s="75" t="e">
        <f t="shared" ca="1" si="67"/>
        <v>#REF!</v>
      </c>
      <c r="U128" s="75" t="e">
        <f t="shared" ca="1" si="67"/>
        <v>#REF!</v>
      </c>
      <c r="V128" s="75" t="e">
        <f t="shared" ca="1" si="67"/>
        <v>#REF!</v>
      </c>
      <c r="W128" s="75" t="e">
        <f t="shared" ca="1" si="67"/>
        <v>#REF!</v>
      </c>
      <c r="X128" s="75" t="e">
        <f t="shared" ca="1" si="67"/>
        <v>#REF!</v>
      </c>
      <c r="Y128" s="36"/>
    </row>
    <row r="129" spans="1:25" x14ac:dyDescent="0.2">
      <c r="A129" s="27"/>
      <c r="B129" s="102"/>
      <c r="C129" s="69"/>
      <c r="D129" s="11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36"/>
    </row>
    <row r="130" spans="1:25" x14ac:dyDescent="0.2">
      <c r="A130" s="108" t="s">
        <v>943</v>
      </c>
      <c r="C130" s="69"/>
      <c r="D130" s="69"/>
      <c r="E130" s="69"/>
      <c r="F130" s="69"/>
      <c r="G130" s="73"/>
      <c r="H130" s="73"/>
      <c r="I130" s="73"/>
      <c r="J130" s="73"/>
      <c r="Y130" s="36"/>
    </row>
    <row r="131" spans="1:25" x14ac:dyDescent="0.2">
      <c r="A131" s="160" t="s">
        <v>944</v>
      </c>
      <c r="B131" s="233"/>
      <c r="C131" s="69"/>
      <c r="D131" s="69" t="e">
        <f>#REF!</f>
        <v>#REF!</v>
      </c>
      <c r="E131" s="69" t="e">
        <f>#REF!</f>
        <v>#REF!</v>
      </c>
      <c r="F131" s="69" t="e">
        <f>#REF!</f>
        <v>#REF!</v>
      </c>
      <c r="G131" s="69" t="e">
        <f>#REF!</f>
        <v>#REF!</v>
      </c>
      <c r="H131" s="69" t="e">
        <f>#REF!</f>
        <v>#REF!</v>
      </c>
      <c r="I131" s="69" t="e">
        <f>#REF!</f>
        <v>#REF!</v>
      </c>
      <c r="J131" s="125" t="e">
        <f ca="1">#REF!*IF($F$1="Yes",OFFSET('Forecast Adjuster'!$A$60,0,J$282)*OFFSET('Forecast Adjuster'!$A$63,0,J$282),1) + IF(OFFSET(Scenarios!$A$63,0,$C$1)="Yes",OFFSET(Scenarios!$A$67,0,$C$1)*J$144,0)</f>
        <v>#REF!</v>
      </c>
      <c r="K131" s="125" t="e">
        <f ca="1">#REF!*IF($F$1="Yes",OFFSET('Forecast Adjuster'!$A$60,0,K$282)*OFFSET('Forecast Adjuster'!$A$63,0,K$282),1) + IF(OFFSET(Scenarios!$A$63,0,$C$1)="Yes",OFFSET(Scenarios!$A$67,0,$C$1)*K$144,0)</f>
        <v>#REF!</v>
      </c>
      <c r="L131" s="125" t="e">
        <f ca="1">#REF!*IF($F$1="Yes",OFFSET('Forecast Adjuster'!$A$60,0,L$282)*OFFSET('Forecast Adjuster'!$A$63,0,L$282),1) + IF(OFFSET(Scenarios!$A$63,0,$C$1)="Yes",OFFSET(Scenarios!$A$67,0,$C$1)*L$144,0)</f>
        <v>#REF!</v>
      </c>
      <c r="M131" s="125" t="e">
        <f ca="1">#REF!*IF($F$1="Yes",OFFSET('Forecast Adjuster'!$A$60,0,M$282)*OFFSET('Forecast Adjuster'!$A$63,0,M$282),1) + IF(OFFSET(Scenarios!$A$63,0,$C$1)="Yes",OFFSET(Scenarios!$A$67,0,$C$1)*M$144,0)</f>
        <v>#REF!</v>
      </c>
      <c r="N131" s="125" t="e">
        <f ca="1">#REF!*IF($F$1="Yes",OFFSET('Forecast Adjuster'!$A$60,0,N$282)*OFFSET('Forecast Adjuster'!$A$63,0,N$282),1) + IF(OFFSET(Scenarios!$A$63,0,$C$1)="Yes",OFFSET(Scenarios!$A$67,0,$C$1)*N$144,0)</f>
        <v>#REF!</v>
      </c>
      <c r="O131" s="73" t="e">
        <f ca="1">N$131 +IF(OFFSET(Scenarios!$A$63,0,$C$1)="Yes",(O$144-N$144)*OFFSET(Scenarios!$A$67,0,$C$1),0)</f>
        <v>#REF!</v>
      </c>
      <c r="P131" s="73" t="e">
        <f ca="1">O$131 +IF(OFFSET(Scenarios!$A$63,0,$C$1)="Yes",(P$144-O$144)*OFFSET(Scenarios!$A$67,0,$C$1),0)</f>
        <v>#REF!</v>
      </c>
      <c r="Q131" s="73" t="e">
        <f ca="1">P$131 +IF(OFFSET(Scenarios!$A$63,0,$C$1)="Yes",(Q$144-P$144)*OFFSET(Scenarios!$A$67,0,$C$1),0)</f>
        <v>#REF!</v>
      </c>
      <c r="R131" s="73" t="e">
        <f ca="1">Q$131 +IF(OFFSET(Scenarios!$A$63,0,$C$1)="Yes",(R$144-Q$144)*OFFSET(Scenarios!$A$67,0,$C$1),0)</f>
        <v>#REF!</v>
      </c>
      <c r="S131" s="73" t="e">
        <f ca="1">R$131 +IF(OFFSET(Scenarios!$A$63,0,$C$1)="Yes",(S$144-R$144)*OFFSET(Scenarios!$A$67,0,$C$1),0)</f>
        <v>#REF!</v>
      </c>
      <c r="T131" s="73" t="e">
        <f ca="1">S$131 +IF(OFFSET(Scenarios!$A$63,0,$C$1)="Yes",(T$144-S$144)*OFFSET(Scenarios!$A$67,0,$C$1),0)</f>
        <v>#REF!</v>
      </c>
      <c r="U131" s="73" t="e">
        <f ca="1">T$131 +IF(OFFSET(Scenarios!$A$63,0,$C$1)="Yes",(U$144-T$144)*OFFSET(Scenarios!$A$67,0,$C$1),0)</f>
        <v>#REF!</v>
      </c>
      <c r="V131" s="73" t="e">
        <f ca="1">U$131 +IF(OFFSET(Scenarios!$A$63,0,$C$1)="Yes",(V$144-U$144)*OFFSET(Scenarios!$A$67,0,$C$1),0)</f>
        <v>#REF!</v>
      </c>
      <c r="W131" s="73" t="e">
        <f ca="1">V$131 +IF(OFFSET(Scenarios!$A$63,0,$C$1)="Yes",(W$144-V$144)*OFFSET(Scenarios!$A$67,0,$C$1),0)</f>
        <v>#REF!</v>
      </c>
      <c r="X131" s="73" t="e">
        <f ca="1">W$131 +IF(OFFSET(Scenarios!$A$63,0,$C$1)="Yes",(X$144-W$144)*OFFSET(Scenarios!$A$67,0,$C$1),0)</f>
        <v>#REF!</v>
      </c>
      <c r="Y131" s="36"/>
    </row>
    <row r="132" spans="1:25" x14ac:dyDescent="0.2">
      <c r="A132" s="68" t="s">
        <v>361</v>
      </c>
      <c r="B132" s="233"/>
      <c r="C132" s="69"/>
      <c r="D132" s="69" t="e">
        <f>#REF!</f>
        <v>#REF!</v>
      </c>
      <c r="E132" s="69" t="e">
        <f>#REF!</f>
        <v>#REF!</v>
      </c>
      <c r="F132" s="69" t="e">
        <f>#REF!</f>
        <v>#REF!</v>
      </c>
      <c r="G132" s="69" t="e">
        <f>#REF!</f>
        <v>#REF!</v>
      </c>
      <c r="H132" s="69" t="e">
        <f>#REF!</f>
        <v>#REF!</v>
      </c>
      <c r="I132" s="69" t="e">
        <f>#REF!</f>
        <v>#REF!</v>
      </c>
      <c r="J132" s="125" t="e">
        <f ca="1">#REF!*IF($F$1="Yes",OFFSET('Forecast Adjuster'!$A$60,0,J$282)*OFFSET('Forecast Adjuster'!$A$63,0,J$282),1) + IF(OFFSET(Scenarios!$A$63,0,$C$1)="Yes",OFFSET(Scenarios!$A$68,0,$C$1)*J$144,0)</f>
        <v>#REF!</v>
      </c>
      <c r="K132" s="125" t="e">
        <f ca="1">#REF!*IF($F$1="Yes",OFFSET('Forecast Adjuster'!$A$60,0,K$282)*OFFSET('Forecast Adjuster'!$A$63,0,K$282),1) + IF(OFFSET(Scenarios!$A$63,0,$C$1)="Yes",OFFSET(Scenarios!$A$68,0,$C$1)*K$144,0)</f>
        <v>#REF!</v>
      </c>
      <c r="L132" s="125" t="e">
        <f ca="1">#REF!*IF($F$1="Yes",OFFSET('Forecast Adjuster'!$A$60,0,L$282)*OFFSET('Forecast Adjuster'!$A$63,0,L$282),1) + IF(OFFSET(Scenarios!$A$63,0,$C$1)="Yes",OFFSET(Scenarios!$A$68,0,$C$1)*L$144,0)</f>
        <v>#REF!</v>
      </c>
      <c r="M132" s="125" t="e">
        <f ca="1">#REF!*IF($F$1="Yes",OFFSET('Forecast Adjuster'!$A$60,0,M$282)*OFFSET('Forecast Adjuster'!$A$63,0,M$282),1) + IF(OFFSET(Scenarios!$A$63,0,$C$1)="Yes",OFFSET(Scenarios!$A$68,0,$C$1)*M$144,0)</f>
        <v>#REF!</v>
      </c>
      <c r="N132" s="125" t="e">
        <f ca="1">#REF!*IF($F$1="Yes",OFFSET('Forecast Adjuster'!$A$60,0,N$282)*OFFSET('Forecast Adjuster'!$A$63,0,N$282),1) + IF(OFFSET(Scenarios!$A$63,0,$C$1)="Yes",OFFSET(Scenarios!$A$68,0,$C$1)*N$144,0)</f>
        <v>#REF!</v>
      </c>
      <c r="O132" s="73" t="e">
        <f ca="1">N$132 +IF(OFFSET(Scenarios!$A$63,0,$C$1)="Yes",(O$144-N$144)*OFFSET(Scenarios!$A$68,0,$C$1),0)</f>
        <v>#REF!</v>
      </c>
      <c r="P132" s="73" t="e">
        <f ca="1">O$132 +IF(OFFSET(Scenarios!$A$63,0,$C$1)="Yes",(P$144-O$144)*OFFSET(Scenarios!$A$68,0,$C$1),0)</f>
        <v>#REF!</v>
      </c>
      <c r="Q132" s="73" t="e">
        <f ca="1">P$132 +IF(OFFSET(Scenarios!$A$63,0,$C$1)="Yes",(Q$144-P$144)*OFFSET(Scenarios!$A$68,0,$C$1),0)</f>
        <v>#REF!</v>
      </c>
      <c r="R132" s="73" t="e">
        <f ca="1">Q$132 +IF(OFFSET(Scenarios!$A$63,0,$C$1)="Yes",(R$144-Q$144)*OFFSET(Scenarios!$A$68,0,$C$1),0)</f>
        <v>#REF!</v>
      </c>
      <c r="S132" s="73" t="e">
        <f ca="1">R$132 +IF(OFFSET(Scenarios!$A$63,0,$C$1)="Yes",(S$144-R$144)*OFFSET(Scenarios!$A$68,0,$C$1),0)</f>
        <v>#REF!</v>
      </c>
      <c r="T132" s="73" t="e">
        <f ca="1">S$132 +IF(OFFSET(Scenarios!$A$63,0,$C$1)="Yes",(T$144-S$144)*OFFSET(Scenarios!$A$68,0,$C$1),0)</f>
        <v>#REF!</v>
      </c>
      <c r="U132" s="73" t="e">
        <f ca="1">T$132 +IF(OFFSET(Scenarios!$A$63,0,$C$1)="Yes",(U$144-T$144)*OFFSET(Scenarios!$A$68,0,$C$1),0)</f>
        <v>#REF!</v>
      </c>
      <c r="V132" s="73" t="e">
        <f ca="1">U$132 +IF(OFFSET(Scenarios!$A$63,0,$C$1)="Yes",(V$144-U$144)*OFFSET(Scenarios!$A$68,0,$C$1),0)</f>
        <v>#REF!</v>
      </c>
      <c r="W132" s="73" t="e">
        <f ca="1">V$132 +IF(OFFSET(Scenarios!$A$63,0,$C$1)="Yes",(W$144-V$144)*OFFSET(Scenarios!$A$68,0,$C$1),0)</f>
        <v>#REF!</v>
      </c>
      <c r="X132" s="73" t="e">
        <f ca="1">W$132 +IF(OFFSET(Scenarios!$A$63,0,$C$1)="Yes",(X$144-W$144)*OFFSET(Scenarios!$A$68,0,$C$1),0)</f>
        <v>#REF!</v>
      </c>
      <c r="Y132" s="36"/>
    </row>
    <row r="133" spans="1:25" x14ac:dyDescent="0.2">
      <c r="A133" s="68" t="s">
        <v>436</v>
      </c>
      <c r="B133" s="233"/>
      <c r="C133" s="69"/>
      <c r="D133" s="69" t="e">
        <f>#REF!</f>
        <v>#REF!</v>
      </c>
      <c r="E133" s="69" t="e">
        <f>#REF!</f>
        <v>#REF!</v>
      </c>
      <c r="F133" s="69" t="e">
        <f>#REF!</f>
        <v>#REF!</v>
      </c>
      <c r="G133" s="69" t="e">
        <f>#REF!</f>
        <v>#REF!</v>
      </c>
      <c r="H133" s="69" t="e">
        <f>#REF!</f>
        <v>#REF!</v>
      </c>
      <c r="I133" s="69" t="e">
        <f>#REF!</f>
        <v>#REF!</v>
      </c>
      <c r="J133" s="125" t="e">
        <f ca="1">#REF!*IF($F$1="Yes",OFFSET('Forecast Adjuster'!$A$60,0,J$282)*OFFSET('Forecast Adjuster'!$A$63,0,J$282),1) + IF(OFFSET(Scenarios!$A$63,0,$C$1)="Yes",OFFSET(Scenarios!$A$69,0,$C$1)*J$144,0)</f>
        <v>#REF!</v>
      </c>
      <c r="K133" s="125" t="e">
        <f ca="1">#REF!*IF($F$1="Yes",OFFSET('Forecast Adjuster'!$A$60,0,K$282)*OFFSET('Forecast Adjuster'!$A$63,0,K$282),1) + IF(OFFSET(Scenarios!$A$63,0,$C$1)="Yes",OFFSET(Scenarios!$A$69,0,$C$1)*K$144,0)</f>
        <v>#REF!</v>
      </c>
      <c r="L133" s="125" t="e">
        <f ca="1">#REF!*IF($F$1="Yes",OFFSET('Forecast Adjuster'!$A$60,0,L$282)*OFFSET('Forecast Adjuster'!$A$63,0,L$282),1) + IF(OFFSET(Scenarios!$A$63,0,$C$1)="Yes",OFFSET(Scenarios!$A$69,0,$C$1)*L$144,0)</f>
        <v>#REF!</v>
      </c>
      <c r="M133" s="125" t="e">
        <f ca="1">#REF!*IF($F$1="Yes",OFFSET('Forecast Adjuster'!$A$60,0,M$282)*OFFSET('Forecast Adjuster'!$A$63,0,M$282),1) + IF(OFFSET(Scenarios!$A$63,0,$C$1)="Yes",OFFSET(Scenarios!$A$69,0,$C$1)*M$144,0)</f>
        <v>#REF!</v>
      </c>
      <c r="N133" s="125" t="e">
        <f ca="1">#REF!*IF($F$1="Yes",OFFSET('Forecast Adjuster'!$A$60,0,N$282)*OFFSET('Forecast Adjuster'!$A$63,0,N$282),1) + IF(OFFSET(Scenarios!$A$63,0,$C$1)="Yes",OFFSET(Scenarios!$A$69,0,$C$1)*N$144,0)</f>
        <v>#REF!</v>
      </c>
      <c r="O133" s="224" t="e">
        <f ca="1">N$133 +IF(OFFSET(Scenarios!$A$63,0,$C$1)="Yes",(O$144-N$144)*OFFSET(Scenarios!$A$69,0,$C$1),0) -0.2</f>
        <v>#REF!</v>
      </c>
      <c r="P133" s="73" t="e">
        <f ca="1">O$133 +IF(OFFSET(Scenarios!$A$63,0,$C$1)="Yes",(P$144-O$144)*OFFSET(Scenarios!$A$69,0,$C$1),0)</f>
        <v>#REF!</v>
      </c>
      <c r="Q133" s="73" t="e">
        <f ca="1">P$133 +IF(OFFSET(Scenarios!$A$63,0,$C$1)="Yes",(Q$144-P$144)*OFFSET(Scenarios!$A$69,0,$C$1),0)</f>
        <v>#REF!</v>
      </c>
      <c r="R133" s="73" t="e">
        <f ca="1">Q$133 +IF(OFFSET(Scenarios!$A$63,0,$C$1)="Yes",(R$144-Q$144)*OFFSET(Scenarios!$A$69,0,$C$1),0)</f>
        <v>#REF!</v>
      </c>
      <c r="S133" s="73" t="e">
        <f ca="1">R$133 +IF(OFFSET(Scenarios!$A$63,0,$C$1)="Yes",(S$144-R$144)*OFFSET(Scenarios!$A$69,0,$C$1),0)</f>
        <v>#REF!</v>
      </c>
      <c r="T133" s="73" t="e">
        <f ca="1">S$133 +IF(OFFSET(Scenarios!$A$63,0,$C$1)="Yes",(T$144-S$144)*OFFSET(Scenarios!$A$69,0,$C$1),0)</f>
        <v>#REF!</v>
      </c>
      <c r="U133" s="73" t="e">
        <f ca="1">T$133 +IF(OFFSET(Scenarios!$A$63,0,$C$1)="Yes",(U$144-T$144)*OFFSET(Scenarios!$A$69,0,$C$1),0)</f>
        <v>#REF!</v>
      </c>
      <c r="V133" s="73" t="e">
        <f ca="1">U$133 +IF(OFFSET(Scenarios!$A$63,0,$C$1)="Yes",(V$144-U$144)*OFFSET(Scenarios!$A$69,0,$C$1),0)</f>
        <v>#REF!</v>
      </c>
      <c r="W133" s="73" t="e">
        <f ca="1">V$133 +IF(OFFSET(Scenarios!$A$63,0,$C$1)="Yes",(W$144-V$144)*OFFSET(Scenarios!$A$69,0,$C$1),0)</f>
        <v>#REF!</v>
      </c>
      <c r="X133" s="73" t="e">
        <f ca="1">W$133 +IF(OFFSET(Scenarios!$A$63,0,$C$1)="Yes",(X$144-W$144)*OFFSET(Scenarios!$A$69,0,$C$1),0)</f>
        <v>#REF!</v>
      </c>
      <c r="Y133" s="36"/>
    </row>
    <row r="134" spans="1:25" x14ac:dyDescent="0.2">
      <c r="A134" s="68" t="s">
        <v>945</v>
      </c>
      <c r="B134" s="233"/>
      <c r="C134" s="69"/>
      <c r="D134" s="69" t="e">
        <f>#REF!</f>
        <v>#REF!</v>
      </c>
      <c r="E134" s="69" t="e">
        <f>#REF!</f>
        <v>#REF!</v>
      </c>
      <c r="F134" s="69" t="e">
        <f>#REF!</f>
        <v>#REF!</v>
      </c>
      <c r="G134" s="69" t="e">
        <f>#REF!</f>
        <v>#REF!</v>
      </c>
      <c r="H134" s="69" t="e">
        <f>#REF!</f>
        <v>#REF!</v>
      </c>
      <c r="I134" s="69" t="e">
        <f>#REF!</f>
        <v>#REF!</v>
      </c>
      <c r="J134" s="125" t="e">
        <f ca="1">#REF!*IF($F$1="Yes",OFFSET('Forecast Adjuster'!$A$60,0,J$282)*OFFSET('Forecast Adjuster'!$A$63,0,J$282),1) + IF(OFFSET(Scenarios!$A$63,0,$C$1)="Yes",OFFSET(Scenarios!$A$71,0,$C$1)*J$144,0)</f>
        <v>#REF!</v>
      </c>
      <c r="K134" s="125" t="e">
        <f ca="1">#REF!*IF($F$1="Yes",OFFSET('Forecast Adjuster'!$A$60,0,K$282)*OFFSET('Forecast Adjuster'!$A$63,0,K$282),1) + IF(OFFSET(Scenarios!$A$63,0,$C$1)="Yes",OFFSET(Scenarios!$A$71,0,$C$1)*K$144,0)</f>
        <v>#REF!</v>
      </c>
      <c r="L134" s="125" t="e">
        <f ca="1">#REF!*IF($F$1="Yes",OFFSET('Forecast Adjuster'!$A$60,0,L$282)*OFFSET('Forecast Adjuster'!$A$63,0,L$282),1) + IF(OFFSET(Scenarios!$A$63,0,$C$1)="Yes",OFFSET(Scenarios!$A$71,0,$C$1)*L$144,0)</f>
        <v>#REF!</v>
      </c>
      <c r="M134" s="125" t="e">
        <f ca="1">#REF!*IF($F$1="Yes",OFFSET('Forecast Adjuster'!$A$60,0,M$282)*OFFSET('Forecast Adjuster'!$A$63,0,M$282),1) + IF(OFFSET(Scenarios!$A$63,0,$C$1)="Yes",OFFSET(Scenarios!$A$71,0,$C$1)*M$144,0)</f>
        <v>#REF!</v>
      </c>
      <c r="N134" s="125" t="e">
        <f ca="1">#REF!*IF($F$1="Yes",OFFSET('Forecast Adjuster'!$A$60,0,N$282)*OFFSET('Forecast Adjuster'!$A$63,0,N$282),1) + IF(OFFSET(Scenarios!$A$63,0,$C$1)="Yes",OFFSET(Scenarios!$A$71,0,$C$1)*N$144,0)</f>
        <v>#REF!</v>
      </c>
      <c r="O134" s="73" t="e">
        <f ca="1">N$134 +IF(OFFSET(Scenarios!$A$63,0,$C$1)="Yes",(O$144-N$144)*OFFSET(Scenarios!$A$71,0,$C$1),0)</f>
        <v>#REF!</v>
      </c>
      <c r="P134" s="73" t="e">
        <f ca="1">O$134 +IF(OFFSET(Scenarios!$A$63,0,$C$1)="Yes",(P$144-O$144)*OFFSET(Scenarios!$A$71,0,$C$1),0)</f>
        <v>#REF!</v>
      </c>
      <c r="Q134" s="73" t="e">
        <f ca="1">P$134 +IF(OFFSET(Scenarios!$A$63,0,$C$1)="Yes",(Q$144-P$144)*OFFSET(Scenarios!$A$71,0,$C$1),0)</f>
        <v>#REF!</v>
      </c>
      <c r="R134" s="73" t="e">
        <f ca="1">Q$134 +IF(OFFSET(Scenarios!$A$63,0,$C$1)="Yes",(R$144-Q$144)*OFFSET(Scenarios!$A$71,0,$C$1),0)</f>
        <v>#REF!</v>
      </c>
      <c r="S134" s="73" t="e">
        <f ca="1">R$134 +IF(OFFSET(Scenarios!$A$63,0,$C$1)="Yes",(S$144-R$144)*OFFSET(Scenarios!$A$71,0,$C$1),0)</f>
        <v>#REF!</v>
      </c>
      <c r="T134" s="73" t="e">
        <f ca="1">S$134 +IF(OFFSET(Scenarios!$A$63,0,$C$1)="Yes",(T$144-S$144)*OFFSET(Scenarios!$A$71,0,$C$1),0)</f>
        <v>#REF!</v>
      </c>
      <c r="U134" s="73" t="e">
        <f ca="1">T$134 +IF(OFFSET(Scenarios!$A$63,0,$C$1)="Yes",(U$144-T$144)*OFFSET(Scenarios!$A$71,0,$C$1),0)</f>
        <v>#REF!</v>
      </c>
      <c r="V134" s="73" t="e">
        <f ca="1">U$134 +IF(OFFSET(Scenarios!$A$63,0,$C$1)="Yes",(V$144-U$144)*OFFSET(Scenarios!$A$71,0,$C$1),0)</f>
        <v>#REF!</v>
      </c>
      <c r="W134" s="73" t="e">
        <f ca="1">V$134 +IF(OFFSET(Scenarios!$A$63,0,$C$1)="Yes",(W$144-V$144)*OFFSET(Scenarios!$A$71,0,$C$1),0)</f>
        <v>#REF!</v>
      </c>
      <c r="X134" s="73" t="e">
        <f ca="1">W$134 +IF(OFFSET(Scenarios!$A$63,0,$C$1)="Yes",(X$144-W$144)*OFFSET(Scenarios!$A$71,0,$C$1),0)</f>
        <v>#REF!</v>
      </c>
      <c r="Y134" s="36"/>
    </row>
    <row r="135" spans="1:25" x14ac:dyDescent="0.2">
      <c r="A135" s="160" t="s">
        <v>1021</v>
      </c>
      <c r="B135" s="233"/>
      <c r="C135" s="69"/>
      <c r="D135" s="176" t="e">
        <f>SUM(#REF!)</f>
        <v>#REF!</v>
      </c>
      <c r="E135" s="176" t="e">
        <f>SUM(#REF!)</f>
        <v>#REF!</v>
      </c>
      <c r="F135" s="176" t="e">
        <f>SUM(#REF!)</f>
        <v>#REF!</v>
      </c>
      <c r="G135" s="176" t="e">
        <f>SUM(#REF!)</f>
        <v>#REF!</v>
      </c>
      <c r="H135" s="176" t="e">
        <f>SUM(#REF!)</f>
        <v>#REF!</v>
      </c>
      <c r="I135" s="176" t="e">
        <f>SUM(#REF!)</f>
        <v>#REF!</v>
      </c>
      <c r="J135" s="130" t="e">
        <f ca="1">SUM(#REF!)*IF($F$1="Yes",OFFSET('Forecast Adjuster'!$A$60,0,J$282)*OFFSET('Forecast Adjuster'!$A$63,0,J$282),1)  + IF(OFFSET(Scenarios!$A$63,0,$C$1)="Yes",(1-SUM(OFFSET(Scenarios!$A$64,0,$C$1,9,1)))*J$144,0) + IF($I$1="Yes",J$303,0)</f>
        <v>#REF!</v>
      </c>
      <c r="K135" s="130" t="e">
        <f ca="1">SUM(#REF!)*IF($F$1="Yes",OFFSET('Forecast Adjuster'!$A$60,0,K$282)*OFFSET('Forecast Adjuster'!$A$63,0,K$282),1)  + IF(OFFSET(Scenarios!$A$63,0,$C$1)="Yes",(1-SUM(OFFSET(Scenarios!$A$64,0,$C$1,9,1)))*K$144,0) + IF($I$1="Yes",K$303,0)</f>
        <v>#REF!</v>
      </c>
      <c r="L135" s="130" t="e">
        <f ca="1">SUM(#REF!)*IF($F$1="Yes",OFFSET('Forecast Adjuster'!$A$60,0,L$282)*OFFSET('Forecast Adjuster'!$A$63,0,L$282),1)  + IF(OFFSET(Scenarios!$A$63,0,$C$1)="Yes",(1-SUM(OFFSET(Scenarios!$A$64,0,$C$1,9,1)))*L$144,0) + IF($I$1="Yes",L$303,0)</f>
        <v>#REF!</v>
      </c>
      <c r="M135" s="130" t="e">
        <f ca="1">SUM(#REF!)*IF($F$1="Yes",OFFSET('Forecast Adjuster'!$A$60,0,M$282)*OFFSET('Forecast Adjuster'!$A$63,0,M$282),1)  + IF(OFFSET(Scenarios!$A$63,0,$C$1)="Yes",(1-SUM(OFFSET(Scenarios!$A$64,0,$C$1,9,1)))*M$144,0) + IF($I$1="Yes",M$303,0)</f>
        <v>#REF!</v>
      </c>
      <c r="N135" s="130" t="e">
        <f ca="1">SUM(#REF!)*IF($F$1="Yes",OFFSET('Forecast Adjuster'!$A$60,0,N$282)*OFFSET('Forecast Adjuster'!$A$63,0,N$282),1)  + IF(OFFSET(Scenarios!$A$63,0,$C$1)="Yes",(1-SUM(OFFSET(Scenarios!$A$64,0,$C$1,9,1)))*N$144,0) + IF($I$1="Yes",N$303,0)</f>
        <v>#REF!</v>
      </c>
      <c r="O135" s="81" t="e">
        <f ca="1">N$135 +IF(OFFSET(Scenarios!$A$63,0,$C$1)="Yes",(O$144-N$144)*(1-SUM(OFFSET(Scenarios!$A$64,0,$C$1,9,1))),0)</f>
        <v>#REF!</v>
      </c>
      <c r="P135" s="241" t="e">
        <f ca="1">O$135 +IF(OFFSET(Scenarios!$A$63,0,$C$1)="Yes",(P$144-O$144)*(1-SUM(OFFSET(Scenarios!$A$64,0,$C$1,9,1))),0)-0.545</f>
        <v>#REF!</v>
      </c>
      <c r="Q135" s="81" t="e">
        <f ca="1">P$135 +IF(OFFSET(Scenarios!$A$63,0,$C$1)="Yes",(Q$144-P$144)*(1-SUM(OFFSET(Scenarios!$A$64,0,$C$1,9,1))),0)</f>
        <v>#REF!</v>
      </c>
      <c r="R135" s="81" t="e">
        <f ca="1">Q$135 +IF(OFFSET(Scenarios!$A$63,0,$C$1)="Yes",(R$144-Q$144)*(1-SUM(OFFSET(Scenarios!$A$64,0,$C$1,9,1))),0)</f>
        <v>#REF!</v>
      </c>
      <c r="S135" s="81" t="e">
        <f ca="1">R$135 +IF(OFFSET(Scenarios!$A$63,0,$C$1)="Yes",(S$144-R$144)*(1-SUM(OFFSET(Scenarios!$A$64,0,$C$1,9,1))),0)</f>
        <v>#REF!</v>
      </c>
      <c r="T135" s="81" t="e">
        <f ca="1">S$135 +IF(OFFSET(Scenarios!$A$63,0,$C$1)="Yes",(T$144-S$144)*(1-SUM(OFFSET(Scenarios!$A$64,0,$C$1,9,1))),0)</f>
        <v>#REF!</v>
      </c>
      <c r="U135" s="81" t="e">
        <f ca="1">T$135 +IF(OFFSET(Scenarios!$A$63,0,$C$1)="Yes",(U$144-T$144)*(1-SUM(OFFSET(Scenarios!$A$64,0,$C$1,9,1))),0)</f>
        <v>#REF!</v>
      </c>
      <c r="V135" s="81" t="e">
        <f ca="1">U$135 +IF(OFFSET(Scenarios!$A$63,0,$C$1)="Yes",(V$144-U$144)*(1-SUM(OFFSET(Scenarios!$A$64,0,$C$1,9,1))),0)</f>
        <v>#REF!</v>
      </c>
      <c r="W135" s="81" t="e">
        <f ca="1">V$135 +IF(OFFSET(Scenarios!$A$63,0,$C$1)="Yes",(W$144-V$144)*(1-SUM(OFFSET(Scenarios!$A$64,0,$C$1,9,1))),0)</f>
        <v>#REF!</v>
      </c>
      <c r="X135" s="81" t="e">
        <f ca="1">W$135 +IF(OFFSET(Scenarios!$A$63,0,$C$1)="Yes",(X$144-W$144)*(1-SUM(OFFSET(Scenarios!$A$64,0,$C$1,9,1))),0)</f>
        <v>#REF!</v>
      </c>
      <c r="Y135" s="36"/>
    </row>
    <row r="136" spans="1:25" x14ac:dyDescent="0.2">
      <c r="A136" s="27" t="s">
        <v>145</v>
      </c>
      <c r="B136" s="36"/>
      <c r="C136" s="69"/>
      <c r="D136" s="71" t="e">
        <f>SUM(D$131:D$135)</f>
        <v>#REF!</v>
      </c>
      <c r="E136" s="71" t="e">
        <f t="shared" ref="E136:X136" si="68">SUM(E$131:E$135)</f>
        <v>#REF!</v>
      </c>
      <c r="F136" s="71" t="e">
        <f t="shared" si="68"/>
        <v>#REF!</v>
      </c>
      <c r="G136" s="71" t="e">
        <f t="shared" si="68"/>
        <v>#REF!</v>
      </c>
      <c r="H136" s="71" t="e">
        <f t="shared" si="68"/>
        <v>#REF!</v>
      </c>
      <c r="I136" s="71" t="e">
        <f t="shared" si="68"/>
        <v>#REF!</v>
      </c>
      <c r="J136" s="131" t="e">
        <f t="shared" ca="1" si="68"/>
        <v>#REF!</v>
      </c>
      <c r="K136" s="131" t="e">
        <f t="shared" ca="1" si="68"/>
        <v>#REF!</v>
      </c>
      <c r="L136" s="131" t="e">
        <f t="shared" ca="1" si="68"/>
        <v>#REF!</v>
      </c>
      <c r="M136" s="131" t="e">
        <f t="shared" ca="1" si="68"/>
        <v>#REF!</v>
      </c>
      <c r="N136" s="131" t="e">
        <f t="shared" ca="1" si="68"/>
        <v>#REF!</v>
      </c>
      <c r="O136" s="75" t="e">
        <f t="shared" ca="1" si="68"/>
        <v>#REF!</v>
      </c>
      <c r="P136" s="75" t="e">
        <f t="shared" ca="1" si="68"/>
        <v>#REF!</v>
      </c>
      <c r="Q136" s="75" t="e">
        <f t="shared" ca="1" si="68"/>
        <v>#REF!</v>
      </c>
      <c r="R136" s="75" t="e">
        <f t="shared" ca="1" si="68"/>
        <v>#REF!</v>
      </c>
      <c r="S136" s="75" t="e">
        <f t="shared" ca="1" si="68"/>
        <v>#REF!</v>
      </c>
      <c r="T136" s="75" t="e">
        <f t="shared" ca="1" si="68"/>
        <v>#REF!</v>
      </c>
      <c r="U136" s="75" t="e">
        <f t="shared" ca="1" si="68"/>
        <v>#REF!</v>
      </c>
      <c r="V136" s="75" t="e">
        <f t="shared" ca="1" si="68"/>
        <v>#REF!</v>
      </c>
      <c r="W136" s="75" t="e">
        <f t="shared" ca="1" si="68"/>
        <v>#REF!</v>
      </c>
      <c r="X136" s="75" t="e">
        <f t="shared" ca="1" si="68"/>
        <v>#REF!</v>
      </c>
      <c r="Y136" s="36"/>
    </row>
    <row r="137" spans="1:25" x14ac:dyDescent="0.2">
      <c r="A137" s="27" t="s">
        <v>418</v>
      </c>
      <c r="B137" s="233"/>
      <c r="C137" s="69"/>
      <c r="D137" s="71" t="e">
        <f>SUM(#REF!,#REF!,#REF!)</f>
        <v>#REF!</v>
      </c>
      <c r="E137" s="71" t="e">
        <f>SUM(#REF!,#REF!,#REF!)</f>
        <v>#REF!</v>
      </c>
      <c r="F137" s="71" t="e">
        <f>SUM(#REF!,#REF!,#REF!)</f>
        <v>#REF!</v>
      </c>
      <c r="G137" s="71" t="e">
        <f>SUM(#REF!,#REF!,#REF!)</f>
        <v>#REF!</v>
      </c>
      <c r="H137" s="71" t="e">
        <f>SUM(#REF!,#REF!,#REF!)</f>
        <v>#REF!</v>
      </c>
      <c r="I137" s="71" t="e">
        <f>SUM(#REF!,#REF!,#REF!)</f>
        <v>#REF!</v>
      </c>
      <c r="J137" s="131" t="e">
        <f ca="1">SUM(#REF!,#REF!,#REF!) + IF($F$1="Yes",SUM(#REF!,#REF!,#REF!)*(OFFSET('Forecast Adjuster'!$A$60,0,J$282)*OFFSET('Forecast Adjuster'!$A$63,0,J$282)-1),0) + IF(OFFSET(Scenarios!$A$63,0,$C$1)="Yes",(1-SUM(OFFSET(Scenarios!$A$64,0,$C$1,3,1),OFFSET(Scenarios!$A$70,0,$C$1),OFFSET(Scenarios!$A$73,0,$C$1,2,1)))*J$144,0) + IF($I$1="Yes",J$303,0)</f>
        <v>#REF!</v>
      </c>
      <c r="K137" s="131" t="e">
        <f ca="1">SUM(#REF!,#REF!,#REF!) + IF($F$1="Yes",SUM(#REF!,#REF!,#REF!)*(OFFSET('Forecast Adjuster'!$A$60,0,K$282)*OFFSET('Forecast Adjuster'!$A$63,0,K$282)-1),0) + IF(OFFSET(Scenarios!$A$63,0,$C$1)="Yes",(1-SUM(OFFSET(Scenarios!$A$64,0,$C$1,3,1),OFFSET(Scenarios!$A$70,0,$C$1),OFFSET(Scenarios!$A$73,0,$C$1,2,1)))*K$144,0) + IF($I$1="Yes",K$303,0)</f>
        <v>#REF!</v>
      </c>
      <c r="L137" s="131" t="e">
        <f ca="1">SUM(#REF!,#REF!,#REF!) + IF($F$1="Yes",SUM(#REF!,#REF!,#REF!)*(OFFSET('Forecast Adjuster'!$A$60,0,L$282)*OFFSET('Forecast Adjuster'!$A$63,0,L$282)-1),0) + IF(OFFSET(Scenarios!$A$63,0,$C$1)="Yes",(1-SUM(OFFSET(Scenarios!$A$64,0,$C$1,3,1),OFFSET(Scenarios!$A$70,0,$C$1),OFFSET(Scenarios!$A$73,0,$C$1,2,1)))*L$144,0) + IF($I$1="Yes",L$303,0)</f>
        <v>#REF!</v>
      </c>
      <c r="M137" s="131" t="e">
        <f ca="1">SUM(#REF!,#REF!,#REF!) + IF($F$1="Yes",SUM(#REF!,#REF!,#REF!)*(OFFSET('Forecast Adjuster'!$A$60,0,M$282)*OFFSET('Forecast Adjuster'!$A$63,0,M$282)-1),0) + IF(OFFSET(Scenarios!$A$63,0,$C$1)="Yes",(1-SUM(OFFSET(Scenarios!$A$64,0,$C$1,3,1),OFFSET(Scenarios!$A$70,0,$C$1),OFFSET(Scenarios!$A$73,0,$C$1,2,1)))*M$144,0) + IF($I$1="Yes",M$303,0)</f>
        <v>#REF!</v>
      </c>
      <c r="N137" s="131" t="e">
        <f ca="1">SUM(#REF!,#REF!,#REF!) + IF($F$1="Yes",SUM(#REF!,#REF!,#REF!)*(OFFSET('Forecast Adjuster'!$A$60,0,N$282)*OFFSET('Forecast Adjuster'!$A$63,0,N$282)-1),0) + IF(OFFSET(Scenarios!$A$63,0,$C$1)="Yes",(1-SUM(OFFSET(Scenarios!$A$64,0,$C$1,3,1),OFFSET(Scenarios!$A$70,0,$C$1),OFFSET(Scenarios!$A$73,0,$C$1,2,1)))*N$144,0) + IF($I$1="Yes",N$303,0)</f>
        <v>#REF!</v>
      </c>
      <c r="O137" s="107" t="e">
        <f t="shared" ref="O137:X137" ca="1" si="69">SUM(O$136,(N$137-N$136)*(1+O$238))</f>
        <v>#REF!</v>
      </c>
      <c r="P137" s="107" t="e">
        <f t="shared" ca="1" si="69"/>
        <v>#REF!</v>
      </c>
      <c r="Q137" s="107" t="e">
        <f t="shared" ca="1" si="69"/>
        <v>#REF!</v>
      </c>
      <c r="R137" s="107" t="e">
        <f t="shared" ca="1" si="69"/>
        <v>#REF!</v>
      </c>
      <c r="S137" s="107" t="e">
        <f t="shared" ca="1" si="69"/>
        <v>#REF!</v>
      </c>
      <c r="T137" s="107" t="e">
        <f t="shared" ca="1" si="69"/>
        <v>#REF!</v>
      </c>
      <c r="U137" s="107" t="e">
        <f t="shared" ca="1" si="69"/>
        <v>#REF!</v>
      </c>
      <c r="V137" s="107" t="e">
        <f t="shared" ca="1" si="69"/>
        <v>#REF!</v>
      </c>
      <c r="W137" s="107" t="e">
        <f t="shared" ca="1" si="69"/>
        <v>#REF!</v>
      </c>
      <c r="X137" s="107" t="e">
        <f t="shared" ca="1" si="69"/>
        <v>#REF!</v>
      </c>
      <c r="Y137" s="36"/>
    </row>
    <row r="138" spans="1:25" x14ac:dyDescent="0.2">
      <c r="A138" s="27"/>
      <c r="B138" s="102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36"/>
    </row>
    <row r="139" spans="1:25" x14ac:dyDescent="0.2">
      <c r="A139" s="108" t="s">
        <v>600</v>
      </c>
      <c r="B139" s="102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36"/>
    </row>
    <row r="140" spans="1:25" x14ac:dyDescent="0.2">
      <c r="A140" s="27" t="s">
        <v>426</v>
      </c>
      <c r="B140" s="233"/>
      <c r="C140" s="69"/>
      <c r="D140" s="71" t="e">
        <f>#REF!</f>
        <v>#REF!</v>
      </c>
      <c r="E140" s="71" t="e">
        <f>#REF!</f>
        <v>#REF!</v>
      </c>
      <c r="F140" s="71" t="e">
        <f>#REF!</f>
        <v>#REF!</v>
      </c>
      <c r="G140" s="71" t="e">
        <f>#REF!</f>
        <v>#REF!</v>
      </c>
      <c r="H140" s="71" t="e">
        <f>#REF!</f>
        <v>#REF!</v>
      </c>
      <c r="I140" s="71" t="e">
        <f>#REF!</f>
        <v>#REF!</v>
      </c>
      <c r="J140" s="131" t="e">
        <f>#REF! + IF($F$1="Yes",SUM(J$322:J$325),0) + IF($I$1="Yes",SUM(J$305:J$307),0) + IF($L$1="Yes",SUM(J$337:J$339),0)</f>
        <v>#REF!</v>
      </c>
      <c r="K140" s="131" t="e">
        <f>#REF! + IF($F$1="Yes",SUM(K$322:K$325),0) + IF($I$1="Yes",SUM(K$305:K$307),0) + IF($L$1="Yes",SUM(K$337:K$339),0)</f>
        <v>#REF!</v>
      </c>
      <c r="L140" s="131" t="e">
        <f>#REF! + IF($F$1="Yes",SUM(L$322:L$325),0) + IF($I$1="Yes",SUM(L$305:L$307),0) + IF($L$1="Yes",SUM(L$337:L$339),0)</f>
        <v>#REF!</v>
      </c>
      <c r="M140" s="131" t="e">
        <f>#REF! + IF($F$1="Yes",SUM(M$322:M$325),0) + IF($I$1="Yes",SUM(M$305:M$307),0) + IF($L$1="Yes",SUM(M$337:M$339),0)</f>
        <v>#REF!</v>
      </c>
      <c r="N140" s="131" t="e">
        <f>#REF! + IF($F$1="Yes",SUM(N$322:N$325),0) + IF($I$1="Yes",SUM(N$305:N$307),0) + IF($L$1="Yes",SUM(N$337:N$339),0)</f>
        <v>#REF!</v>
      </c>
      <c r="O140" s="42" t="e">
        <f t="shared" ref="O140:X140" ca="1" si="70">N$229*O$241</f>
        <v>#REF!</v>
      </c>
      <c r="P140" s="42" t="e">
        <f t="shared" ca="1" si="70"/>
        <v>#REF!</v>
      </c>
      <c r="Q140" s="42" t="e">
        <f t="shared" ca="1" si="70"/>
        <v>#REF!</v>
      </c>
      <c r="R140" s="42" t="e">
        <f t="shared" ca="1" si="70"/>
        <v>#REF!</v>
      </c>
      <c r="S140" s="42" t="e">
        <f t="shared" ca="1" si="70"/>
        <v>#REF!</v>
      </c>
      <c r="T140" s="42" t="e">
        <f t="shared" ca="1" si="70"/>
        <v>#REF!</v>
      </c>
      <c r="U140" s="42" t="e">
        <f t="shared" ca="1" si="70"/>
        <v>#REF!</v>
      </c>
      <c r="V140" s="42" t="e">
        <f t="shared" ca="1" si="70"/>
        <v>#REF!</v>
      </c>
      <c r="W140" s="42" t="e">
        <f t="shared" ca="1" si="70"/>
        <v>#REF!</v>
      </c>
      <c r="X140" s="42" t="e">
        <f t="shared" ca="1" si="70"/>
        <v>#REF!</v>
      </c>
      <c r="Y140" s="36"/>
    </row>
    <row r="141" spans="1:25" x14ac:dyDescent="0.2">
      <c r="A141" s="27" t="s">
        <v>427</v>
      </c>
      <c r="B141" s="233"/>
      <c r="C141" s="69"/>
      <c r="D141" s="71" t="e">
        <f>#REF!</f>
        <v>#REF!</v>
      </c>
      <c r="E141" s="71" t="e">
        <f>#REF!</f>
        <v>#REF!</v>
      </c>
      <c r="F141" s="71" t="e">
        <f>#REF!</f>
        <v>#REF!</v>
      </c>
      <c r="G141" s="71" t="e">
        <f>#REF!</f>
        <v>#REF!</v>
      </c>
      <c r="H141" s="71" t="e">
        <f>#REF!</f>
        <v>#REF!</v>
      </c>
      <c r="I141" s="71" t="e">
        <f>#REF!</f>
        <v>#REF!</v>
      </c>
      <c r="J141" s="131" t="e">
        <f>#REF! + IF($F$1="Yes",SUM(J$322:J$325),0) + IF($I$1="Yes",SUM(J$305:J$307),0) + IF($L$1="Yes",SUM(J$337:J$339),0)</f>
        <v>#REF!</v>
      </c>
      <c r="K141" s="131" t="e">
        <f>#REF! + IF($F$1="Yes",SUM(K$322:K$325),0) + IF($I$1="Yes",SUM(K$305:K$307),0) + IF($L$1="Yes",SUM(K$337:K$339),0)</f>
        <v>#REF!</v>
      </c>
      <c r="L141" s="131" t="e">
        <f>#REF! + IF($F$1="Yes",SUM(L$322:L$325),0) + IF($I$1="Yes",SUM(L$305:L$307),0) + IF($L$1="Yes",SUM(L$337:L$339),0)</f>
        <v>#REF!</v>
      </c>
      <c r="M141" s="131" t="e">
        <f>#REF! + IF($F$1="Yes",SUM(M$322:M$325),0) + IF($I$1="Yes",SUM(M$305:M$307),0) + IF($L$1="Yes",SUM(M$337:M$339),0)</f>
        <v>#REF!</v>
      </c>
      <c r="N141" s="131" t="e">
        <f>#REF! + IF($F$1="Yes",SUM(N$322:N$325),0) + IF($I$1="Yes",SUM(N$305:N$307),0) + IF($L$1="Yes",SUM(N$337:N$339),0)</f>
        <v>#REF!</v>
      </c>
      <c r="O141" s="42" t="e">
        <f t="shared" ref="O141:X141" ca="1" si="71">SUM(N$226,N$227)*O$241</f>
        <v>#REF!</v>
      </c>
      <c r="P141" s="42" t="e">
        <f t="shared" ca="1" si="71"/>
        <v>#REF!</v>
      </c>
      <c r="Q141" s="42" t="e">
        <f t="shared" ca="1" si="71"/>
        <v>#REF!</v>
      </c>
      <c r="R141" s="42" t="e">
        <f t="shared" ca="1" si="71"/>
        <v>#REF!</v>
      </c>
      <c r="S141" s="42" t="e">
        <f t="shared" ca="1" si="71"/>
        <v>#REF!</v>
      </c>
      <c r="T141" s="42" t="e">
        <f t="shared" ca="1" si="71"/>
        <v>#REF!</v>
      </c>
      <c r="U141" s="42" t="e">
        <f t="shared" ca="1" si="71"/>
        <v>#REF!</v>
      </c>
      <c r="V141" s="42" t="e">
        <f t="shared" ca="1" si="71"/>
        <v>#REF!</v>
      </c>
      <c r="W141" s="42" t="e">
        <f t="shared" ca="1" si="71"/>
        <v>#REF!</v>
      </c>
      <c r="X141" s="42" t="e">
        <f t="shared" ca="1" si="71"/>
        <v>#REF!</v>
      </c>
      <c r="Y141" s="36"/>
    </row>
    <row r="142" spans="1:25" x14ac:dyDescent="0.2">
      <c r="A142" s="27"/>
      <c r="B142" s="102"/>
      <c r="C142" s="69"/>
      <c r="D142" s="71"/>
      <c r="E142" s="71"/>
      <c r="F142" s="71"/>
      <c r="G142" s="131"/>
      <c r="H142" s="131"/>
      <c r="I142" s="131"/>
      <c r="J142" s="131"/>
      <c r="K142" s="131"/>
      <c r="L142" s="131"/>
      <c r="M142" s="131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36"/>
    </row>
    <row r="143" spans="1:25" x14ac:dyDescent="0.2">
      <c r="A143" s="108" t="s">
        <v>1019</v>
      </c>
      <c r="B143" s="102"/>
      <c r="C143" s="69"/>
      <c r="D143" s="71" t="e">
        <f>D$144</f>
        <v>#REF!</v>
      </c>
      <c r="E143" s="71" t="e">
        <f>E$144-D$144</f>
        <v>#REF!</v>
      </c>
      <c r="F143" s="71" t="e">
        <f>F$144-E$144</f>
        <v>#REF!</v>
      </c>
      <c r="G143" s="71" t="e">
        <f>G$144-F$144</f>
        <v>#REF!</v>
      </c>
      <c r="H143" s="71" t="e">
        <f>H$144-G$144</f>
        <v>#REF!</v>
      </c>
      <c r="I143" s="71" t="e">
        <f>I$144-H$144</f>
        <v>#REF!</v>
      </c>
      <c r="J143" s="131" t="e">
        <f ca="1">IF(OFFSET(Scenarios!$A$63,0,$C$1)="Yes",0,J$144-I$144)</f>
        <v>#N/A</v>
      </c>
      <c r="K143" s="131" t="e">
        <f ca="1">IF(OFFSET(Scenarios!$A$63,0,$C$1)="Yes",0,K$144-J$144)</f>
        <v>#N/A</v>
      </c>
      <c r="L143" s="131" t="e">
        <f ca="1">IF(OFFSET(Scenarios!$A$63,0,$C$1)="Yes",0,L$144-K$144)</f>
        <v>#N/A</v>
      </c>
      <c r="M143" s="131" t="e">
        <f ca="1">IF(OFFSET(Scenarios!$A$63,0,$C$1)="Yes",0,M$144-L$144)</f>
        <v>#N/A</v>
      </c>
      <c r="N143" s="131" t="e">
        <f ca="1">IF(OFFSET(Scenarios!$A$63,0,$C$1)="Yes",0,N$144-M$144)</f>
        <v>#N/A</v>
      </c>
      <c r="O143" s="283" t="e">
        <f ca="1">IF(OFFSET(Scenarios!$A$63,0,$C$1)="Yes",0,IF(O$2="Proj Yr1",OFFSET(Scenarios!$A$30,0,$C$1),N$143*(1+OFFSET(Scenarios!$A$35,0,$C$1))))</f>
        <v>#N/A</v>
      </c>
      <c r="P143" s="283" t="e">
        <f ca="1">IF(OFFSET(Scenarios!$A$63,0,$C$1)="Yes",0,IF(P$2="Proj Yr1",OFFSET(Scenarios!$A$30,0,$C$1),O$143*(1+OFFSET(Scenarios!$A$35,0,$C$1))))</f>
        <v>#N/A</v>
      </c>
      <c r="Q143" s="283" t="e">
        <f ca="1">IF(OFFSET(Scenarios!$A$63,0,$C$1)="Yes",0,IF(Q$2="Proj Yr1",OFFSET(Scenarios!$A$30,0,$C$1),P$143*(1+OFFSET(Scenarios!$A$35,0,$C$1))))</f>
        <v>#N/A</v>
      </c>
      <c r="R143" s="283" t="e">
        <f ca="1">IF(OFFSET(Scenarios!$A$63,0,$C$1)="Yes",0,IF(R$2="Proj Yr1",OFFSET(Scenarios!$A$30,0,$C$1),Q$143*(1+OFFSET(Scenarios!$A$35,0,$C$1))))</f>
        <v>#N/A</v>
      </c>
      <c r="S143" s="283" t="e">
        <f ca="1">IF(OFFSET(Scenarios!$A$63,0,$C$1)="Yes",0,IF(S$2="Proj Yr1",OFFSET(Scenarios!$A$30,0,$C$1),R$143*(1+OFFSET(Scenarios!$A$35,0,$C$1))))</f>
        <v>#N/A</v>
      </c>
      <c r="T143" s="283" t="e">
        <f ca="1">IF(OFFSET(Scenarios!$A$63,0,$C$1)="Yes",0,IF(T$2="Proj Yr1",OFFSET(Scenarios!$A$30,0,$C$1),S$143*(1+OFFSET(Scenarios!$A$35,0,$C$1))))</f>
        <v>#N/A</v>
      </c>
      <c r="U143" s="283" t="e">
        <f ca="1">IF(OFFSET(Scenarios!$A$63,0,$C$1)="Yes",0,IF(U$2="Proj Yr1",OFFSET(Scenarios!$A$30,0,$C$1),T$143*(1+OFFSET(Scenarios!$A$35,0,$C$1))))</f>
        <v>#N/A</v>
      </c>
      <c r="V143" s="283" t="e">
        <f ca="1">IF(OFFSET(Scenarios!$A$63,0,$C$1)="Yes",0,IF(V$2="Proj Yr1",OFFSET(Scenarios!$A$30,0,$C$1),U$143*(1+OFFSET(Scenarios!$A$35,0,$C$1))))</f>
        <v>#N/A</v>
      </c>
      <c r="W143" s="283" t="e">
        <f ca="1">IF(OFFSET(Scenarios!$A$63,0,$C$1)="Yes",0,IF(W$2="Proj Yr1",OFFSET(Scenarios!$A$30,0,$C$1),V$143*(1+OFFSET(Scenarios!$A$35,0,$C$1))))</f>
        <v>#N/A</v>
      </c>
      <c r="X143" s="283" t="e">
        <f ca="1">IF(OFFSET(Scenarios!$A$63,0,$C$1)="Yes",0,IF(X$2="Proj Yr1",OFFSET(Scenarios!$A$30,0,$C$1),W$143*(1+OFFSET(Scenarios!$A$35,0,$C$1))))</f>
        <v>#N/A</v>
      </c>
      <c r="Y143" s="36"/>
    </row>
    <row r="144" spans="1:25" x14ac:dyDescent="0.2">
      <c r="A144" s="225" t="s">
        <v>1020</v>
      </c>
      <c r="B144" s="233"/>
      <c r="C144" s="69"/>
      <c r="D144" s="177" t="e">
        <f>SUM(#REF!)</f>
        <v>#REF!</v>
      </c>
      <c r="E144" s="177" t="e">
        <f>SUM(#REF!)</f>
        <v>#REF!</v>
      </c>
      <c r="F144" s="177" t="e">
        <f>SUM(#REF!)</f>
        <v>#REF!</v>
      </c>
      <c r="G144" s="177" t="e">
        <f>SUM(#REF!)</f>
        <v>#REF!</v>
      </c>
      <c r="H144" s="177" t="e">
        <f>SUM(#REF!)</f>
        <v>#REF!</v>
      </c>
      <c r="I144" s="177" t="e">
        <f>SUM(#REF!)</f>
        <v>#REF!</v>
      </c>
      <c r="J144" s="156" t="e">
        <f>SUM(#REF!) + IF($I$1="Yes",J$304,0)</f>
        <v>#REF!</v>
      </c>
      <c r="K144" s="156" t="e">
        <f>SUM(#REF!) + IF($I$1="Yes",K$304,0)</f>
        <v>#REF!</v>
      </c>
      <c r="L144" s="156" t="e">
        <f>SUM(#REF!) + IF($I$1="Yes",L$304,0)</f>
        <v>#REF!</v>
      </c>
      <c r="M144" s="156" t="e">
        <f>SUM(#REF!) + IF($I$1="Yes",M$304,0)</f>
        <v>#REF!</v>
      </c>
      <c r="N144" s="156" t="e">
        <f>SUM(#REF!) + IF($I$1="Yes",N$304,0)</f>
        <v>#REF!</v>
      </c>
      <c r="O144" s="281" t="e">
        <f ca="1">N$144+IF(O$2="Proj Yr1",OFFSET(Scenarios!$A$30,0,$C$1),(N$144-M$144)*(1+OFFSET(Scenarios!$A$35,0,$C$1)))</f>
        <v>#REF!</v>
      </c>
      <c r="P144" s="281" t="e">
        <f ca="1">O$144+IF(P$2="Proj Yr1",OFFSET(Scenarios!$A$30,0,$C$1),(O$144-N$144)*(1+OFFSET(Scenarios!$A$35,0,$C$1)))</f>
        <v>#REF!</v>
      </c>
      <c r="Q144" s="281" t="e">
        <f ca="1">P$144+IF(Q$2="Proj Yr1",OFFSET(Scenarios!$A$30,0,$C$1),(P$144-O$144)*(1+OFFSET(Scenarios!$A$35,0,$C$1)))</f>
        <v>#REF!</v>
      </c>
      <c r="R144" s="281" t="e">
        <f ca="1">Q$144+IF(R$2="Proj Yr1",OFFSET(Scenarios!$A$30,0,$C$1),(Q$144-P$144)*(1+OFFSET(Scenarios!$A$35,0,$C$1)))</f>
        <v>#REF!</v>
      </c>
      <c r="S144" s="281" t="e">
        <f ca="1">R$144+IF(S$2="Proj Yr1",OFFSET(Scenarios!$A$30,0,$C$1),(R$144-Q$144)*(1+OFFSET(Scenarios!$A$35,0,$C$1)))</f>
        <v>#REF!</v>
      </c>
      <c r="T144" s="281" t="e">
        <f ca="1">S$144+IF(T$2="Proj Yr1",OFFSET(Scenarios!$A$30,0,$C$1),(S$144-R$144)*(1+OFFSET(Scenarios!$A$35,0,$C$1)))</f>
        <v>#REF!</v>
      </c>
      <c r="U144" s="281" t="e">
        <f ca="1">T$144+IF(U$2="Proj Yr1",OFFSET(Scenarios!$A$30,0,$C$1),(T$144-S$144)*(1+OFFSET(Scenarios!$A$35,0,$C$1)))</f>
        <v>#REF!</v>
      </c>
      <c r="V144" s="281" t="e">
        <f ca="1">U$144+IF(V$2="Proj Yr1",OFFSET(Scenarios!$A$30,0,$C$1),(U$144-T$144)*(1+OFFSET(Scenarios!$A$35,0,$C$1)))</f>
        <v>#REF!</v>
      </c>
      <c r="W144" s="281" t="e">
        <f ca="1">V$144+IF(W$2="Proj Yr1",OFFSET(Scenarios!$A$30,0,$C$1),(V$144-U$144)*(1+OFFSET(Scenarios!$A$35,0,$C$1)))</f>
        <v>#REF!</v>
      </c>
      <c r="X144" s="281" t="e">
        <f ca="1">W$144+IF(X$2="Proj Yr1",OFFSET(Scenarios!$A$30,0,$C$1),(W$144-V$144)*(1+OFFSET(Scenarios!$A$35,0,$C$1)))</f>
        <v>#REF!</v>
      </c>
      <c r="Y144" s="36"/>
    </row>
    <row r="145" spans="1:25" x14ac:dyDescent="0.2">
      <c r="A145" s="31"/>
      <c r="B145" s="69"/>
      <c r="C145" s="69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36"/>
    </row>
    <row r="146" spans="1:25" x14ac:dyDescent="0.2">
      <c r="A146" s="108" t="s">
        <v>619</v>
      </c>
      <c r="B146" s="69"/>
      <c r="C146" s="69"/>
      <c r="D146" s="177"/>
      <c r="E146" s="177"/>
      <c r="F146" s="177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36"/>
    </row>
    <row r="147" spans="1:25" x14ac:dyDescent="0.2">
      <c r="A147" s="27" t="s">
        <v>310</v>
      </c>
      <c r="B147" s="233"/>
      <c r="C147" s="69"/>
      <c r="D147" s="101" t="e">
        <f>#REF!</f>
        <v>#REF!</v>
      </c>
      <c r="E147" s="101" t="e">
        <f>#REF!</f>
        <v>#REF!</v>
      </c>
      <c r="F147" s="101" t="e">
        <f>#REF!</f>
        <v>#REF!</v>
      </c>
      <c r="G147" s="101" t="e">
        <f>#REF!</f>
        <v>#REF!</v>
      </c>
      <c r="H147" s="101" t="e">
        <f>#REF!</f>
        <v>#REF!</v>
      </c>
      <c r="I147" s="101" t="e">
        <f>#REF!</f>
        <v>#REF!</v>
      </c>
      <c r="J147" s="131" t="e">
        <f>#REF!</f>
        <v>#REF!</v>
      </c>
      <c r="K147" s="131" t="e">
        <f>#REF!</f>
        <v>#REF!</v>
      </c>
      <c r="L147" s="131" t="e">
        <f>#REF!</f>
        <v>#REF!</v>
      </c>
      <c r="M147" s="131" t="e">
        <f>#REF!</f>
        <v>#REF!</v>
      </c>
      <c r="N147" s="131" t="e">
        <f>#REF!</f>
        <v>#REF!</v>
      </c>
      <c r="O147" s="102" t="e">
        <f t="shared" ref="O147:X147" ca="1" si="72">N$147*(1+O$240)</f>
        <v>#REF!</v>
      </c>
      <c r="P147" s="102" t="e">
        <f t="shared" ca="1" si="72"/>
        <v>#REF!</v>
      </c>
      <c r="Q147" s="102" t="e">
        <f t="shared" ca="1" si="72"/>
        <v>#REF!</v>
      </c>
      <c r="R147" s="102" t="e">
        <f t="shared" ca="1" si="72"/>
        <v>#REF!</v>
      </c>
      <c r="S147" s="102" t="e">
        <f t="shared" ca="1" si="72"/>
        <v>#REF!</v>
      </c>
      <c r="T147" s="102" t="e">
        <f t="shared" ca="1" si="72"/>
        <v>#REF!</v>
      </c>
      <c r="U147" s="102" t="e">
        <f t="shared" ca="1" si="72"/>
        <v>#REF!</v>
      </c>
      <c r="V147" s="102" t="e">
        <f t="shared" ca="1" si="72"/>
        <v>#REF!</v>
      </c>
      <c r="W147" s="102" t="e">
        <f t="shared" ca="1" si="72"/>
        <v>#REF!</v>
      </c>
      <c r="X147" s="102" t="e">
        <f t="shared" ca="1" si="72"/>
        <v>#REF!</v>
      </c>
      <c r="Y147" s="36"/>
    </row>
    <row r="148" spans="1:25" x14ac:dyDescent="0.2">
      <c r="A148" s="27" t="s">
        <v>620</v>
      </c>
      <c r="B148" s="233"/>
      <c r="C148" s="69"/>
      <c r="D148" s="101" t="e">
        <f>#REF!</f>
        <v>#REF!</v>
      </c>
      <c r="E148" s="101" t="e">
        <f>#REF!</f>
        <v>#REF!</v>
      </c>
      <c r="F148" s="101" t="e">
        <f>#REF!</f>
        <v>#REF!</v>
      </c>
      <c r="G148" s="101" t="e">
        <f>#REF!</f>
        <v>#REF!</v>
      </c>
      <c r="H148" s="101" t="e">
        <f>#REF!</f>
        <v>#REF!</v>
      </c>
      <c r="I148" s="101" t="e">
        <f>#REF!</f>
        <v>#REF!</v>
      </c>
      <c r="J148" s="131" t="e">
        <f>#REF!</f>
        <v>#REF!</v>
      </c>
      <c r="K148" s="131" t="e">
        <f>#REF!</f>
        <v>#REF!</v>
      </c>
      <c r="L148" s="131" t="e">
        <f>#REF!</f>
        <v>#REF!</v>
      </c>
      <c r="M148" s="131" t="e">
        <f>#REF!</f>
        <v>#REF!</v>
      </c>
      <c r="N148" s="131" t="e">
        <f>#REF!</f>
        <v>#REF!</v>
      </c>
      <c r="O148" s="42" t="e">
        <f t="shared" ref="O148:X148" ca="1" si="73">N$148*(1+O$240)</f>
        <v>#REF!</v>
      </c>
      <c r="P148" s="42" t="e">
        <f t="shared" ca="1" si="73"/>
        <v>#REF!</v>
      </c>
      <c r="Q148" s="42" t="e">
        <f t="shared" ca="1" si="73"/>
        <v>#REF!</v>
      </c>
      <c r="R148" s="42" t="e">
        <f t="shared" ca="1" si="73"/>
        <v>#REF!</v>
      </c>
      <c r="S148" s="42" t="e">
        <f t="shared" ca="1" si="73"/>
        <v>#REF!</v>
      </c>
      <c r="T148" s="42" t="e">
        <f t="shared" ca="1" si="73"/>
        <v>#REF!</v>
      </c>
      <c r="U148" s="42" t="e">
        <f t="shared" ca="1" si="73"/>
        <v>#REF!</v>
      </c>
      <c r="V148" s="42" t="e">
        <f t="shared" ca="1" si="73"/>
        <v>#REF!</v>
      </c>
      <c r="W148" s="42" t="e">
        <f t="shared" ca="1" si="73"/>
        <v>#REF!</v>
      </c>
      <c r="X148" s="42" t="e">
        <f t="shared" ca="1" si="73"/>
        <v>#REF!</v>
      </c>
      <c r="Y148" s="36"/>
    </row>
    <row r="149" spans="1:25" x14ac:dyDescent="0.2">
      <c r="A149" s="27" t="s">
        <v>311</v>
      </c>
      <c r="B149" s="233"/>
      <c r="C149" s="69"/>
      <c r="D149" s="101" t="e">
        <f>#REF!</f>
        <v>#REF!</v>
      </c>
      <c r="E149" s="101" t="e">
        <f>#REF!</f>
        <v>#REF!</v>
      </c>
      <c r="F149" s="101" t="e">
        <f>#REF!</f>
        <v>#REF!</v>
      </c>
      <c r="G149" s="101" t="e">
        <f>#REF!</f>
        <v>#REF!</v>
      </c>
      <c r="H149" s="101" t="e">
        <f>#REF!</f>
        <v>#REF!</v>
      </c>
      <c r="I149" s="101" t="e">
        <f>#REF!</f>
        <v>#REF!</v>
      </c>
      <c r="J149" s="131" t="e">
        <f>#REF!</f>
        <v>#REF!</v>
      </c>
      <c r="K149" s="131" t="e">
        <f>#REF!</f>
        <v>#REF!</v>
      </c>
      <c r="L149" s="131" t="e">
        <f>#REF!</f>
        <v>#REF!</v>
      </c>
      <c r="M149" s="131" t="e">
        <f>#REF!</f>
        <v>#REF!</v>
      </c>
      <c r="N149" s="131" t="e">
        <f>#REF!</f>
        <v>#REF!</v>
      </c>
      <c r="O149" s="42" t="e">
        <f t="shared" ref="O149:X149" ca="1" si="74">N$149*(1+O$240)</f>
        <v>#REF!</v>
      </c>
      <c r="P149" s="42" t="e">
        <f t="shared" ca="1" si="74"/>
        <v>#REF!</v>
      </c>
      <c r="Q149" s="42" t="e">
        <f t="shared" ca="1" si="74"/>
        <v>#REF!</v>
      </c>
      <c r="R149" s="42" t="e">
        <f t="shared" ca="1" si="74"/>
        <v>#REF!</v>
      </c>
      <c r="S149" s="42" t="e">
        <f t="shared" ca="1" si="74"/>
        <v>#REF!</v>
      </c>
      <c r="T149" s="42" t="e">
        <f t="shared" ca="1" si="74"/>
        <v>#REF!</v>
      </c>
      <c r="U149" s="42" t="e">
        <f t="shared" ca="1" si="74"/>
        <v>#REF!</v>
      </c>
      <c r="V149" s="42" t="e">
        <f t="shared" ca="1" si="74"/>
        <v>#REF!</v>
      </c>
      <c r="W149" s="42" t="e">
        <f t="shared" ca="1" si="74"/>
        <v>#REF!</v>
      </c>
      <c r="X149" s="42" t="e">
        <f t="shared" ca="1" si="74"/>
        <v>#REF!</v>
      </c>
      <c r="Y149" s="36"/>
    </row>
    <row r="150" spans="1:25" x14ac:dyDescent="0.2">
      <c r="A150" s="27" t="s">
        <v>313</v>
      </c>
      <c r="B150" s="233"/>
      <c r="C150" s="69"/>
      <c r="D150" s="101" t="e">
        <f>#REF!</f>
        <v>#REF!</v>
      </c>
      <c r="E150" s="101" t="e">
        <f>#REF!</f>
        <v>#REF!</v>
      </c>
      <c r="F150" s="101" t="e">
        <f>#REF!</f>
        <v>#REF!</v>
      </c>
      <c r="G150" s="101" t="e">
        <f>#REF!</f>
        <v>#REF!</v>
      </c>
      <c r="H150" s="101" t="e">
        <f>#REF!</f>
        <v>#REF!</v>
      </c>
      <c r="I150" s="101" t="e">
        <f>#REF!</f>
        <v>#REF!</v>
      </c>
      <c r="J150" s="131" t="e">
        <f>#REF!</f>
        <v>#REF!</v>
      </c>
      <c r="K150" s="131" t="e">
        <f>#REF!</f>
        <v>#REF!</v>
      </c>
      <c r="L150" s="131" t="e">
        <f>#REF!</f>
        <v>#REF!</v>
      </c>
      <c r="M150" s="131" t="e">
        <f>#REF!</f>
        <v>#REF!</v>
      </c>
      <c r="N150" s="131" t="e">
        <f>#REF!</f>
        <v>#REF!</v>
      </c>
      <c r="O150" s="42" t="e">
        <f t="shared" ref="O150:X150" ca="1" si="75">N$150*(1+O$240)</f>
        <v>#REF!</v>
      </c>
      <c r="P150" s="42" t="e">
        <f t="shared" ca="1" si="75"/>
        <v>#REF!</v>
      </c>
      <c r="Q150" s="42" t="e">
        <f t="shared" ca="1" si="75"/>
        <v>#REF!</v>
      </c>
      <c r="R150" s="42" t="e">
        <f t="shared" ca="1" si="75"/>
        <v>#REF!</v>
      </c>
      <c r="S150" s="42" t="e">
        <f t="shared" ca="1" si="75"/>
        <v>#REF!</v>
      </c>
      <c r="T150" s="42" t="e">
        <f t="shared" ca="1" si="75"/>
        <v>#REF!</v>
      </c>
      <c r="U150" s="42" t="e">
        <f t="shared" ca="1" si="75"/>
        <v>#REF!</v>
      </c>
      <c r="V150" s="42" t="e">
        <f t="shared" ca="1" si="75"/>
        <v>#REF!</v>
      </c>
      <c r="W150" s="42" t="e">
        <f t="shared" ca="1" si="75"/>
        <v>#REF!</v>
      </c>
      <c r="X150" s="42" t="e">
        <f t="shared" ca="1" si="75"/>
        <v>#REF!</v>
      </c>
      <c r="Y150" s="36"/>
    </row>
    <row r="151" spans="1:25" x14ac:dyDescent="0.2">
      <c r="A151" s="27"/>
      <c r="B151" s="69"/>
      <c r="C151" s="69"/>
      <c r="D151" s="101"/>
      <c r="E151" s="101"/>
      <c r="F151" s="101"/>
      <c r="G151" s="10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36"/>
    </row>
    <row r="152" spans="1:25" x14ac:dyDescent="0.2">
      <c r="A152" s="108" t="s">
        <v>623</v>
      </c>
      <c r="B152" s="69"/>
      <c r="C152" s="69"/>
      <c r="D152" s="101"/>
      <c r="E152" s="101"/>
      <c r="F152" s="101"/>
      <c r="G152" s="10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36"/>
    </row>
    <row r="153" spans="1:25" x14ac:dyDescent="0.2">
      <c r="A153" s="31" t="s">
        <v>770</v>
      </c>
      <c r="B153" s="233"/>
      <c r="C153" s="69"/>
      <c r="D153" s="69" t="e">
        <f>ROUND(D$157*(#REF!-#REF!*2/3)/(SUM(#REF!)-SUM(#REF!,#REF!,#REF!)),3)</f>
        <v>#REF!</v>
      </c>
      <c r="E153" s="69" t="e">
        <f>ROUND(E$157*(#REF!-#REF!*2/3)/(SUM(#REF!)-SUM(#REF!,#REF!,#REF!)),3)</f>
        <v>#REF!</v>
      </c>
      <c r="F153" s="69" t="e">
        <f>ROUND(F$157*(#REF!-#REF!*2/3)/(SUM(#REF!)-SUM(#REF!,#REF!,#REF!)),3)</f>
        <v>#REF!</v>
      </c>
      <c r="G153" s="69" t="e">
        <f>ROUND(G$157*(#REF!-#REF!*2/3)/(SUM(#REF!)-SUM(#REF!,#REF!,#REF!)),3)</f>
        <v>#REF!</v>
      </c>
      <c r="H153" s="69" t="e">
        <f>ROUND(H$157*(#REF!-#REF!*2/3)/(SUM(#REF!)-SUM(#REF!,#REF!,#REF!)),3)</f>
        <v>#REF!</v>
      </c>
      <c r="I153" s="69" t="e">
        <f>ROUND(I$157*(#REF!-#REF!*2/3)/(SUM(#REF!)-SUM(#REF!,#REF!,#REF!)),3)</f>
        <v>#REF!</v>
      </c>
      <c r="J153" s="105" t="e">
        <f>ROUND((J$157 - IF($I$1="Yes",J$309,0) - IF($L$1="Yes",J$343,0))*(#REF!-#REF!*2/3)/(SUM(#REF!)-SUM(#REF!,#REF!,#REF!)),3) + IF($I$1="Yes",J$309,0)</f>
        <v>#REF!</v>
      </c>
      <c r="K153" s="105" t="e">
        <f>ROUND((K$157 - IF($I$1="Yes",K$309,0) - IF($L$1="Yes",K$343,0))*(#REF!-#REF!*2/3)/(SUM(#REF!)-SUM(#REF!,#REF!,#REF!)),3) + IF($I$1="Yes",K$309,0)</f>
        <v>#REF!</v>
      </c>
      <c r="L153" s="105" t="e">
        <f>ROUND((L$157 - IF($I$1="Yes",L$309,0) - IF($L$1="Yes",L$343,0))*(#REF!-#REF!*2/3)/(SUM(#REF!)-SUM(#REF!,#REF!,#REF!)),3) + IF($I$1="Yes",L$309,0)</f>
        <v>#REF!</v>
      </c>
      <c r="M153" s="105" t="e">
        <f>ROUND((M$157 - IF($I$1="Yes",M$309,0) - IF($L$1="Yes",M$343,0))*(#REF!-#REF!*2/3)/(SUM(#REF!)-SUM(#REF!,#REF!,#REF!)),3) + IF($I$1="Yes",M$309,0)</f>
        <v>#REF!</v>
      </c>
      <c r="N153" s="105" t="e">
        <f>ROUND((N$157 - IF($I$1="Yes",N$309,0) - IF($L$1="Yes",N$343,0))*(#REF!-#REF!*2/3)/(SUM(#REF!)-SUM(#REF!,#REF!,#REF!)),3) + IF($I$1="Yes",N$309,0)</f>
        <v>#REF!</v>
      </c>
      <c r="O153" s="73" t="e">
        <f t="shared" ref="O153:X153" ca="1" si="76">N$153*(1+O$240)</f>
        <v>#REF!</v>
      </c>
      <c r="P153" s="73" t="e">
        <f t="shared" ca="1" si="76"/>
        <v>#REF!</v>
      </c>
      <c r="Q153" s="73" t="e">
        <f t="shared" ca="1" si="76"/>
        <v>#REF!</v>
      </c>
      <c r="R153" s="73" t="e">
        <f t="shared" ca="1" si="76"/>
        <v>#REF!</v>
      </c>
      <c r="S153" s="73" t="e">
        <f t="shared" ca="1" si="76"/>
        <v>#REF!</v>
      </c>
      <c r="T153" s="73" t="e">
        <f t="shared" ca="1" si="76"/>
        <v>#REF!</v>
      </c>
      <c r="U153" s="73" t="e">
        <f t="shared" ca="1" si="76"/>
        <v>#REF!</v>
      </c>
      <c r="V153" s="73" t="e">
        <f t="shared" ca="1" si="76"/>
        <v>#REF!</v>
      </c>
      <c r="W153" s="73" t="e">
        <f t="shared" ca="1" si="76"/>
        <v>#REF!</v>
      </c>
      <c r="X153" s="73" t="e">
        <f t="shared" ca="1" si="76"/>
        <v>#REF!</v>
      </c>
      <c r="Y153" s="36"/>
    </row>
    <row r="154" spans="1:25" x14ac:dyDescent="0.2">
      <c r="A154" s="31" t="s">
        <v>766</v>
      </c>
      <c r="B154" s="233"/>
      <c r="C154" s="69"/>
      <c r="D154" s="69" t="e">
        <f>ROUND(D$157*(#REF!-#REF!*1/3)/(SUM(#REF!)-SUM(#REF!,#REF!,#REF!)),3)</f>
        <v>#REF!</v>
      </c>
      <c r="E154" s="69" t="e">
        <f>ROUND(E$157*(#REF!-#REF!*1/3)/(SUM(#REF!)-SUM(#REF!,#REF!,#REF!)),3)</f>
        <v>#REF!</v>
      </c>
      <c r="F154" s="69" t="e">
        <f>ROUND(F$157*(#REF!-#REF!*1/3)/(SUM(#REF!)-SUM(#REF!,#REF!,#REF!)),3)</f>
        <v>#REF!</v>
      </c>
      <c r="G154" s="69" t="e">
        <f>ROUND(G$157*(#REF!-#REF!*1/3)/(SUM(#REF!)-SUM(#REF!,#REF!,#REF!)),3)</f>
        <v>#REF!</v>
      </c>
      <c r="H154" s="69" t="e">
        <f>ROUND(H$157*(#REF!-#REF!*1/3)/(SUM(#REF!)-SUM(#REF!,#REF!,#REF!)),3)</f>
        <v>#REF!</v>
      </c>
      <c r="I154" s="69" t="e">
        <f>ROUND(I$157*(#REF!-#REF!*1/3)/(SUM(#REF!)-SUM(#REF!,#REF!,#REF!)),3)</f>
        <v>#REF!</v>
      </c>
      <c r="J154" s="105" t="e">
        <f>ROUND((J$157 - IF($I$1="Yes",J$309,0) - IF($L$1="Yes",J$343,0))*(#REF!-#REF!*1/3)/(SUM(#REF!)-SUM(#REF!,#REF!,#REF!)),3) + IF($I$1="Yes",J$309,0)</f>
        <v>#REF!</v>
      </c>
      <c r="K154" s="105" t="e">
        <f>ROUND((K$157 - IF($I$1="Yes",K$309,0) - IF($L$1="Yes",K$343,0))*(#REF!-#REF!*1/3)/(SUM(#REF!)-SUM(#REF!,#REF!,#REF!)),3) + IF($I$1="Yes",K$309,0)</f>
        <v>#REF!</v>
      </c>
      <c r="L154" s="105" t="e">
        <f>ROUND((L$157 - IF($I$1="Yes",L$309,0) - IF($L$1="Yes",L$343,0))*(#REF!-#REF!*1/3)/(SUM(#REF!)-SUM(#REF!,#REF!,#REF!)),3) + IF($I$1="Yes",L$309,0)</f>
        <v>#REF!</v>
      </c>
      <c r="M154" s="105" t="e">
        <f>ROUND((M$157 - IF($I$1="Yes",M$309,0) - IF($L$1="Yes",M$343,0))*(#REF!-#REF!*1/3)/(SUM(#REF!)-SUM(#REF!,#REF!,#REF!)),3) + IF($I$1="Yes",M$309,0)</f>
        <v>#REF!</v>
      </c>
      <c r="N154" s="105" t="e">
        <f>ROUND((N$157 - IF($I$1="Yes",N$309,0) - IF($L$1="Yes",N$343,0))*(#REF!-#REF!*1/3)/(SUM(#REF!)-SUM(#REF!,#REF!,#REF!)),3) + IF($I$1="Yes",N$309,0)</f>
        <v>#REF!</v>
      </c>
      <c r="O154" s="73" t="e">
        <f t="shared" ref="O154:X154" ca="1" si="77">N$154*(1+O$240)</f>
        <v>#REF!</v>
      </c>
      <c r="P154" s="73" t="e">
        <f t="shared" ca="1" si="77"/>
        <v>#REF!</v>
      </c>
      <c r="Q154" s="73" t="e">
        <f t="shared" ca="1" si="77"/>
        <v>#REF!</v>
      </c>
      <c r="R154" s="73" t="e">
        <f t="shared" ca="1" si="77"/>
        <v>#REF!</v>
      </c>
      <c r="S154" s="73" t="e">
        <f t="shared" ca="1" si="77"/>
        <v>#REF!</v>
      </c>
      <c r="T154" s="73" t="e">
        <f t="shared" ca="1" si="77"/>
        <v>#REF!</v>
      </c>
      <c r="U154" s="73" t="e">
        <f t="shared" ca="1" si="77"/>
        <v>#REF!</v>
      </c>
      <c r="V154" s="73" t="e">
        <f t="shared" ca="1" si="77"/>
        <v>#REF!</v>
      </c>
      <c r="W154" s="73" t="e">
        <f t="shared" ca="1" si="77"/>
        <v>#REF!</v>
      </c>
      <c r="X154" s="73" t="e">
        <f t="shared" ca="1" si="77"/>
        <v>#REF!</v>
      </c>
      <c r="Y154" s="36"/>
    </row>
    <row r="155" spans="1:25" x14ac:dyDescent="0.2">
      <c r="A155" s="31" t="s">
        <v>318</v>
      </c>
      <c r="B155" s="233"/>
      <c r="C155" s="69"/>
      <c r="D155" s="69" t="e">
        <f>ROUND(D$157*#REF!/(SUM(#REF!)-SUM(#REF!,#REF!,#REF!)),3)</f>
        <v>#REF!</v>
      </c>
      <c r="E155" s="69" t="e">
        <f>ROUND(E$157*#REF!/(SUM(#REF!)-SUM(#REF!,#REF!,#REF!)),3)</f>
        <v>#REF!</v>
      </c>
      <c r="F155" s="69" t="e">
        <f>ROUND(F$157*#REF!/(SUM(#REF!)-SUM(#REF!,#REF!,#REF!)),3)</f>
        <v>#REF!</v>
      </c>
      <c r="G155" s="69" t="e">
        <f>ROUND(G$157*#REF!/(SUM(#REF!)-SUM(#REF!,#REF!,#REF!)),3)</f>
        <v>#REF!</v>
      </c>
      <c r="H155" s="69" t="e">
        <f>ROUND(H$157*#REF!/(SUM(#REF!)-SUM(#REF!,#REF!,#REF!)),3)</f>
        <v>#REF!</v>
      </c>
      <c r="I155" s="69" t="e">
        <f>ROUND(I$157*#REF!/(SUM(#REF!)-SUM(#REF!,#REF!,#REF!)),3)</f>
        <v>#REF!</v>
      </c>
      <c r="J155" s="105" t="e">
        <f>ROUND((J$157 - IF($I$1="Yes",J$309,0) - IF($L$1="Yes",J$343,0))*#REF!/(SUM(#REF!)-SUM(#REF!,#REF!,#REF!)),3) + IF($L$1="Yes",J$343,0)</f>
        <v>#REF!</v>
      </c>
      <c r="K155" s="105" t="e">
        <f>ROUND((K$157 - IF($I$1="Yes",K$309,0) - IF($L$1="Yes",K$343,0))*#REF!/(SUM(#REF!)-SUM(#REF!,#REF!,#REF!)),3) + IF($L$1="Yes",K$343,0)</f>
        <v>#REF!</v>
      </c>
      <c r="L155" s="105" t="e">
        <f>ROUND((L$157 - IF($I$1="Yes",L$309,0) - IF($L$1="Yes",L$343,0))*#REF!/(SUM(#REF!)-SUM(#REF!,#REF!,#REF!)),3) + IF($L$1="Yes",L$343,0)</f>
        <v>#REF!</v>
      </c>
      <c r="M155" s="105" t="e">
        <f>ROUND((M$157 - IF($I$1="Yes",M$309,0) - IF($L$1="Yes",M$343,0))*#REF!/(SUM(#REF!)-SUM(#REF!,#REF!,#REF!)),3) + IF($L$1="Yes",M$343,0)</f>
        <v>#REF!</v>
      </c>
      <c r="N155" s="105" t="e">
        <f>ROUND((N$157 - IF($I$1="Yes",N$309,0) - IF($L$1="Yes",N$343,0))*#REF!/(SUM(#REF!)-SUM(#REF!,#REF!,#REF!)),3) + IF($L$1="Yes",N$343,0)</f>
        <v>#REF!</v>
      </c>
      <c r="O155" s="73" t="e">
        <f t="shared" ref="O155:X155" si="78">N$155*O$170/N$170</f>
        <v>#REF!</v>
      </c>
      <c r="P155" s="73" t="e">
        <f t="shared" si="78"/>
        <v>#REF!</v>
      </c>
      <c r="Q155" s="73" t="e">
        <f t="shared" si="78"/>
        <v>#REF!</v>
      </c>
      <c r="R155" s="73" t="e">
        <f t="shared" si="78"/>
        <v>#REF!</v>
      </c>
      <c r="S155" s="73" t="e">
        <f t="shared" si="78"/>
        <v>#REF!</v>
      </c>
      <c r="T155" s="73" t="e">
        <f t="shared" si="78"/>
        <v>#REF!</v>
      </c>
      <c r="U155" s="73" t="e">
        <f t="shared" si="78"/>
        <v>#REF!</v>
      </c>
      <c r="V155" s="73" t="e">
        <f t="shared" si="78"/>
        <v>#REF!</v>
      </c>
      <c r="W155" s="73" t="e">
        <f t="shared" si="78"/>
        <v>#REF!</v>
      </c>
      <c r="X155" s="73" t="e">
        <f t="shared" si="78"/>
        <v>#REF!</v>
      </c>
      <c r="Y155" s="36"/>
    </row>
    <row r="156" spans="1:25" x14ac:dyDescent="0.2">
      <c r="A156" s="31" t="s">
        <v>535</v>
      </c>
      <c r="B156" s="233"/>
      <c r="C156" s="69"/>
      <c r="D156" s="176" t="e">
        <f>ROUND(D$157*(#REF!-SUM(#REF!,#REF!))/(SUM(#REF!)-SUM(#REF!,#REF!,#REF!)),3)</f>
        <v>#REF!</v>
      </c>
      <c r="E156" s="176" t="e">
        <f>ROUND(E$157*(#REF!-SUM(#REF!,#REF!))/(SUM(#REF!)-SUM(#REF!,#REF!,#REF!)),3)</f>
        <v>#REF!</v>
      </c>
      <c r="F156" s="176" t="e">
        <f>ROUND(F$157*(#REF!-SUM(#REF!,#REF!))/(SUM(#REF!)-SUM(#REF!,#REF!,#REF!)),3)</f>
        <v>#REF!</v>
      </c>
      <c r="G156" s="176" t="e">
        <f>ROUND(G$157*(#REF!-SUM(#REF!,#REF!))/(SUM(#REF!)-SUM(#REF!,#REF!,#REF!)),3)</f>
        <v>#REF!</v>
      </c>
      <c r="H156" s="176" t="e">
        <f>ROUND(H$157*(#REF!-SUM(#REF!,#REF!))/(SUM(#REF!)-SUM(#REF!,#REF!,#REF!)),3)</f>
        <v>#REF!</v>
      </c>
      <c r="I156" s="176" t="e">
        <f>ROUND(I$157*(#REF!-SUM(#REF!,#REF!))/(SUM(#REF!)-SUM(#REF!,#REF!,#REF!)),3)</f>
        <v>#REF!</v>
      </c>
      <c r="J156" s="130" t="e">
        <f>ROUND((J$157 - IF($I$1="Yes",J$309,0) - IF($L$1="Yes",J$343,0))*(#REF!-SUM(#REF!,#REF!))/(SUM(#REF!)-SUM(#REF!,#REF!,#REF!)),3)</f>
        <v>#REF!</v>
      </c>
      <c r="K156" s="130" t="e">
        <f>ROUND((K$157 - IF($I$1="Yes",K$309,0) - IF($L$1="Yes",K$343,0))*(#REF!-SUM(#REF!,#REF!))/(SUM(#REF!)-SUM(#REF!,#REF!,#REF!)),3)</f>
        <v>#REF!</v>
      </c>
      <c r="L156" s="130" t="e">
        <f>ROUND((L$157 - IF($I$1="Yes",L$309,0) - IF($L$1="Yes",L$343,0))*(#REF!-SUM(#REF!,#REF!))/(SUM(#REF!)-SUM(#REF!,#REF!,#REF!)),3)</f>
        <v>#REF!</v>
      </c>
      <c r="M156" s="130" t="e">
        <f>ROUND((M$157 - IF($I$1="Yes",M$309,0) - IF($L$1="Yes",M$343,0))*(#REF!-SUM(#REF!,#REF!))/(SUM(#REF!)-SUM(#REF!,#REF!,#REF!)),3)</f>
        <v>#REF!</v>
      </c>
      <c r="N156" s="130" t="e">
        <f>ROUND((N$157 - IF($I$1="Yes",N$309,0) - IF($L$1="Yes",N$343,0))*(#REF!-SUM(#REF!,#REF!))/(SUM(#REF!)-SUM(#REF!,#REF!,#REF!)),3)</f>
        <v>#REF!</v>
      </c>
      <c r="O156" s="81" t="e">
        <f t="shared" ref="O156:X156" ca="1" si="79">N$156*(1+O$240)</f>
        <v>#REF!</v>
      </c>
      <c r="P156" s="81" t="e">
        <f t="shared" ca="1" si="79"/>
        <v>#REF!</v>
      </c>
      <c r="Q156" s="81" t="e">
        <f t="shared" ca="1" si="79"/>
        <v>#REF!</v>
      </c>
      <c r="R156" s="81" t="e">
        <f t="shared" ca="1" si="79"/>
        <v>#REF!</v>
      </c>
      <c r="S156" s="81" t="e">
        <f t="shared" ca="1" si="79"/>
        <v>#REF!</v>
      </c>
      <c r="T156" s="81" t="e">
        <f t="shared" ca="1" si="79"/>
        <v>#REF!</v>
      </c>
      <c r="U156" s="81" t="e">
        <f t="shared" ca="1" si="79"/>
        <v>#REF!</v>
      </c>
      <c r="V156" s="81" t="e">
        <f t="shared" ca="1" si="79"/>
        <v>#REF!</v>
      </c>
      <c r="W156" s="81" t="e">
        <f t="shared" ca="1" si="79"/>
        <v>#REF!</v>
      </c>
      <c r="X156" s="81" t="e">
        <f t="shared" ca="1" si="79"/>
        <v>#REF!</v>
      </c>
      <c r="Y156" s="36"/>
    </row>
    <row r="157" spans="1:25" x14ac:dyDescent="0.2">
      <c r="A157" s="27" t="s">
        <v>317</v>
      </c>
      <c r="B157" s="233"/>
      <c r="C157" s="69"/>
      <c r="D157" s="71" t="e">
        <f>#REF!-SUM(#REF!,#REF!)</f>
        <v>#REF!</v>
      </c>
      <c r="E157" s="71" t="e">
        <f>#REF!-SUM(#REF!,#REF!)</f>
        <v>#REF!</v>
      </c>
      <c r="F157" s="71" t="e">
        <f>#REF!-SUM(#REF!,#REF!)</f>
        <v>#REF!</v>
      </c>
      <c r="G157" s="71" t="e">
        <f>#REF!-SUM(#REF!,#REF!)</f>
        <v>#REF!</v>
      </c>
      <c r="H157" s="71" t="e">
        <f>#REF!-SUM(#REF!,#REF!)</f>
        <v>#REF!</v>
      </c>
      <c r="I157" s="71" t="e">
        <f>#REF!-SUM(#REF!,#REF!)</f>
        <v>#REF!</v>
      </c>
      <c r="J157" s="131" t="e">
        <f>#REF!-SUM(#REF!,#REF!) + IF($I$1="Yes",J$309,0) + IF($L$1="Yes",J$343,0)</f>
        <v>#REF!</v>
      </c>
      <c r="K157" s="131" t="e">
        <f>#REF!-SUM(#REF!,#REF!) + IF($I$1="Yes",K$309,0) + IF($L$1="Yes",K$343,0)</f>
        <v>#REF!</v>
      </c>
      <c r="L157" s="131" t="e">
        <f>#REF!-SUM(#REF!,#REF!) + IF($I$1="Yes",L$309,0) + IF($L$1="Yes",L$343,0)</f>
        <v>#REF!</v>
      </c>
      <c r="M157" s="131" t="e">
        <f>#REF!-SUM(#REF!,#REF!) + IF($I$1="Yes",M$309,0) + IF($L$1="Yes",M$343,0)</f>
        <v>#REF!</v>
      </c>
      <c r="N157" s="131" t="e">
        <f>#REF!-SUM(#REF!,#REF!) + IF($I$1="Yes",N$309,0) + IF($L$1="Yes",N$343,0)</f>
        <v>#REF!</v>
      </c>
      <c r="O157" s="42" t="e">
        <f t="shared" ref="O157:X157" ca="1" si="80">SUM(O$153:O$156)</f>
        <v>#REF!</v>
      </c>
      <c r="P157" s="42" t="e">
        <f t="shared" ca="1" si="80"/>
        <v>#REF!</v>
      </c>
      <c r="Q157" s="42" t="e">
        <f t="shared" ca="1" si="80"/>
        <v>#REF!</v>
      </c>
      <c r="R157" s="42" t="e">
        <f t="shared" ca="1" si="80"/>
        <v>#REF!</v>
      </c>
      <c r="S157" s="42" t="e">
        <f t="shared" ca="1" si="80"/>
        <v>#REF!</v>
      </c>
      <c r="T157" s="42" t="e">
        <f t="shared" ca="1" si="80"/>
        <v>#REF!</v>
      </c>
      <c r="U157" s="42" t="e">
        <f t="shared" ca="1" si="80"/>
        <v>#REF!</v>
      </c>
      <c r="V157" s="42" t="e">
        <f t="shared" ca="1" si="80"/>
        <v>#REF!</v>
      </c>
      <c r="W157" s="42" t="e">
        <f t="shared" ca="1" si="80"/>
        <v>#REF!</v>
      </c>
      <c r="X157" s="42" t="e">
        <f t="shared" ca="1" si="80"/>
        <v>#REF!</v>
      </c>
      <c r="Y157" s="36"/>
    </row>
    <row r="158" spans="1:25" x14ac:dyDescent="0.2">
      <c r="A158" s="155" t="s">
        <v>628</v>
      </c>
      <c r="B158" s="233"/>
      <c r="C158" s="69"/>
      <c r="D158" s="69" t="e">
        <f>ROUND((D$160-D$157)*SUM(#REF!,-#REF!,-#REF!*2/3)/SUM(#REF!,-#REF!,#REF!,-#REF!),3)</f>
        <v>#REF!</v>
      </c>
      <c r="E158" s="69" t="e">
        <f>ROUND((E$160-E$157)*SUM(#REF!,-#REF!,-#REF!*2/3)/SUM(#REF!,-#REF!,#REF!,-#REF!),3)</f>
        <v>#REF!</v>
      </c>
      <c r="F158" s="69" t="e">
        <f>ROUND((F$160-F$157)*SUM(#REF!,-#REF!,-#REF!*2/3)/SUM(#REF!,-#REF!,#REF!,-#REF!),3)</f>
        <v>#REF!</v>
      </c>
      <c r="G158" s="69" t="e">
        <f>ROUND((G$160-G$157)*SUM(#REF!,-#REF!,-#REF!*2/3)/SUM(#REF!,-#REF!,#REF!,-#REF!),3)</f>
        <v>#REF!</v>
      </c>
      <c r="H158" s="69" t="e">
        <f>ROUND((H$160-H$157)*SUM(#REF!,-#REF!,-#REF!*2/3)/SUM(#REF!,-#REF!,#REF!,-#REF!),3)</f>
        <v>#REF!</v>
      </c>
      <c r="I158" s="69" t="e">
        <f>ROUND((I$160-I$157)*SUM(#REF!,-#REF!,-#REF!*2/3)/SUM(#REF!,-#REF!,#REF!,-#REF!),3)</f>
        <v>#REF!</v>
      </c>
      <c r="J158" s="105" t="e">
        <f>ROUND((J$160-J$157)*SUM(#REF!,-#REF!,-#REF!*2/3)/SUM(#REF!,-#REF!,#REF!,-#REF!),3)</f>
        <v>#REF!</v>
      </c>
      <c r="K158" s="105" t="e">
        <f>ROUND((K$160-K$157)*SUM(#REF!,-#REF!,-#REF!*2/3)/SUM(#REF!,-#REF!,#REF!,-#REF!),3)</f>
        <v>#REF!</v>
      </c>
      <c r="L158" s="105" t="e">
        <f>ROUND((L$160-L$157)*SUM(#REF!,-#REF!,-#REF!*2/3)/SUM(#REF!,-#REF!,#REF!,-#REF!),3)</f>
        <v>#REF!</v>
      </c>
      <c r="M158" s="105" t="e">
        <f>ROUND((M$160-M$157)*SUM(#REF!,-#REF!,-#REF!*2/3)/SUM(#REF!,-#REF!,#REF!,-#REF!),3)</f>
        <v>#REF!</v>
      </c>
      <c r="N158" s="105" t="e">
        <f>ROUND((N$160-N$157)*SUM(#REF!,-#REF!,-#REF!*2/3)/SUM(#REF!,-#REF!,#REF!,-#REF!),3)</f>
        <v>#REF!</v>
      </c>
      <c r="O158" s="73" t="e">
        <f t="shared" ref="O158:X158" ca="1" si="81">N$158*(1+O$238)</f>
        <v>#REF!</v>
      </c>
      <c r="P158" s="73" t="e">
        <f t="shared" ca="1" si="81"/>
        <v>#REF!</v>
      </c>
      <c r="Q158" s="73" t="e">
        <f t="shared" ca="1" si="81"/>
        <v>#REF!</v>
      </c>
      <c r="R158" s="73" t="e">
        <f t="shared" ca="1" si="81"/>
        <v>#REF!</v>
      </c>
      <c r="S158" s="73" t="e">
        <f t="shared" ca="1" si="81"/>
        <v>#REF!</v>
      </c>
      <c r="T158" s="73" t="e">
        <f t="shared" ca="1" si="81"/>
        <v>#REF!</v>
      </c>
      <c r="U158" s="73" t="e">
        <f t="shared" ca="1" si="81"/>
        <v>#REF!</v>
      </c>
      <c r="V158" s="73" t="e">
        <f t="shared" ca="1" si="81"/>
        <v>#REF!</v>
      </c>
      <c r="W158" s="73" t="e">
        <f t="shared" ca="1" si="81"/>
        <v>#REF!</v>
      </c>
      <c r="X158" s="73" t="e">
        <f t="shared" ca="1" si="81"/>
        <v>#REF!</v>
      </c>
      <c r="Y158" s="36"/>
    </row>
    <row r="159" spans="1:25" x14ac:dyDescent="0.2">
      <c r="A159" s="155" t="s">
        <v>629</v>
      </c>
      <c r="B159" s="233"/>
      <c r="C159" s="69"/>
      <c r="D159" s="176" t="e">
        <f>ROUND((D$160-D$157)*SUM(#REF!,-#REF!*1/3)/SUM(#REF!,-#REF!,#REF!,-#REF!),3)</f>
        <v>#REF!</v>
      </c>
      <c r="E159" s="176" t="e">
        <f>ROUND((E$160-E$157)*SUM(#REF!,-#REF!*1/3)/SUM(#REF!,-#REF!,#REF!,-#REF!),3)</f>
        <v>#REF!</v>
      </c>
      <c r="F159" s="176" t="e">
        <f>ROUND((F$160-F$157)*SUM(#REF!,-#REF!*1/3)/SUM(#REF!,-#REF!,#REF!,-#REF!),3)</f>
        <v>#REF!</v>
      </c>
      <c r="G159" s="176" t="e">
        <f>ROUND((G$160-G$157)*SUM(#REF!,-#REF!*1/3)/SUM(#REF!,-#REF!,#REF!,-#REF!),3)</f>
        <v>#REF!</v>
      </c>
      <c r="H159" s="176" t="e">
        <f>ROUND((H$160-H$157)*SUM(#REF!,-#REF!*1/3)/SUM(#REF!,-#REF!,#REF!,-#REF!),3)</f>
        <v>#REF!</v>
      </c>
      <c r="I159" s="176" t="e">
        <f>ROUND((I$160-I$157)*SUM(#REF!,-#REF!*1/3)/SUM(#REF!,-#REF!,#REF!,-#REF!),3)</f>
        <v>#REF!</v>
      </c>
      <c r="J159" s="130" t="e">
        <f>ROUND((J$160-J$157)*SUM(#REF!,-#REF!*1/3)/SUM(#REF!,-#REF!,#REF!,-#REF!),3)</f>
        <v>#REF!</v>
      </c>
      <c r="K159" s="130" t="e">
        <f>ROUND((K$160-K$157)*SUM(#REF!,-#REF!*1/3)/SUM(#REF!,-#REF!,#REF!,-#REF!),3)</f>
        <v>#REF!</v>
      </c>
      <c r="L159" s="130" t="e">
        <f>ROUND((L$160-L$157)*SUM(#REF!,-#REF!*1/3)/SUM(#REF!,-#REF!,#REF!,-#REF!),3)</f>
        <v>#REF!</v>
      </c>
      <c r="M159" s="130" t="e">
        <f>ROUND((M$160-M$157)*SUM(#REF!,-#REF!*1/3)/SUM(#REF!,-#REF!,#REF!,-#REF!),3)</f>
        <v>#REF!</v>
      </c>
      <c r="N159" s="130" t="e">
        <f>ROUND((N$160-N$157)*SUM(#REF!,-#REF!*1/3)/SUM(#REF!,-#REF!,#REF!,-#REF!),3)</f>
        <v>#REF!</v>
      </c>
      <c r="O159" s="81" t="e">
        <f t="shared" ref="O159:X159" ca="1" si="82">N$159*(1+O$238)</f>
        <v>#REF!</v>
      </c>
      <c r="P159" s="81" t="e">
        <f t="shared" ca="1" si="82"/>
        <v>#REF!</v>
      </c>
      <c r="Q159" s="81" t="e">
        <f t="shared" ca="1" si="82"/>
        <v>#REF!</v>
      </c>
      <c r="R159" s="81" t="e">
        <f t="shared" ca="1" si="82"/>
        <v>#REF!</v>
      </c>
      <c r="S159" s="81" t="e">
        <f t="shared" ca="1" si="82"/>
        <v>#REF!</v>
      </c>
      <c r="T159" s="81" t="e">
        <f t="shared" ca="1" si="82"/>
        <v>#REF!</v>
      </c>
      <c r="U159" s="81" t="e">
        <f t="shared" ca="1" si="82"/>
        <v>#REF!</v>
      </c>
      <c r="V159" s="81" t="e">
        <f t="shared" ca="1" si="82"/>
        <v>#REF!</v>
      </c>
      <c r="W159" s="81" t="e">
        <f t="shared" ca="1" si="82"/>
        <v>#REF!</v>
      </c>
      <c r="X159" s="81" t="e">
        <f t="shared" ca="1" si="82"/>
        <v>#REF!</v>
      </c>
      <c r="Y159" s="36"/>
    </row>
    <row r="160" spans="1:25" x14ac:dyDescent="0.2">
      <c r="A160" s="27" t="s">
        <v>319</v>
      </c>
      <c r="B160" s="233"/>
      <c r="C160" s="69"/>
      <c r="D160" s="71" t="e">
        <f>SUM(#REF!)</f>
        <v>#REF!</v>
      </c>
      <c r="E160" s="71" t="e">
        <f>SUM(#REF!)</f>
        <v>#REF!</v>
      </c>
      <c r="F160" s="71" t="e">
        <f>SUM(#REF!)</f>
        <v>#REF!</v>
      </c>
      <c r="G160" s="71" t="e">
        <f>SUM(#REF!)</f>
        <v>#REF!</v>
      </c>
      <c r="H160" s="71" t="e">
        <f>SUM(#REF!)</f>
        <v>#REF!</v>
      </c>
      <c r="I160" s="71" t="e">
        <f>SUM(#REF!)</f>
        <v>#REF!</v>
      </c>
      <c r="J160" s="131" t="e">
        <f>SUM(#REF!) + IF($I$1="Yes",SUM(J$309,J$310),0) + IF($L$1="Yes",J$343,0)</f>
        <v>#REF!</v>
      </c>
      <c r="K160" s="131" t="e">
        <f>SUM(#REF!) + IF($I$1="Yes",SUM(K$309,K$310),0) + IF($L$1="Yes",K$343,0)</f>
        <v>#REF!</v>
      </c>
      <c r="L160" s="131" t="e">
        <f>SUM(#REF!) + IF($I$1="Yes",SUM(L$309,L$310),0) + IF($L$1="Yes",L$343,0)</f>
        <v>#REF!</v>
      </c>
      <c r="M160" s="131" t="e">
        <f>SUM(#REF!) + IF($I$1="Yes",SUM(M$309,M$310),0) + IF($L$1="Yes",M$343,0)</f>
        <v>#REF!</v>
      </c>
      <c r="N160" s="131" t="e">
        <f>SUM(#REF!) + IF($I$1="Yes",SUM(N$309,N$310),0) + IF($L$1="Yes",N$343,0)</f>
        <v>#REF!</v>
      </c>
      <c r="O160" s="42" t="e">
        <f t="shared" ref="O160:X160" ca="1" si="83">SUM(O$157:O$159)</f>
        <v>#REF!</v>
      </c>
      <c r="P160" s="42" t="e">
        <f t="shared" ca="1" si="83"/>
        <v>#REF!</v>
      </c>
      <c r="Q160" s="42" t="e">
        <f t="shared" ca="1" si="83"/>
        <v>#REF!</v>
      </c>
      <c r="R160" s="42" t="e">
        <f t="shared" ca="1" si="83"/>
        <v>#REF!</v>
      </c>
      <c r="S160" s="42" t="e">
        <f t="shared" ca="1" si="83"/>
        <v>#REF!</v>
      </c>
      <c r="T160" s="42" t="e">
        <f t="shared" ca="1" si="83"/>
        <v>#REF!</v>
      </c>
      <c r="U160" s="42" t="e">
        <f t="shared" ca="1" si="83"/>
        <v>#REF!</v>
      </c>
      <c r="V160" s="42" t="e">
        <f t="shared" ca="1" si="83"/>
        <v>#REF!</v>
      </c>
      <c r="W160" s="42" t="e">
        <f t="shared" ca="1" si="83"/>
        <v>#REF!</v>
      </c>
      <c r="X160" s="42" t="e">
        <f t="shared" ca="1" si="83"/>
        <v>#REF!</v>
      </c>
      <c r="Y160" s="36"/>
    </row>
    <row r="161" spans="1:30" x14ac:dyDescent="0.2">
      <c r="A161" s="27"/>
      <c r="B161" s="102"/>
      <c r="C161" s="69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36"/>
    </row>
    <row r="162" spans="1:30" x14ac:dyDescent="0.2">
      <c r="A162" s="108" t="s">
        <v>642</v>
      </c>
      <c r="B162" s="42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36"/>
    </row>
    <row r="163" spans="1:30" x14ac:dyDescent="0.2">
      <c r="A163" s="30" t="s">
        <v>134</v>
      </c>
      <c r="B163" s="36"/>
      <c r="C163" s="69"/>
      <c r="D163" s="126" t="e">
        <f>#REF!</f>
        <v>#REF!</v>
      </c>
      <c r="E163" s="69" t="e">
        <f t="shared" ref="E163:X163" si="84">D$170</f>
        <v>#REF!</v>
      </c>
      <c r="F163" s="69" t="e">
        <f t="shared" si="84"/>
        <v>#REF!</v>
      </c>
      <c r="G163" s="69" t="e">
        <f t="shared" si="84"/>
        <v>#REF!</v>
      </c>
      <c r="H163" s="69" t="e">
        <f t="shared" si="84"/>
        <v>#REF!</v>
      </c>
      <c r="I163" s="69" t="e">
        <f t="shared" si="84"/>
        <v>#REF!</v>
      </c>
      <c r="J163" s="105" t="e">
        <f t="shared" si="84"/>
        <v>#REF!</v>
      </c>
      <c r="K163" s="105" t="e">
        <f t="shared" si="84"/>
        <v>#REF!</v>
      </c>
      <c r="L163" s="105" t="e">
        <f t="shared" si="84"/>
        <v>#REF!</v>
      </c>
      <c r="M163" s="105" t="e">
        <f t="shared" si="84"/>
        <v>#REF!</v>
      </c>
      <c r="N163" s="105" t="e">
        <f t="shared" si="84"/>
        <v>#REF!</v>
      </c>
      <c r="O163" s="73" t="e">
        <f t="shared" si="84"/>
        <v>#REF!</v>
      </c>
      <c r="P163" s="73" t="e">
        <f t="shared" si="84"/>
        <v>#REF!</v>
      </c>
      <c r="Q163" s="73" t="e">
        <f t="shared" si="84"/>
        <v>#REF!</v>
      </c>
      <c r="R163" s="73" t="e">
        <f t="shared" si="84"/>
        <v>#REF!</v>
      </c>
      <c r="S163" s="73" t="e">
        <f t="shared" si="84"/>
        <v>#REF!</v>
      </c>
      <c r="T163" s="73" t="e">
        <f t="shared" si="84"/>
        <v>#REF!</v>
      </c>
      <c r="U163" s="73" t="e">
        <f t="shared" si="84"/>
        <v>#REF!</v>
      </c>
      <c r="V163" s="73" t="e">
        <f t="shared" si="84"/>
        <v>#REF!</v>
      </c>
      <c r="W163" s="73" t="e">
        <f t="shared" si="84"/>
        <v>#REF!</v>
      </c>
      <c r="X163" s="73" t="e">
        <f t="shared" si="84"/>
        <v>#REF!</v>
      </c>
      <c r="Y163" s="36"/>
    </row>
    <row r="164" spans="1:30" x14ac:dyDescent="0.2">
      <c r="A164" s="155" t="s">
        <v>316</v>
      </c>
      <c r="B164" s="233"/>
      <c r="C164" s="69"/>
      <c r="D164" s="69" t="e">
        <f>#REF!</f>
        <v>#REF!</v>
      </c>
      <c r="E164" s="69" t="e">
        <f>#REF!</f>
        <v>#REF!</v>
      </c>
      <c r="F164" s="69" t="e">
        <f>#REF!</f>
        <v>#REF!</v>
      </c>
      <c r="G164" s="69" t="e">
        <f>#REF!</f>
        <v>#REF!</v>
      </c>
      <c r="H164" s="69" t="e">
        <f>#REF!</f>
        <v>#REF!</v>
      </c>
      <c r="I164" s="69" t="e">
        <f>#REF!</f>
        <v>#REF!</v>
      </c>
      <c r="J164" s="105" t="e">
        <f>#REF! + IF($L$1="Yes",J$341,0)</f>
        <v>#REF!</v>
      </c>
      <c r="K164" s="105" t="e">
        <f>#REF! + IF($L$1="Yes",K$341,0)</f>
        <v>#REF!</v>
      </c>
      <c r="L164" s="105" t="e">
        <f>#REF! + IF($L$1="Yes",L$341,0)</f>
        <v>#REF!</v>
      </c>
      <c r="M164" s="105" t="e">
        <f>#REF! + IF($L$1="Yes",M$341,0)</f>
        <v>#REF!</v>
      </c>
      <c r="N164" s="105" t="e">
        <f>#REF! + IF($L$1="Yes",N$341,0)</f>
        <v>#REF!</v>
      </c>
      <c r="O164" s="73" t="e">
        <f>IF($L$1="Yes",IF('Forecast Adjuster'!R$72=0,'Forecast Adjuster'!S$72,N$164*'Forecast Adjuster'!S$72/'Forecast Adjuster'!R$72),IF(#REF!=0,#REF!,N$164*#REF!/#REF!))</f>
        <v>#REF!</v>
      </c>
      <c r="P164" s="73" t="e">
        <f>IF($L$1="Yes",IF('Forecast Adjuster'!S$72=0,'Forecast Adjuster'!T$72,O$164*'Forecast Adjuster'!T$72/'Forecast Adjuster'!S$72),IF(#REF!=0,#REF!,O$164*#REF!/#REF!))</f>
        <v>#REF!</v>
      </c>
      <c r="Q164" s="73" t="e">
        <f>IF($L$1="Yes",IF('Forecast Adjuster'!T$72=0,'Forecast Adjuster'!U$72,P$164*'Forecast Adjuster'!U$72/'Forecast Adjuster'!T$72),IF(#REF!=0,#REF!,P$164*#REF!/#REF!))</f>
        <v>#REF!</v>
      </c>
      <c r="R164" s="73" t="e">
        <f>IF($L$1="Yes",IF('Forecast Adjuster'!U$72=0,'Forecast Adjuster'!V$72,Q$164*'Forecast Adjuster'!V$72/'Forecast Adjuster'!U$72),IF(#REF!=0,#REF!,Q$164*#REF!/#REF!))</f>
        <v>#REF!</v>
      </c>
      <c r="S164" s="73" t="e">
        <f>IF($L$1="Yes",IF('Forecast Adjuster'!V$72=0,'Forecast Adjuster'!W$72,R$164*'Forecast Adjuster'!W$72/'Forecast Adjuster'!V$72),IF(#REF!=0,#REF!,R$164*#REF!/#REF!))</f>
        <v>#REF!</v>
      </c>
      <c r="T164" s="73" t="e">
        <f>IF($L$1="Yes",IF('Forecast Adjuster'!W$72=0,'Forecast Adjuster'!X$72,S$164*'Forecast Adjuster'!X$72/'Forecast Adjuster'!W$72),IF(#REF!=0,#REF!,S$164*#REF!/#REF!))</f>
        <v>#REF!</v>
      </c>
      <c r="U164" s="73" t="e">
        <f>IF($L$1="Yes",IF('Forecast Adjuster'!X$72=0,'Forecast Adjuster'!Y$72,T$164*'Forecast Adjuster'!Y$72/'Forecast Adjuster'!X$72),IF(#REF!=0,#REF!,T$164*#REF!/#REF!))</f>
        <v>#REF!</v>
      </c>
      <c r="V164" s="73" t="e">
        <f>IF($L$1="Yes",IF('Forecast Adjuster'!Y$72=0,'Forecast Adjuster'!Z$72,U$164*'Forecast Adjuster'!Z$72/'Forecast Adjuster'!Y$72),IF(#REF!=0,#REF!,U$164*#REF!/#REF!))</f>
        <v>#REF!</v>
      </c>
      <c r="W164" s="73" t="e">
        <f>IF($L$1="Yes",IF('Forecast Adjuster'!Z$72=0,'Forecast Adjuster'!AA$72,V$164*'Forecast Adjuster'!AA$72/'Forecast Adjuster'!Z$72),IF(#REF!=0,#REF!,V$164*#REF!/#REF!))</f>
        <v>#REF!</v>
      </c>
      <c r="X164" s="73" t="e">
        <f>IF($L$1="Yes",IF('Forecast Adjuster'!AA$72=0,'Forecast Adjuster'!AB$72,W$164*'Forecast Adjuster'!AB$72/'Forecast Adjuster'!AA$72),IF(#REF!=0,#REF!,W$164*#REF!/#REF!))</f>
        <v>#REF!</v>
      </c>
      <c r="Y164" s="36"/>
    </row>
    <row r="165" spans="1:30" x14ac:dyDescent="0.2">
      <c r="A165" s="155" t="s">
        <v>637</v>
      </c>
      <c r="B165" s="233"/>
      <c r="C165" s="69"/>
      <c r="D165" s="69" t="e">
        <f>#REF!</f>
        <v>#REF!</v>
      </c>
      <c r="E165" s="69" t="e">
        <f>#REF!</f>
        <v>#REF!</v>
      </c>
      <c r="F165" s="69" t="e">
        <f>#REF!</f>
        <v>#REF!</v>
      </c>
      <c r="G165" s="69" t="e">
        <f>#REF!</f>
        <v>#REF!</v>
      </c>
      <c r="H165" s="69" t="e">
        <f>#REF!</f>
        <v>#REF!</v>
      </c>
      <c r="I165" s="69" t="e">
        <f>#REF!</f>
        <v>#REF!</v>
      </c>
      <c r="J165" s="105" t="e">
        <f>#REF! + IF($L$1="Yes",J$334,0)</f>
        <v>#REF!</v>
      </c>
      <c r="K165" s="105" t="e">
        <f>#REF! + IF($L$1="Yes",K$334,0)</f>
        <v>#REF!</v>
      </c>
      <c r="L165" s="105" t="e">
        <f>#REF! + IF($L$1="Yes",L$334,0)</f>
        <v>#REF!</v>
      </c>
      <c r="M165" s="105" t="e">
        <f>#REF! + IF($L$1="Yes",M$334,0)</f>
        <v>#REF!</v>
      </c>
      <c r="N165" s="105" t="e">
        <f>#REF! + IF($L$1="Yes",N$334,0)</f>
        <v>#REF!</v>
      </c>
      <c r="O165" s="73" t="e">
        <f>IF($L$1="Yes",IF('Forecast Adjuster'!R$73=0,(N$165/SUM(N$165,N$166,-N$167,N$169))*'Forecast Adjuster'!S$73,N$165*'Forecast Adjuster'!S$73/'Forecast Adjuster'!R$73),N$165*#REF!/#REF!)</f>
        <v>#REF!</v>
      </c>
      <c r="P165" s="73" t="e">
        <f>IF($L$1="Yes",IF('Forecast Adjuster'!S$73=0,(O$165/SUM(O$165,O$166,-O$167,O$169))*'Forecast Adjuster'!T$73,O$165*'Forecast Adjuster'!T$73/'Forecast Adjuster'!S$73),O$165*#REF!/#REF!)</f>
        <v>#REF!</v>
      </c>
      <c r="Q165" s="73" t="e">
        <f>IF($L$1="Yes",IF('Forecast Adjuster'!T$73=0,(P$165/SUM(P$165,P$166,-P$167,P$169))*'Forecast Adjuster'!U$73,P$165*'Forecast Adjuster'!U$73/'Forecast Adjuster'!T$73),P$165*#REF!/#REF!)</f>
        <v>#REF!</v>
      </c>
      <c r="R165" s="73" t="e">
        <f>IF($L$1="Yes",IF('Forecast Adjuster'!U$73=0,(Q$165/SUM(Q$165,Q$166,-Q$167,Q$169))*'Forecast Adjuster'!V$73,Q$165*'Forecast Adjuster'!V$73/'Forecast Adjuster'!U$73),Q$165*#REF!/#REF!)</f>
        <v>#REF!</v>
      </c>
      <c r="S165" s="73" t="e">
        <f>IF($L$1="Yes",IF('Forecast Adjuster'!V$73=0,(R$165/SUM(R$165,R$166,-R$167,R$169))*'Forecast Adjuster'!W$73,R$165*'Forecast Adjuster'!W$73/'Forecast Adjuster'!V$73),R$165*#REF!/#REF!)</f>
        <v>#REF!</v>
      </c>
      <c r="T165" s="73" t="e">
        <f>IF($L$1="Yes",IF('Forecast Adjuster'!W$73=0,(S$165/SUM(S$165,S$166,-S$167,S$169))*'Forecast Adjuster'!X$73,S$165*'Forecast Adjuster'!X$73/'Forecast Adjuster'!W$73),S$165*#REF!/#REF!)</f>
        <v>#REF!</v>
      </c>
      <c r="U165" s="73" t="e">
        <f>IF($L$1="Yes",IF('Forecast Adjuster'!X$73=0,(T$165/SUM(T$165,T$166,-T$167,T$169))*'Forecast Adjuster'!Y$73,T$165*'Forecast Adjuster'!Y$73/'Forecast Adjuster'!X$73),T$165*#REF!/#REF!)</f>
        <v>#REF!</v>
      </c>
      <c r="V165" s="73" t="e">
        <f>IF($L$1="Yes",IF('Forecast Adjuster'!Y$73=0,(U$165/SUM(U$165,U$166,-U$167,U$169))*'Forecast Adjuster'!Z$73,U$165*'Forecast Adjuster'!Z$73/'Forecast Adjuster'!Y$73),U$165*#REF!/#REF!)</f>
        <v>#REF!</v>
      </c>
      <c r="W165" s="73" t="e">
        <f>IF($L$1="Yes",IF('Forecast Adjuster'!Z$73=0,(V$165/SUM(V$165,V$166,-V$167,V$169))*'Forecast Adjuster'!AA$73,V$165*'Forecast Adjuster'!AA$73/'Forecast Adjuster'!Z$73),V$165*#REF!/#REF!)</f>
        <v>#REF!</v>
      </c>
      <c r="X165" s="73" t="e">
        <f>IF($L$1="Yes",IF('Forecast Adjuster'!AA$73=0,(W$165/SUM(W$165,W$166,-W$167,W$169))*'Forecast Adjuster'!AB$73,W$165*'Forecast Adjuster'!AB$73/'Forecast Adjuster'!AA$73),W$165*#REF!/#REF!)</f>
        <v>#REF!</v>
      </c>
      <c r="Y165" s="36"/>
    </row>
    <row r="166" spans="1:30" x14ac:dyDescent="0.2">
      <c r="A166" s="155" t="s">
        <v>641</v>
      </c>
      <c r="B166" s="233"/>
      <c r="C166" s="69"/>
      <c r="D166" s="69" t="e">
        <f>#REF!</f>
        <v>#REF!</v>
      </c>
      <c r="E166" s="69" t="e">
        <f>#REF!</f>
        <v>#REF!</v>
      </c>
      <c r="F166" s="69" t="e">
        <f>#REF!</f>
        <v>#REF!</v>
      </c>
      <c r="G166" s="69" t="e">
        <f>#REF!</f>
        <v>#REF!</v>
      </c>
      <c r="H166" s="69" t="e">
        <f>#REF!</f>
        <v>#REF!</v>
      </c>
      <c r="I166" s="69" t="e">
        <f>#REF!</f>
        <v>#REF!</v>
      </c>
      <c r="J166" s="105" t="e">
        <f>#REF! + IF($L$1="Yes",J$335,0)</f>
        <v>#REF!</v>
      </c>
      <c r="K166" s="105" t="e">
        <f>#REF! + IF($L$1="Yes",K$335,0)</f>
        <v>#REF!</v>
      </c>
      <c r="L166" s="105" t="e">
        <f>#REF! + IF($L$1="Yes",L$335,0)</f>
        <v>#REF!</v>
      </c>
      <c r="M166" s="105" t="e">
        <f>#REF! + IF($L$1="Yes",M$335,0)</f>
        <v>#REF!</v>
      </c>
      <c r="N166" s="105" t="e">
        <f>#REF! + IF($L$1="Yes",N$335,0)</f>
        <v>#REF!</v>
      </c>
      <c r="O166" s="73" t="e">
        <f>IF($L$1="Yes",IF('Forecast Adjuster'!R$73=0,(N$166/SUM(N$165,N$166,-N$167,N$169))*'Forecast Adjuster'!S$73,N$166*'Forecast Adjuster'!S$73/'Forecast Adjuster'!R$73),N$166*#REF!/#REF!)</f>
        <v>#REF!</v>
      </c>
      <c r="P166" s="73" t="e">
        <f>IF($L$1="Yes",IF('Forecast Adjuster'!S$73=0,(O$166/SUM(O$165,O$166,-O$167,O$169))*'Forecast Adjuster'!T$73,O$166*'Forecast Adjuster'!T$73/'Forecast Adjuster'!S$73),O$166*#REF!/#REF!)</f>
        <v>#REF!</v>
      </c>
      <c r="Q166" s="73" t="e">
        <f>IF($L$1="Yes",IF('Forecast Adjuster'!T$73=0,(P$166/SUM(P$165,P$166,-P$167,P$169))*'Forecast Adjuster'!U$73,P$166*'Forecast Adjuster'!U$73/'Forecast Adjuster'!T$73),P$166*#REF!/#REF!)</f>
        <v>#REF!</v>
      </c>
      <c r="R166" s="73" t="e">
        <f>IF($L$1="Yes",IF('Forecast Adjuster'!U$73=0,(Q$166/SUM(Q$165,Q$166,-Q$167,Q$169))*'Forecast Adjuster'!V$73,Q$166*'Forecast Adjuster'!V$73/'Forecast Adjuster'!U$73),Q$166*#REF!/#REF!)</f>
        <v>#REF!</v>
      </c>
      <c r="S166" s="73" t="e">
        <f>IF($L$1="Yes",IF('Forecast Adjuster'!V$73=0,(R$166/SUM(R$165,R$166,-R$167,R$169))*'Forecast Adjuster'!W$73,R$166*'Forecast Adjuster'!W$73/'Forecast Adjuster'!V$73),R$166*#REF!/#REF!)</f>
        <v>#REF!</v>
      </c>
      <c r="T166" s="73" t="e">
        <f>IF($L$1="Yes",IF('Forecast Adjuster'!W$73=0,(S$166/SUM(S$165,S$166,-S$167,S$169))*'Forecast Adjuster'!X$73,S$166*'Forecast Adjuster'!X$73/'Forecast Adjuster'!W$73),S$166*#REF!/#REF!)</f>
        <v>#REF!</v>
      </c>
      <c r="U166" s="73" t="e">
        <f>IF($L$1="Yes",IF('Forecast Adjuster'!X$73=0,(T$166/SUM(T$165,T$166,-T$167,T$169))*'Forecast Adjuster'!Y$73,T$166*'Forecast Adjuster'!Y$73/'Forecast Adjuster'!X$73),T$166*#REF!/#REF!)</f>
        <v>#REF!</v>
      </c>
      <c r="V166" s="73" t="e">
        <f>IF($L$1="Yes",IF('Forecast Adjuster'!Y$73=0,(U$166/SUM(U$165,U$166,-U$167,U$169))*'Forecast Adjuster'!Z$73,U$166*'Forecast Adjuster'!Z$73/'Forecast Adjuster'!Y$73),U$166*#REF!/#REF!)</f>
        <v>#REF!</v>
      </c>
      <c r="W166" s="73" t="e">
        <f>IF($L$1="Yes",IF('Forecast Adjuster'!Z$73=0,(V$166/SUM(V$165,V$166,-V$167,V$169))*'Forecast Adjuster'!AA$73,V$166*'Forecast Adjuster'!AA$73/'Forecast Adjuster'!Z$73),V$166*#REF!/#REF!)</f>
        <v>#REF!</v>
      </c>
      <c r="X166" s="73" t="e">
        <f>IF($L$1="Yes",IF('Forecast Adjuster'!AA$73=0,(W$166/SUM(W$165,W$166,-W$167,W$169))*'Forecast Adjuster'!AB$73,W$166*'Forecast Adjuster'!AB$73/'Forecast Adjuster'!AA$73),W$166*#REF!/#REF!)</f>
        <v>#REF!</v>
      </c>
      <c r="Y166" s="36"/>
    </row>
    <row r="167" spans="1:30" x14ac:dyDescent="0.2">
      <c r="A167" s="161" t="s">
        <v>639</v>
      </c>
      <c r="B167" s="233"/>
      <c r="C167" s="69"/>
      <c r="D167" s="69" t="e">
        <f>#REF!</f>
        <v>#REF!</v>
      </c>
      <c r="E167" s="69" t="e">
        <f>#REF!</f>
        <v>#REF!</v>
      </c>
      <c r="F167" s="69" t="e">
        <f>#REF!</f>
        <v>#REF!</v>
      </c>
      <c r="G167" s="69" t="e">
        <f>#REF!</f>
        <v>#REF!</v>
      </c>
      <c r="H167" s="69" t="e">
        <f>#REF!</f>
        <v>#REF!</v>
      </c>
      <c r="I167" s="69" t="e">
        <f>#REF!</f>
        <v>#REF!</v>
      </c>
      <c r="J167" s="105" t="e">
        <f>#REF! + IF($L$1="Yes",J$336,0)</f>
        <v>#REF!</v>
      </c>
      <c r="K167" s="105" t="e">
        <f>#REF! + IF($L$1="Yes",K$336,0)</f>
        <v>#REF!</v>
      </c>
      <c r="L167" s="105" t="e">
        <f>#REF! + IF($L$1="Yes",L$336,0)</f>
        <v>#REF!</v>
      </c>
      <c r="M167" s="105" t="e">
        <f>#REF! + IF($L$1="Yes",M$336,0)</f>
        <v>#REF!</v>
      </c>
      <c r="N167" s="105" t="e">
        <f>#REF! + IF($L$1="Yes",N$336,0)</f>
        <v>#REF!</v>
      </c>
      <c r="O167" s="73" t="e">
        <f>IF($L$1="Yes",IF('Forecast Adjuster'!R$73=0,-(-N$167/SUM(N$165,N$166,-N$167,N$169))*'Forecast Adjuster'!S$73,N$167*'Forecast Adjuster'!S$73/'Forecast Adjuster'!R$73),N$167*#REF!/#REF!)</f>
        <v>#REF!</v>
      </c>
      <c r="P167" s="73" t="e">
        <f>IF($L$1="Yes",IF('Forecast Adjuster'!S$73=0,-(-O$167/SUM(O$165,O$166,-O$167,O$169))*'Forecast Adjuster'!T$73,O$167*'Forecast Adjuster'!T$73/'Forecast Adjuster'!S$73),O$167*#REF!/#REF!)</f>
        <v>#REF!</v>
      </c>
      <c r="Q167" s="73" t="e">
        <f>IF($L$1="Yes",IF('Forecast Adjuster'!T$73=0,-(-P$167/SUM(P$165,P$166,-P$167,P$169))*'Forecast Adjuster'!U$73,P$167*'Forecast Adjuster'!U$73/'Forecast Adjuster'!T$73),P$167*#REF!/#REF!)</f>
        <v>#REF!</v>
      </c>
      <c r="R167" s="73" t="e">
        <f>IF($L$1="Yes",IF('Forecast Adjuster'!U$73=0,-(-Q$167/SUM(Q$165,Q$166,-Q$167,Q$169))*'Forecast Adjuster'!V$73,Q$167*'Forecast Adjuster'!V$73/'Forecast Adjuster'!U$73),Q$167*#REF!/#REF!)</f>
        <v>#REF!</v>
      </c>
      <c r="S167" s="73" t="e">
        <f>IF($L$1="Yes",IF('Forecast Adjuster'!V$73=0,-(-R$167/SUM(R$165,R$166,-R$167,R$169))*'Forecast Adjuster'!W$73,R$167*'Forecast Adjuster'!W$73/'Forecast Adjuster'!V$73),R$167*#REF!/#REF!)</f>
        <v>#REF!</v>
      </c>
      <c r="T167" s="73" t="e">
        <f>IF($L$1="Yes",IF('Forecast Adjuster'!W$73=0,-(-S$167/SUM(S$165,S$166,-S$167,S$169))*'Forecast Adjuster'!X$73,S$167*'Forecast Adjuster'!X$73/'Forecast Adjuster'!W$73),S$167*#REF!/#REF!)</f>
        <v>#REF!</v>
      </c>
      <c r="U167" s="73" t="e">
        <f>IF($L$1="Yes",IF('Forecast Adjuster'!X$73=0,-(-T$167/SUM(T$165,T$166,-T$167,T$169))*'Forecast Adjuster'!Y$73,T$167*'Forecast Adjuster'!Y$73/'Forecast Adjuster'!X$73),T$167*#REF!/#REF!)</f>
        <v>#REF!</v>
      </c>
      <c r="V167" s="73" t="e">
        <f>IF($L$1="Yes",IF('Forecast Adjuster'!Y$73=0,-(-U$167/SUM(U$165,U$166,-U$167,U$169))*'Forecast Adjuster'!Z$73,U$167*'Forecast Adjuster'!Z$73/'Forecast Adjuster'!Y$73),U$167*#REF!/#REF!)</f>
        <v>#REF!</v>
      </c>
      <c r="W167" s="73" t="e">
        <f>IF($L$1="Yes",IF('Forecast Adjuster'!Z$73=0,-(-V$167/SUM(V$165,V$166,-V$167,V$169))*'Forecast Adjuster'!AA$73,V$167*'Forecast Adjuster'!AA$73/'Forecast Adjuster'!Z$73),V$167*#REF!/#REF!)</f>
        <v>#REF!</v>
      </c>
      <c r="X167" s="73" t="e">
        <f>IF($L$1="Yes",IF('Forecast Adjuster'!AA$73=0,-(-W$167/SUM(W$165,W$166,-W$167,W$169))*'Forecast Adjuster'!AB$73,W$167*'Forecast Adjuster'!AB$73/'Forecast Adjuster'!AA$73),W$167*#REF!/#REF!)</f>
        <v>#REF!</v>
      </c>
      <c r="Y167" s="36"/>
      <c r="Z167" s="36"/>
      <c r="AA167" s="36"/>
      <c r="AB167" s="36"/>
      <c r="AC167" s="36"/>
      <c r="AD167" s="36"/>
    </row>
    <row r="168" spans="1:30" x14ac:dyDescent="0.2">
      <c r="A168" s="161" t="s">
        <v>638</v>
      </c>
      <c r="B168" s="233"/>
      <c r="C168" s="69"/>
      <c r="D168" s="69" t="e">
        <f>#REF!</f>
        <v>#REF!</v>
      </c>
      <c r="E168" s="69" t="e">
        <f>#REF!</f>
        <v>#REF!</v>
      </c>
      <c r="F168" s="69" t="e">
        <f>#REF!</f>
        <v>#REF!</v>
      </c>
      <c r="G168" s="69" t="e">
        <f>#REF!</f>
        <v>#REF!</v>
      </c>
      <c r="H168" s="69" t="e">
        <f>#REF!</f>
        <v>#REF!</v>
      </c>
      <c r="I168" s="69" t="e">
        <f>#REF!</f>
        <v>#REF!</v>
      </c>
      <c r="J168" s="105" t="e">
        <f>#REF! + IF($L$1="Yes",J$333,0)</f>
        <v>#REF!</v>
      </c>
      <c r="K168" s="105" t="e">
        <f>#REF! + IF($L$1="Yes",K$333,0)</f>
        <v>#REF!</v>
      </c>
      <c r="L168" s="105" t="e">
        <f>#REF! + IF($L$1="Yes",L$333,0)</f>
        <v>#REF!</v>
      </c>
      <c r="M168" s="105" t="e">
        <f>#REF! + IF($L$1="Yes",M$333,0)</f>
        <v>#REF!</v>
      </c>
      <c r="N168" s="105" t="e">
        <f>#REF! + IF($L$1="Yes",N$333,0)</f>
        <v>#REF!</v>
      </c>
      <c r="O168" s="73" t="e">
        <f>IF($L$1="Yes",IF('Forecast Adjuster'!R$74=0,'Forecast Adjuster'!S$74,N$168*'Forecast Adjuster'!S$74/'Forecast Adjuster'!R$74),N$168*#REF!/#REF!)</f>
        <v>#REF!</v>
      </c>
      <c r="P168" s="73" t="e">
        <f>IF($L$1="Yes",IF('Forecast Adjuster'!S$74=0,'Forecast Adjuster'!T$74,O$168*'Forecast Adjuster'!T$74/'Forecast Adjuster'!S$74),O$168*#REF!/#REF!)</f>
        <v>#REF!</v>
      </c>
      <c r="Q168" s="73" t="e">
        <f>IF($L$1="Yes",IF('Forecast Adjuster'!T$74=0,'Forecast Adjuster'!U$74,P$168*'Forecast Adjuster'!U$74/'Forecast Adjuster'!T$74),P$168*#REF!/#REF!)</f>
        <v>#REF!</v>
      </c>
      <c r="R168" s="73" t="e">
        <f>IF($L$1="Yes",IF('Forecast Adjuster'!U$74=0,'Forecast Adjuster'!V$74,Q$168*'Forecast Adjuster'!V$74/'Forecast Adjuster'!U$74),Q$168*#REF!/#REF!)</f>
        <v>#REF!</v>
      </c>
      <c r="S168" s="73" t="e">
        <f>IF($L$1="Yes",IF('Forecast Adjuster'!V$74=0,'Forecast Adjuster'!W$74,R$168*'Forecast Adjuster'!W$74/'Forecast Adjuster'!V$74),R$168*#REF!/#REF!)</f>
        <v>#REF!</v>
      </c>
      <c r="T168" s="73" t="e">
        <f>IF($L$1="Yes",IF('Forecast Adjuster'!W$74=0,'Forecast Adjuster'!X$74,S$168*'Forecast Adjuster'!X$74/'Forecast Adjuster'!W$74),S$168*#REF!/#REF!)</f>
        <v>#REF!</v>
      </c>
      <c r="U168" s="73" t="e">
        <f>IF($L$1="Yes",IF('Forecast Adjuster'!X$74=0,'Forecast Adjuster'!Y$74,T$168*'Forecast Adjuster'!Y$74/'Forecast Adjuster'!X$74),T$168*#REF!/#REF!)</f>
        <v>#REF!</v>
      </c>
      <c r="V168" s="73" t="e">
        <f>IF($L$1="Yes",IF('Forecast Adjuster'!Y$74=0,'Forecast Adjuster'!Z$74,U$168*'Forecast Adjuster'!Z$74/'Forecast Adjuster'!Y$74),U$168*#REF!/#REF!)</f>
        <v>#REF!</v>
      </c>
      <c r="W168" s="73" t="e">
        <f>IF($L$1="Yes",IF('Forecast Adjuster'!Z$74=0,'Forecast Adjuster'!AA$74,V$168*'Forecast Adjuster'!AA$74/'Forecast Adjuster'!Z$74),V$168*#REF!/#REF!)</f>
        <v>#REF!</v>
      </c>
      <c r="X168" s="73" t="e">
        <f>IF($L$1="Yes",IF('Forecast Adjuster'!AA$74=0,'Forecast Adjuster'!AB$74,W$168*'Forecast Adjuster'!AB$74/'Forecast Adjuster'!AA$74),W$168*#REF!/#REF!)</f>
        <v>#REF!</v>
      </c>
      <c r="Y168" s="36"/>
    </row>
    <row r="169" spans="1:30" x14ac:dyDescent="0.2">
      <c r="A169" s="155" t="s">
        <v>640</v>
      </c>
      <c r="B169" s="233"/>
      <c r="C169" s="69"/>
      <c r="D169" s="176" t="e">
        <f>#REF!</f>
        <v>#REF!</v>
      </c>
      <c r="E169" s="176" t="e">
        <f>#REF!</f>
        <v>#REF!</v>
      </c>
      <c r="F169" s="176" t="e">
        <f>#REF!</f>
        <v>#REF!</v>
      </c>
      <c r="G169" s="176" t="e">
        <f>#REF!</f>
        <v>#REF!</v>
      </c>
      <c r="H169" s="176" t="e">
        <f>#REF!</f>
        <v>#REF!</v>
      </c>
      <c r="I169" s="176" t="e">
        <f>#REF!</f>
        <v>#REF!</v>
      </c>
      <c r="J169" s="130" t="e">
        <f>#REF! + IF($L$1="Yes",J$342,0)</f>
        <v>#REF!</v>
      </c>
      <c r="K169" s="130" t="e">
        <f>#REF! + IF($L$1="Yes",K$342,0)</f>
        <v>#REF!</v>
      </c>
      <c r="L169" s="130" t="e">
        <f>#REF! + IF($L$1="Yes",L$342,0)</f>
        <v>#REF!</v>
      </c>
      <c r="M169" s="130" t="e">
        <f>#REF! + IF($L$1="Yes",M$342,0)</f>
        <v>#REF!</v>
      </c>
      <c r="N169" s="130" t="e">
        <f>#REF! + IF($L$1="Yes",N$342,0)</f>
        <v>#REF!</v>
      </c>
      <c r="O169" s="278" t="e">
        <f>IF($L$1="Yes",IF('Forecast Adjuster'!R$75=0,'Forecast Adjuster'!S$75,N$169*'Forecast Adjuster'!S$75/'Forecast Adjuster'!R$75),N$169*#REF!/#REF!)</f>
        <v>#REF!</v>
      </c>
      <c r="P169" s="278" t="e">
        <f>IF($L$1="Yes",IF('Forecast Adjuster'!S$75=0,'Forecast Adjuster'!T$75,O$169*'Forecast Adjuster'!T$75/'Forecast Adjuster'!S$75),O$169*#REF!/#REF!)</f>
        <v>#REF!</v>
      </c>
      <c r="Q169" s="278" t="e">
        <f>IF($L$1="Yes",IF('Forecast Adjuster'!T$75=0,'Forecast Adjuster'!U$75,P$169*'Forecast Adjuster'!U$75/'Forecast Adjuster'!T$75),P$169*#REF!/#REF!)</f>
        <v>#REF!</v>
      </c>
      <c r="R169" s="278" t="e">
        <f>IF($L$1="Yes",IF('Forecast Adjuster'!U$75=0,'Forecast Adjuster'!V$75,Q$169*'Forecast Adjuster'!V$75/'Forecast Adjuster'!U$75),Q$169*#REF!/#REF!)</f>
        <v>#REF!</v>
      </c>
      <c r="S169" s="278" t="e">
        <f>IF($L$1="Yes",IF('Forecast Adjuster'!V$75=0,'Forecast Adjuster'!W$75,R$169*'Forecast Adjuster'!W$75/'Forecast Adjuster'!V$75),R$169*#REF!/#REF!)</f>
        <v>#REF!</v>
      </c>
      <c r="T169" s="278" t="e">
        <f>IF($L$1="Yes",IF('Forecast Adjuster'!W$75=0,'Forecast Adjuster'!X$75,S$169*'Forecast Adjuster'!X$75/'Forecast Adjuster'!W$75),S$169*#REF!/#REF!)</f>
        <v>#REF!</v>
      </c>
      <c r="U169" s="278" t="e">
        <f>IF($L$1="Yes",IF('Forecast Adjuster'!X$75=0,'Forecast Adjuster'!Y$75,T$169*'Forecast Adjuster'!Y$75/'Forecast Adjuster'!X$75),T$169*#REF!/#REF!)</f>
        <v>#REF!</v>
      </c>
      <c r="V169" s="278" t="e">
        <f>IF($L$1="Yes",IF('Forecast Adjuster'!Y$75=0,'Forecast Adjuster'!Z$75,U$169*'Forecast Adjuster'!Z$75/'Forecast Adjuster'!Y$75),U$169*#REF!/#REF!)</f>
        <v>#REF!</v>
      </c>
      <c r="W169" s="278" t="e">
        <f>IF($L$1="Yes",IF('Forecast Adjuster'!Z$75=0,'Forecast Adjuster'!AA$75,V$169*'Forecast Adjuster'!AA$75/'Forecast Adjuster'!Z$75),V$169*#REF!/#REF!)</f>
        <v>#REF!</v>
      </c>
      <c r="X169" s="278" t="e">
        <f>IF($L$1="Yes",IF('Forecast Adjuster'!AA$75=0,'Forecast Adjuster'!AB$75,W$169*'Forecast Adjuster'!AB$75/'Forecast Adjuster'!AA$75),W$169*#REF!/#REF!)</f>
        <v>#REF!</v>
      </c>
      <c r="Y169" s="36"/>
    </row>
    <row r="170" spans="1:30" x14ac:dyDescent="0.2">
      <c r="A170" s="27" t="s">
        <v>135</v>
      </c>
      <c r="B170" s="36"/>
      <c r="C170" s="69"/>
      <c r="D170" s="71" t="e">
        <f t="shared" ref="D170:I170" si="85">SUM(D$163:D$166,D$169)-SUM(D$167:D$168)</f>
        <v>#REF!</v>
      </c>
      <c r="E170" s="71" t="e">
        <f t="shared" si="85"/>
        <v>#REF!</v>
      </c>
      <c r="F170" s="71" t="e">
        <f t="shared" si="85"/>
        <v>#REF!</v>
      </c>
      <c r="G170" s="71" t="e">
        <f t="shared" si="85"/>
        <v>#REF!</v>
      </c>
      <c r="H170" s="71" t="e">
        <f t="shared" si="85"/>
        <v>#REF!</v>
      </c>
      <c r="I170" s="71" t="e">
        <f t="shared" si="85"/>
        <v>#REF!</v>
      </c>
      <c r="J170" s="131" t="e">
        <f t="shared" ref="J170:X170" si="86">SUM(J$163:J$166,J$169)-SUM(J$167:J$168)</f>
        <v>#REF!</v>
      </c>
      <c r="K170" s="131" t="e">
        <f t="shared" si="86"/>
        <v>#REF!</v>
      </c>
      <c r="L170" s="131" t="e">
        <f t="shared" si="86"/>
        <v>#REF!</v>
      </c>
      <c r="M170" s="131" t="e">
        <f t="shared" si="86"/>
        <v>#REF!</v>
      </c>
      <c r="N170" s="131" t="e">
        <f t="shared" si="86"/>
        <v>#REF!</v>
      </c>
      <c r="O170" s="75" t="e">
        <f t="shared" si="86"/>
        <v>#REF!</v>
      </c>
      <c r="P170" s="75" t="e">
        <f t="shared" si="86"/>
        <v>#REF!</v>
      </c>
      <c r="Q170" s="75" t="e">
        <f t="shared" si="86"/>
        <v>#REF!</v>
      </c>
      <c r="R170" s="75" t="e">
        <f t="shared" si="86"/>
        <v>#REF!</v>
      </c>
      <c r="S170" s="75" t="e">
        <f t="shared" si="86"/>
        <v>#REF!</v>
      </c>
      <c r="T170" s="75" t="e">
        <f t="shared" si="86"/>
        <v>#REF!</v>
      </c>
      <c r="U170" s="75" t="e">
        <f t="shared" si="86"/>
        <v>#REF!</v>
      </c>
      <c r="V170" s="75" t="e">
        <f t="shared" si="86"/>
        <v>#REF!</v>
      </c>
      <c r="W170" s="75" t="e">
        <f t="shared" si="86"/>
        <v>#REF!</v>
      </c>
      <c r="X170" s="75" t="e">
        <f t="shared" si="86"/>
        <v>#REF!</v>
      </c>
      <c r="Y170" s="36"/>
    </row>
    <row r="171" spans="1:30" x14ac:dyDescent="0.2">
      <c r="A171" s="108" t="s">
        <v>663</v>
      </c>
      <c r="B171" s="42"/>
      <c r="C171" s="69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36"/>
    </row>
    <row r="172" spans="1:30" x14ac:dyDescent="0.2">
      <c r="A172" s="225" t="s">
        <v>698</v>
      </c>
      <c r="B172" s="233"/>
      <c r="C172" s="69"/>
      <c r="D172" s="69" t="e">
        <f>#REF!</f>
        <v>#REF!</v>
      </c>
      <c r="E172" s="69" t="e">
        <f>#REF!</f>
        <v>#REF!</v>
      </c>
      <c r="F172" s="69" t="e">
        <f>#REF!</f>
        <v>#REF!</v>
      </c>
      <c r="G172" s="69" t="e">
        <f>#REF!</f>
        <v>#REF!</v>
      </c>
      <c r="H172" s="69" t="e">
        <f>#REF!</f>
        <v>#REF!</v>
      </c>
      <c r="I172" s="69" t="e">
        <f>#REF!</f>
        <v>#REF!</v>
      </c>
      <c r="J172" s="105" t="e">
        <f>#REF! + IF($L$1="Yes",J$336,0)</f>
        <v>#REF!</v>
      </c>
      <c r="K172" s="105" t="e">
        <f>#REF! + IF($L$1="Yes",K$336,0)</f>
        <v>#REF!</v>
      </c>
      <c r="L172" s="105" t="e">
        <f>#REF! + IF($L$1="Yes",L$336,0)</f>
        <v>#REF!</v>
      </c>
      <c r="M172" s="105" t="e">
        <f>#REF! + IF($L$1="Yes",M$336,0)</f>
        <v>#REF!</v>
      </c>
      <c r="N172" s="105" t="e">
        <f>#REF! + IF($L$1="Yes",N$336,0)</f>
        <v>#REF!</v>
      </c>
      <c r="O172" s="73" t="e">
        <f t="shared" ref="O172:X172" si="87">N$172*O$167/N$167</f>
        <v>#REF!</v>
      </c>
      <c r="P172" s="73" t="e">
        <f t="shared" si="87"/>
        <v>#REF!</v>
      </c>
      <c r="Q172" s="73" t="e">
        <f t="shared" si="87"/>
        <v>#REF!</v>
      </c>
      <c r="R172" s="73" t="e">
        <f t="shared" si="87"/>
        <v>#REF!</v>
      </c>
      <c r="S172" s="73" t="e">
        <f t="shared" si="87"/>
        <v>#REF!</v>
      </c>
      <c r="T172" s="73" t="e">
        <f t="shared" si="87"/>
        <v>#REF!</v>
      </c>
      <c r="U172" s="73" t="e">
        <f t="shared" si="87"/>
        <v>#REF!</v>
      </c>
      <c r="V172" s="73" t="e">
        <f t="shared" si="87"/>
        <v>#REF!</v>
      </c>
      <c r="W172" s="73" t="e">
        <f t="shared" si="87"/>
        <v>#REF!</v>
      </c>
      <c r="X172" s="73" t="e">
        <f t="shared" si="87"/>
        <v>#REF!</v>
      </c>
      <c r="Y172" s="36"/>
    </row>
    <row r="173" spans="1:30" x14ac:dyDescent="0.2">
      <c r="A173" s="225" t="s">
        <v>662</v>
      </c>
      <c r="B173" s="233"/>
      <c r="C173" s="69"/>
      <c r="D173" s="69" t="e">
        <f>#REF!</f>
        <v>#REF!</v>
      </c>
      <c r="E173" s="69" t="e">
        <f>#REF!</f>
        <v>#REF!</v>
      </c>
      <c r="F173" s="69" t="e">
        <f>#REF!</f>
        <v>#REF!</v>
      </c>
      <c r="G173" s="69" t="e">
        <f>#REF!</f>
        <v>#REF!</v>
      </c>
      <c r="H173" s="69" t="e">
        <f>#REF!</f>
        <v>#REF!</v>
      </c>
      <c r="I173" s="69" t="e">
        <f>#REF!</f>
        <v>#REF!</v>
      </c>
      <c r="J173" s="105" t="e">
        <f>#REF! + IF($L$1="Yes",J$343,0)</f>
        <v>#REF!</v>
      </c>
      <c r="K173" s="105" t="e">
        <f>#REF! + IF($L$1="Yes",K$343,0)</f>
        <v>#REF!</v>
      </c>
      <c r="L173" s="105" t="e">
        <f>#REF! + IF($L$1="Yes",L$343,0)</f>
        <v>#REF!</v>
      </c>
      <c r="M173" s="105" t="e">
        <f>#REF! + IF($L$1="Yes",M$343,0)</f>
        <v>#REF!</v>
      </c>
      <c r="N173" s="105" t="e">
        <f>#REF! + IF($L$1="Yes",N$343,0)</f>
        <v>#REF!</v>
      </c>
      <c r="O173" s="73" t="e">
        <f t="shared" ref="O173:X173" si="88">IF(O$2="Proj Yr1",N$173+N$230,N$173)*O$170/N$170</f>
        <v>#REF!</v>
      </c>
      <c r="P173" s="73" t="e">
        <f t="shared" si="88"/>
        <v>#REF!</v>
      </c>
      <c r="Q173" s="73" t="e">
        <f t="shared" si="88"/>
        <v>#REF!</v>
      </c>
      <c r="R173" s="73" t="e">
        <f t="shared" si="88"/>
        <v>#REF!</v>
      </c>
      <c r="S173" s="73" t="e">
        <f t="shared" si="88"/>
        <v>#REF!</v>
      </c>
      <c r="T173" s="73" t="e">
        <f t="shared" si="88"/>
        <v>#REF!</v>
      </c>
      <c r="U173" s="73" t="e">
        <f t="shared" si="88"/>
        <v>#REF!</v>
      </c>
      <c r="V173" s="73" t="e">
        <f t="shared" si="88"/>
        <v>#REF!</v>
      </c>
      <c r="W173" s="73" t="e">
        <f t="shared" si="88"/>
        <v>#REF!</v>
      </c>
      <c r="X173" s="73" t="e">
        <f t="shared" si="88"/>
        <v>#REF!</v>
      </c>
      <c r="Y173" s="36"/>
    </row>
    <row r="174" spans="1:30" x14ac:dyDescent="0.2">
      <c r="A174" s="31"/>
      <c r="B174" s="36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Y174" s="36"/>
    </row>
    <row r="175" spans="1:30" x14ac:dyDescent="0.2">
      <c r="A175" s="108" t="s">
        <v>656</v>
      </c>
      <c r="B175" s="36"/>
      <c r="C175" s="69"/>
      <c r="D175" s="69"/>
      <c r="E175" s="69"/>
      <c r="F175" s="69"/>
      <c r="G175" s="105"/>
      <c r="H175" s="105"/>
      <c r="I175" s="105"/>
      <c r="J175" s="105"/>
      <c r="K175" s="105"/>
      <c r="L175" s="105"/>
      <c r="Y175" s="36"/>
    </row>
    <row r="176" spans="1:30" x14ac:dyDescent="0.2">
      <c r="A176" s="280" t="s">
        <v>833</v>
      </c>
      <c r="B176" s="273"/>
      <c r="C176" s="69"/>
      <c r="D176" s="271" t="e">
        <f>#REF!-D$178</f>
        <v>#REF!</v>
      </c>
      <c r="E176" s="271" t="e">
        <f>#REF!-E$178</f>
        <v>#REF!</v>
      </c>
      <c r="F176" s="271" t="e">
        <f>#REF!-F$178</f>
        <v>#REF!</v>
      </c>
      <c r="G176" s="271" t="e">
        <f>#REF!-G$178</f>
        <v>#REF!</v>
      </c>
      <c r="H176" s="271" t="e">
        <f>#REF!-H$178</f>
        <v>#REF!</v>
      </c>
      <c r="I176" s="271" t="e">
        <f>#REF!-I$178</f>
        <v>#REF!</v>
      </c>
      <c r="J176" s="105" t="e">
        <f>#REF!-J$178</f>
        <v>#REF!</v>
      </c>
      <c r="K176" s="105" t="e">
        <f>#REF!-K$178</f>
        <v>#REF!</v>
      </c>
      <c r="L176" s="105" t="e">
        <f>#REF!-L$178</f>
        <v>#REF!</v>
      </c>
      <c r="M176" s="105" t="e">
        <f>#REF!-M$178</f>
        <v>#REF!</v>
      </c>
      <c r="N176" s="105" t="e">
        <f>#REF!-N$178</f>
        <v>#REF!</v>
      </c>
      <c r="O176" s="267" t="e">
        <f t="shared" ref="O176:X176" ca="1" si="89">N$176*(1+O$240)</f>
        <v>#REF!</v>
      </c>
      <c r="P176" s="267" t="e">
        <f t="shared" ca="1" si="89"/>
        <v>#REF!</v>
      </c>
      <c r="Q176" s="267" t="e">
        <f t="shared" ca="1" si="89"/>
        <v>#REF!</v>
      </c>
      <c r="R176" s="267" t="e">
        <f t="shared" ca="1" si="89"/>
        <v>#REF!</v>
      </c>
      <c r="S176" s="267" t="e">
        <f t="shared" ca="1" si="89"/>
        <v>#REF!</v>
      </c>
      <c r="T176" s="267" t="e">
        <f t="shared" ca="1" si="89"/>
        <v>#REF!</v>
      </c>
      <c r="U176" s="267" t="e">
        <f t="shared" ca="1" si="89"/>
        <v>#REF!</v>
      </c>
      <c r="V176" s="267" t="e">
        <f t="shared" ca="1" si="89"/>
        <v>#REF!</v>
      </c>
      <c r="W176" s="267" t="e">
        <f t="shared" ca="1" si="89"/>
        <v>#REF!</v>
      </c>
      <c r="X176" s="267" t="e">
        <f t="shared" ca="1" si="89"/>
        <v>#REF!</v>
      </c>
      <c r="Y176" s="36"/>
    </row>
    <row r="177" spans="1:25" x14ac:dyDescent="0.2">
      <c r="A177" s="280" t="s">
        <v>834</v>
      </c>
      <c r="B177" s="273"/>
      <c r="C177" s="69"/>
      <c r="D177" s="271" t="e">
        <f>#REF!</f>
        <v>#REF!</v>
      </c>
      <c r="E177" s="271" t="e">
        <f>#REF!</f>
        <v>#REF!</v>
      </c>
      <c r="F177" s="271" t="e">
        <f>#REF!</f>
        <v>#REF!</v>
      </c>
      <c r="G177" s="271" t="e">
        <f>#REF!</f>
        <v>#REF!</v>
      </c>
      <c r="H177" s="271" t="e">
        <f>#REF!</f>
        <v>#REF!</v>
      </c>
      <c r="I177" s="271" t="e">
        <f>#REF!</f>
        <v>#REF!</v>
      </c>
      <c r="J177" s="105" t="e">
        <f>#REF!</f>
        <v>#REF!</v>
      </c>
      <c r="K177" s="105" t="e">
        <f>#REF!</f>
        <v>#REF!</v>
      </c>
      <c r="L177" s="105" t="e">
        <f>#REF!</f>
        <v>#REF!</v>
      </c>
      <c r="M177" s="105" t="e">
        <f>#REF!</f>
        <v>#REF!</v>
      </c>
      <c r="N177" s="105" t="e">
        <f>#REF!</f>
        <v>#REF!</v>
      </c>
      <c r="O177" s="267" t="e">
        <f t="shared" ref="O177:X177" si="90">N$177*O$170/N$170</f>
        <v>#REF!</v>
      </c>
      <c r="P177" s="267" t="e">
        <f t="shared" si="90"/>
        <v>#REF!</v>
      </c>
      <c r="Q177" s="267" t="e">
        <f t="shared" si="90"/>
        <v>#REF!</v>
      </c>
      <c r="R177" s="267" t="e">
        <f t="shared" si="90"/>
        <v>#REF!</v>
      </c>
      <c r="S177" s="267" t="e">
        <f t="shared" si="90"/>
        <v>#REF!</v>
      </c>
      <c r="T177" s="267" t="e">
        <f t="shared" si="90"/>
        <v>#REF!</v>
      </c>
      <c r="U177" s="267" t="e">
        <f t="shared" si="90"/>
        <v>#REF!</v>
      </c>
      <c r="V177" s="267" t="e">
        <f t="shared" si="90"/>
        <v>#REF!</v>
      </c>
      <c r="W177" s="267" t="e">
        <f t="shared" si="90"/>
        <v>#REF!</v>
      </c>
      <c r="X177" s="267" t="e">
        <f t="shared" si="90"/>
        <v>#REF!</v>
      </c>
      <c r="Y177" s="36"/>
    </row>
    <row r="178" spans="1:25" x14ac:dyDescent="0.2">
      <c r="A178" s="280" t="s">
        <v>657</v>
      </c>
      <c r="B178" s="274"/>
      <c r="C178" s="69"/>
      <c r="D178" s="277" t="e">
        <f>D$190</f>
        <v>#REF!</v>
      </c>
      <c r="E178" s="277" t="e">
        <f t="shared" ref="E178:X178" si="91">E$190</f>
        <v>#REF!</v>
      </c>
      <c r="F178" s="277" t="e">
        <f t="shared" si="91"/>
        <v>#REF!</v>
      </c>
      <c r="G178" s="277" t="e">
        <f t="shared" si="91"/>
        <v>#REF!</v>
      </c>
      <c r="H178" s="277" t="e">
        <f t="shared" si="91"/>
        <v>#REF!</v>
      </c>
      <c r="I178" s="277" t="e">
        <f t="shared" si="91"/>
        <v>#REF!</v>
      </c>
      <c r="J178" s="130" t="e">
        <f t="shared" si="91"/>
        <v>#REF!</v>
      </c>
      <c r="K178" s="130" t="e">
        <f t="shared" si="91"/>
        <v>#REF!</v>
      </c>
      <c r="L178" s="130" t="e">
        <f t="shared" si="91"/>
        <v>#REF!</v>
      </c>
      <c r="M178" s="130" t="e">
        <f t="shared" si="91"/>
        <v>#REF!</v>
      </c>
      <c r="N178" s="130" t="e">
        <f t="shared" si="91"/>
        <v>#REF!</v>
      </c>
      <c r="O178" s="278" t="e">
        <f t="shared" si="91"/>
        <v>#REF!</v>
      </c>
      <c r="P178" s="278" t="e">
        <f t="shared" si="91"/>
        <v>#REF!</v>
      </c>
      <c r="Q178" s="278" t="e">
        <f t="shared" si="91"/>
        <v>#REF!</v>
      </c>
      <c r="R178" s="278" t="e">
        <f t="shared" si="91"/>
        <v>#REF!</v>
      </c>
      <c r="S178" s="278" t="e">
        <f t="shared" si="91"/>
        <v>#REF!</v>
      </c>
      <c r="T178" s="278" t="e">
        <f t="shared" si="91"/>
        <v>#REF!</v>
      </c>
      <c r="U178" s="278" t="e">
        <f t="shared" si="91"/>
        <v>#REF!</v>
      </c>
      <c r="V178" s="278" t="e">
        <f t="shared" si="91"/>
        <v>#REF!</v>
      </c>
      <c r="W178" s="278" t="e">
        <f t="shared" si="91"/>
        <v>#REF!</v>
      </c>
      <c r="X178" s="278" t="e">
        <f t="shared" si="91"/>
        <v>#REF!</v>
      </c>
      <c r="Y178" s="36"/>
    </row>
    <row r="179" spans="1:25" x14ac:dyDescent="0.2">
      <c r="A179" s="269" t="s">
        <v>658</v>
      </c>
      <c r="B179" s="271"/>
      <c r="C179" s="69"/>
      <c r="D179" s="276" t="e">
        <f>SUM(D$176:D$178)</f>
        <v>#REF!</v>
      </c>
      <c r="E179" s="276" t="e">
        <f t="shared" ref="E179:X179" si="92">SUM(E$176:E$178)</f>
        <v>#REF!</v>
      </c>
      <c r="F179" s="276" t="e">
        <f t="shared" si="92"/>
        <v>#REF!</v>
      </c>
      <c r="G179" s="276" t="e">
        <f t="shared" si="92"/>
        <v>#REF!</v>
      </c>
      <c r="H179" s="276" t="e">
        <f t="shared" si="92"/>
        <v>#REF!</v>
      </c>
      <c r="I179" s="276" t="e">
        <f t="shared" si="92"/>
        <v>#REF!</v>
      </c>
      <c r="J179" s="131" t="e">
        <f t="shared" si="92"/>
        <v>#REF!</v>
      </c>
      <c r="K179" s="131" t="e">
        <f t="shared" si="92"/>
        <v>#REF!</v>
      </c>
      <c r="L179" s="131" t="e">
        <f t="shared" si="92"/>
        <v>#REF!</v>
      </c>
      <c r="M179" s="131" t="e">
        <f t="shared" si="92"/>
        <v>#REF!</v>
      </c>
      <c r="N179" s="131" t="e">
        <f t="shared" si="92"/>
        <v>#REF!</v>
      </c>
      <c r="O179" s="279" t="e">
        <f t="shared" ca="1" si="92"/>
        <v>#REF!</v>
      </c>
      <c r="P179" s="279" t="e">
        <f t="shared" ca="1" si="92"/>
        <v>#REF!</v>
      </c>
      <c r="Q179" s="279" t="e">
        <f t="shared" ca="1" si="92"/>
        <v>#REF!</v>
      </c>
      <c r="R179" s="279" t="e">
        <f t="shared" ca="1" si="92"/>
        <v>#REF!</v>
      </c>
      <c r="S179" s="279" t="e">
        <f t="shared" ca="1" si="92"/>
        <v>#REF!</v>
      </c>
      <c r="T179" s="279" t="e">
        <f t="shared" ca="1" si="92"/>
        <v>#REF!</v>
      </c>
      <c r="U179" s="279" t="e">
        <f t="shared" ca="1" si="92"/>
        <v>#REF!</v>
      </c>
      <c r="V179" s="279" t="e">
        <f t="shared" ca="1" si="92"/>
        <v>#REF!</v>
      </c>
      <c r="W179" s="279" t="e">
        <f t="shared" ca="1" si="92"/>
        <v>#REF!</v>
      </c>
      <c r="X179" s="279" t="e">
        <f t="shared" ca="1" si="92"/>
        <v>#REF!</v>
      </c>
      <c r="Y179" s="36"/>
    </row>
    <row r="180" spans="1:25" x14ac:dyDescent="0.2">
      <c r="A180" s="269" t="s">
        <v>661</v>
      </c>
      <c r="B180" s="273"/>
      <c r="C180" s="69"/>
      <c r="D180" s="276" t="e">
        <f>#REF!</f>
        <v>#REF!</v>
      </c>
      <c r="E180" s="276" t="e">
        <f>#REF!</f>
        <v>#REF!</v>
      </c>
      <c r="F180" s="276" t="e">
        <f>#REF!</f>
        <v>#REF!</v>
      </c>
      <c r="G180" s="276" t="e">
        <f>#REF!</f>
        <v>#REF!</v>
      </c>
      <c r="H180" s="276" t="e">
        <f>#REF!</f>
        <v>#REF!</v>
      </c>
      <c r="I180" s="276" t="e">
        <f>#REF!</f>
        <v>#REF!</v>
      </c>
      <c r="J180" s="131" t="e">
        <f>#REF!</f>
        <v>#REF!</v>
      </c>
      <c r="K180" s="131" t="e">
        <f>#REF!</f>
        <v>#REF!</v>
      </c>
      <c r="L180" s="131" t="e">
        <f>#REF!</f>
        <v>#REF!</v>
      </c>
      <c r="M180" s="131" t="e">
        <f>#REF!</f>
        <v>#REF!</v>
      </c>
      <c r="N180" s="131" t="e">
        <f>#REF!</f>
        <v>#REF!</v>
      </c>
      <c r="O180" s="279" t="e">
        <f t="shared" ref="O180:X180" ca="1" si="93">SUM(O$179,(N$180-N$179)*(1+O$240))</f>
        <v>#REF!</v>
      </c>
      <c r="P180" s="279" t="e">
        <f t="shared" ca="1" si="93"/>
        <v>#REF!</v>
      </c>
      <c r="Q180" s="279" t="e">
        <f t="shared" ca="1" si="93"/>
        <v>#REF!</v>
      </c>
      <c r="R180" s="279" t="e">
        <f t="shared" ca="1" si="93"/>
        <v>#REF!</v>
      </c>
      <c r="S180" s="279" t="e">
        <f t="shared" ca="1" si="93"/>
        <v>#REF!</v>
      </c>
      <c r="T180" s="279" t="e">
        <f t="shared" ca="1" si="93"/>
        <v>#REF!</v>
      </c>
      <c r="U180" s="279" t="e">
        <f t="shared" ca="1" si="93"/>
        <v>#REF!</v>
      </c>
      <c r="V180" s="279" t="e">
        <f t="shared" ca="1" si="93"/>
        <v>#REF!</v>
      </c>
      <c r="W180" s="279" t="e">
        <f t="shared" ca="1" si="93"/>
        <v>#REF!</v>
      </c>
      <c r="X180" s="279" t="e">
        <f t="shared" ca="1" si="93"/>
        <v>#REF!</v>
      </c>
      <c r="Y180" s="36"/>
    </row>
    <row r="181" spans="1:25" x14ac:dyDescent="0.2">
      <c r="A181" s="27"/>
      <c r="B181" s="36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36"/>
    </row>
    <row r="182" spans="1:25" x14ac:dyDescent="0.2">
      <c r="A182" s="108" t="s">
        <v>395</v>
      </c>
      <c r="B182" s="36"/>
      <c r="C182" s="69"/>
      <c r="D182" s="73"/>
      <c r="E182" s="73"/>
      <c r="F182" s="73"/>
      <c r="G182" s="73"/>
      <c r="H182" s="73"/>
      <c r="I182" s="73"/>
      <c r="J182" s="73"/>
      <c r="Y182" s="36"/>
    </row>
    <row r="183" spans="1:25" x14ac:dyDescent="0.2">
      <c r="A183" s="30" t="s">
        <v>554</v>
      </c>
      <c r="B183" s="36"/>
      <c r="C183" s="69"/>
      <c r="D183" s="126" t="e">
        <f>#REF!</f>
        <v>#REF!</v>
      </c>
      <c r="E183" s="69" t="e">
        <f>D$190</f>
        <v>#REF!</v>
      </c>
      <c r="F183" s="69" t="e">
        <f>E$190</f>
        <v>#REF!</v>
      </c>
      <c r="G183" s="69" t="e">
        <f>F$190</f>
        <v>#REF!</v>
      </c>
      <c r="H183" s="69" t="e">
        <f>G$190</f>
        <v>#REF!</v>
      </c>
      <c r="I183" s="69" t="e">
        <f>H$190</f>
        <v>#REF!</v>
      </c>
      <c r="J183" s="105" t="e">
        <f t="shared" ref="J183:X183" si="94">I$190</f>
        <v>#REF!</v>
      </c>
      <c r="K183" s="105" t="e">
        <f t="shared" si="94"/>
        <v>#REF!</v>
      </c>
      <c r="L183" s="105" t="e">
        <f t="shared" si="94"/>
        <v>#REF!</v>
      </c>
      <c r="M183" s="105" t="e">
        <f t="shared" si="94"/>
        <v>#REF!</v>
      </c>
      <c r="N183" s="105" t="e">
        <f t="shared" si="94"/>
        <v>#REF!</v>
      </c>
      <c r="O183" s="73" t="e">
        <f t="shared" si="94"/>
        <v>#REF!</v>
      </c>
      <c r="P183" s="73" t="e">
        <f t="shared" si="94"/>
        <v>#REF!</v>
      </c>
      <c r="Q183" s="73" t="e">
        <f t="shared" si="94"/>
        <v>#REF!</v>
      </c>
      <c r="R183" s="73" t="e">
        <f t="shared" si="94"/>
        <v>#REF!</v>
      </c>
      <c r="S183" s="73" t="e">
        <f t="shared" si="94"/>
        <v>#REF!</v>
      </c>
      <c r="T183" s="73" t="e">
        <f t="shared" si="94"/>
        <v>#REF!</v>
      </c>
      <c r="U183" s="73" t="e">
        <f t="shared" si="94"/>
        <v>#REF!</v>
      </c>
      <c r="V183" s="73" t="e">
        <f t="shared" si="94"/>
        <v>#REF!</v>
      </c>
      <c r="W183" s="73" t="e">
        <f t="shared" si="94"/>
        <v>#REF!</v>
      </c>
      <c r="X183" s="73" t="e">
        <f t="shared" si="94"/>
        <v>#REF!</v>
      </c>
      <c r="Y183" s="36"/>
    </row>
    <row r="184" spans="1:25" x14ac:dyDescent="0.2">
      <c r="A184" s="31" t="s">
        <v>644</v>
      </c>
      <c r="B184" s="233"/>
      <c r="C184" s="69"/>
      <c r="D184" s="69" t="e">
        <f>#REF!</f>
        <v>#REF!</v>
      </c>
      <c r="E184" s="69" t="e">
        <f>#REF!</f>
        <v>#REF!</v>
      </c>
      <c r="F184" s="69" t="e">
        <f>#REF!</f>
        <v>#REF!</v>
      </c>
      <c r="G184" s="69" t="e">
        <f>#REF!</f>
        <v>#REF!</v>
      </c>
      <c r="H184" s="69" t="e">
        <f>#REF!</f>
        <v>#REF!</v>
      </c>
      <c r="I184" s="69" t="e">
        <f>#REF!</f>
        <v>#REF!</v>
      </c>
      <c r="J184" s="105" t="e">
        <f>#REF!</f>
        <v>#REF!</v>
      </c>
      <c r="K184" s="105" t="e">
        <f>#REF!</f>
        <v>#REF!</v>
      </c>
      <c r="L184" s="105" t="e">
        <f>#REF!</f>
        <v>#REF!</v>
      </c>
      <c r="M184" s="105" t="e">
        <f>#REF!</f>
        <v>#REF!</v>
      </c>
      <c r="N184" s="105" t="e">
        <f>#REF!</f>
        <v>#REF!</v>
      </c>
      <c r="O184" s="73" t="e">
        <f>N$184*#REF!/#REF!</f>
        <v>#REF!</v>
      </c>
      <c r="P184" s="73" t="e">
        <f>O$184*#REF!/#REF!</f>
        <v>#REF!</v>
      </c>
      <c r="Q184" s="73" t="e">
        <f>P$184*#REF!/#REF!</f>
        <v>#REF!</v>
      </c>
      <c r="R184" s="73" t="e">
        <f>Q$184*#REF!/#REF!</f>
        <v>#REF!</v>
      </c>
      <c r="S184" s="73" t="e">
        <f>R$184*#REF!/#REF!</f>
        <v>#REF!</v>
      </c>
      <c r="T184" s="73" t="e">
        <f>S$184*#REF!/#REF!</f>
        <v>#REF!</v>
      </c>
      <c r="U184" s="73" t="e">
        <f>T$184*#REF!/#REF!</f>
        <v>#REF!</v>
      </c>
      <c r="V184" s="73" t="e">
        <f>U$184*#REF!/#REF!</f>
        <v>#REF!</v>
      </c>
      <c r="W184" s="73" t="e">
        <f>V$184*#REF!/#REF!</f>
        <v>#REF!</v>
      </c>
      <c r="X184" s="73" t="e">
        <f>W$184*#REF!/#REF!</f>
        <v>#REF!</v>
      </c>
      <c r="Y184" s="36"/>
    </row>
    <row r="185" spans="1:25" x14ac:dyDescent="0.2">
      <c r="A185" s="31" t="s">
        <v>645</v>
      </c>
      <c r="B185" s="233"/>
      <c r="C185" s="69"/>
      <c r="D185" s="69" t="e">
        <f>#REF!</f>
        <v>#REF!</v>
      </c>
      <c r="E185" s="69" t="e">
        <f>#REF!</f>
        <v>#REF!</v>
      </c>
      <c r="F185" s="69" t="e">
        <f>#REF!</f>
        <v>#REF!</v>
      </c>
      <c r="G185" s="69" t="e">
        <f>#REF!</f>
        <v>#REF!</v>
      </c>
      <c r="H185" s="69" t="e">
        <f>#REF!</f>
        <v>#REF!</v>
      </c>
      <c r="I185" s="69" t="e">
        <f>#REF!</f>
        <v>#REF!</v>
      </c>
      <c r="J185" s="105" t="e">
        <f>#REF!</f>
        <v>#REF!</v>
      </c>
      <c r="K185" s="105" t="e">
        <f>#REF!</f>
        <v>#REF!</v>
      </c>
      <c r="L185" s="105" t="e">
        <f>#REF!</f>
        <v>#REF!</v>
      </c>
      <c r="M185" s="105" t="e">
        <f>#REF!</f>
        <v>#REF!</v>
      </c>
      <c r="N185" s="105" t="e">
        <f>#REF!</f>
        <v>#REF!</v>
      </c>
      <c r="O185" s="73" t="e">
        <f>N$185*#REF!/#REF!</f>
        <v>#REF!</v>
      </c>
      <c r="P185" s="73" t="e">
        <f>O$185*#REF!/#REF!</f>
        <v>#REF!</v>
      </c>
      <c r="Q185" s="73" t="e">
        <f>P$185*#REF!/#REF!</f>
        <v>#REF!</v>
      </c>
      <c r="R185" s="73" t="e">
        <f>Q$185*#REF!/#REF!</f>
        <v>#REF!</v>
      </c>
      <c r="S185" s="73" t="e">
        <f>R$185*#REF!/#REF!</f>
        <v>#REF!</v>
      </c>
      <c r="T185" s="73" t="e">
        <f>S$185*#REF!/#REF!</f>
        <v>#REF!</v>
      </c>
      <c r="U185" s="73" t="e">
        <f>T$185*#REF!/#REF!</f>
        <v>#REF!</v>
      </c>
      <c r="V185" s="73" t="e">
        <f>U$185*#REF!/#REF!</f>
        <v>#REF!</v>
      </c>
      <c r="W185" s="73" t="e">
        <f>V$185*#REF!/#REF!</f>
        <v>#REF!</v>
      </c>
      <c r="X185" s="73" t="e">
        <f>W$185*#REF!/#REF!</f>
        <v>#REF!</v>
      </c>
      <c r="Y185" s="36"/>
    </row>
    <row r="186" spans="1:25" x14ac:dyDescent="0.2">
      <c r="A186" s="31" t="s">
        <v>646</v>
      </c>
      <c r="B186" s="233"/>
      <c r="C186" s="69"/>
      <c r="D186" s="69" t="e">
        <f>#REF!</f>
        <v>#REF!</v>
      </c>
      <c r="E186" s="69" t="e">
        <f>#REF!</f>
        <v>#REF!</v>
      </c>
      <c r="F186" s="69" t="e">
        <f>#REF!</f>
        <v>#REF!</v>
      </c>
      <c r="G186" s="69" t="e">
        <f>#REF!</f>
        <v>#REF!</v>
      </c>
      <c r="H186" s="69" t="e">
        <f>#REF!</f>
        <v>#REF!</v>
      </c>
      <c r="I186" s="69" t="e">
        <f>#REF!</f>
        <v>#REF!</v>
      </c>
      <c r="J186" s="105" t="e">
        <f>#REF!</f>
        <v>#REF!</v>
      </c>
      <c r="K186" s="105" t="e">
        <f>#REF!</f>
        <v>#REF!</v>
      </c>
      <c r="L186" s="105" t="e">
        <f>#REF!</f>
        <v>#REF!</v>
      </c>
      <c r="M186" s="105" t="e">
        <f>#REF!</f>
        <v>#REF!</v>
      </c>
      <c r="N186" s="105" t="e">
        <f>#REF!</f>
        <v>#REF!</v>
      </c>
      <c r="O186" s="73" t="e">
        <f>N$186*#REF!/#REF!</f>
        <v>#REF!</v>
      </c>
      <c r="P186" s="73" t="e">
        <f>O$186*#REF!/#REF!</f>
        <v>#REF!</v>
      </c>
      <c r="Q186" s="73" t="e">
        <f>P$186*#REF!/#REF!</f>
        <v>#REF!</v>
      </c>
      <c r="R186" s="73" t="e">
        <f>Q$186*#REF!/#REF!</f>
        <v>#REF!</v>
      </c>
      <c r="S186" s="73" t="e">
        <f>R$186*#REF!/#REF!</f>
        <v>#REF!</v>
      </c>
      <c r="T186" s="73" t="e">
        <f>S$186*#REF!/#REF!</f>
        <v>#REF!</v>
      </c>
      <c r="U186" s="73" t="e">
        <f>T$186*#REF!/#REF!</f>
        <v>#REF!</v>
      </c>
      <c r="V186" s="73" t="e">
        <f>U$186*#REF!/#REF!</f>
        <v>#REF!</v>
      </c>
      <c r="W186" s="73" t="e">
        <f>V$186*#REF!/#REF!</f>
        <v>#REF!</v>
      </c>
      <c r="X186" s="73" t="e">
        <f>W$186*#REF!/#REF!</f>
        <v>#REF!</v>
      </c>
      <c r="Y186" s="36"/>
    </row>
    <row r="187" spans="1:25" x14ac:dyDescent="0.2">
      <c r="A187" s="31" t="s">
        <v>647</v>
      </c>
      <c r="B187" s="233"/>
      <c r="C187" s="69"/>
      <c r="D187" s="69" t="e">
        <f>#REF!</f>
        <v>#REF!</v>
      </c>
      <c r="E187" s="69" t="e">
        <f>#REF!</f>
        <v>#REF!</v>
      </c>
      <c r="F187" s="69" t="e">
        <f>#REF!</f>
        <v>#REF!</v>
      </c>
      <c r="G187" s="69" t="e">
        <f>#REF!</f>
        <v>#REF!</v>
      </c>
      <c r="H187" s="69" t="e">
        <f>#REF!</f>
        <v>#REF!</v>
      </c>
      <c r="I187" s="69" t="e">
        <f>#REF!</f>
        <v>#REF!</v>
      </c>
      <c r="J187" s="105" t="e">
        <f>#REF!</f>
        <v>#REF!</v>
      </c>
      <c r="K187" s="105" t="e">
        <f>#REF!</f>
        <v>#REF!</v>
      </c>
      <c r="L187" s="105" t="e">
        <f>#REF!</f>
        <v>#REF!</v>
      </c>
      <c r="M187" s="105" t="e">
        <f>#REF!</f>
        <v>#REF!</v>
      </c>
      <c r="N187" s="105" t="e">
        <f>#REF!</f>
        <v>#REF!</v>
      </c>
      <c r="O187" s="73" t="e">
        <f>N$187*#REF!/#REF!</f>
        <v>#REF!</v>
      </c>
      <c r="P187" s="73" t="e">
        <f>O$187*#REF!/#REF!</f>
        <v>#REF!</v>
      </c>
      <c r="Q187" s="73" t="e">
        <f>P$187*#REF!/#REF!</f>
        <v>#REF!</v>
      </c>
      <c r="R187" s="73" t="e">
        <f>Q$187*#REF!/#REF!</f>
        <v>#REF!</v>
      </c>
      <c r="S187" s="73" t="e">
        <f>R$187*#REF!/#REF!</f>
        <v>#REF!</v>
      </c>
      <c r="T187" s="73" t="e">
        <f>S$187*#REF!/#REF!</f>
        <v>#REF!</v>
      </c>
      <c r="U187" s="73" t="e">
        <f>T$187*#REF!/#REF!</f>
        <v>#REF!</v>
      </c>
      <c r="V187" s="73" t="e">
        <f>U$187*#REF!/#REF!</f>
        <v>#REF!</v>
      </c>
      <c r="W187" s="73" t="e">
        <f>V$187*#REF!/#REF!</f>
        <v>#REF!</v>
      </c>
      <c r="X187" s="73" t="e">
        <f>W$187*#REF!/#REF!</f>
        <v>#REF!</v>
      </c>
      <c r="Y187" s="36"/>
    </row>
    <row r="188" spans="1:25" x14ac:dyDescent="0.2">
      <c r="A188" s="31" t="s">
        <v>648</v>
      </c>
      <c r="B188" s="233"/>
      <c r="C188" s="69"/>
      <c r="D188" s="69" t="e">
        <f>#REF!</f>
        <v>#REF!</v>
      </c>
      <c r="E188" s="69" t="e">
        <f>#REF!</f>
        <v>#REF!</v>
      </c>
      <c r="F188" s="69" t="e">
        <f>#REF!</f>
        <v>#REF!</v>
      </c>
      <c r="G188" s="69" t="e">
        <f>#REF!</f>
        <v>#REF!</v>
      </c>
      <c r="H188" s="69" t="e">
        <f>#REF!</f>
        <v>#REF!</v>
      </c>
      <c r="I188" s="69" t="e">
        <f>#REF!</f>
        <v>#REF!</v>
      </c>
      <c r="J188" s="105" t="e">
        <f>#REF!</f>
        <v>#REF!</v>
      </c>
      <c r="K188" s="105" t="e">
        <f>#REF!</f>
        <v>#REF!</v>
      </c>
      <c r="L188" s="105" t="e">
        <f>#REF!</f>
        <v>#REF!</v>
      </c>
      <c r="M188" s="105" t="e">
        <f>#REF!</f>
        <v>#REF!</v>
      </c>
      <c r="N188" s="105" t="e">
        <f>#REF!</f>
        <v>#REF!</v>
      </c>
      <c r="O188" s="73" t="e">
        <f t="shared" ref="O188:X188" ca="1" si="95">N$188*(1+O$240)</f>
        <v>#REF!</v>
      </c>
      <c r="P188" s="73" t="e">
        <f t="shared" ca="1" si="95"/>
        <v>#REF!</v>
      </c>
      <c r="Q188" s="73" t="e">
        <f t="shared" ca="1" si="95"/>
        <v>#REF!</v>
      </c>
      <c r="R188" s="73" t="e">
        <f t="shared" ca="1" si="95"/>
        <v>#REF!</v>
      </c>
      <c r="S188" s="73" t="e">
        <f t="shared" ca="1" si="95"/>
        <v>#REF!</v>
      </c>
      <c r="T188" s="73" t="e">
        <f t="shared" ca="1" si="95"/>
        <v>#REF!</v>
      </c>
      <c r="U188" s="73" t="e">
        <f t="shared" ca="1" si="95"/>
        <v>#REF!</v>
      </c>
      <c r="V188" s="73" t="e">
        <f t="shared" ca="1" si="95"/>
        <v>#REF!</v>
      </c>
      <c r="W188" s="73" t="e">
        <f t="shared" ca="1" si="95"/>
        <v>#REF!</v>
      </c>
      <c r="X188" s="73" t="e">
        <f t="shared" ca="1" si="95"/>
        <v>#REF!</v>
      </c>
      <c r="Y188" s="36"/>
    </row>
    <row r="189" spans="1:25" x14ac:dyDescent="0.2">
      <c r="A189" s="31" t="s">
        <v>649</v>
      </c>
      <c r="B189" s="233"/>
      <c r="C189" s="69"/>
      <c r="D189" s="176" t="e">
        <f>#REF!</f>
        <v>#REF!</v>
      </c>
      <c r="E189" s="176" t="e">
        <f>#REF!</f>
        <v>#REF!</v>
      </c>
      <c r="F189" s="176" t="e">
        <f>#REF!</f>
        <v>#REF!</v>
      </c>
      <c r="G189" s="176" t="e">
        <f>#REF!</f>
        <v>#REF!</v>
      </c>
      <c r="H189" s="176" t="e">
        <f>#REF!</f>
        <v>#REF!</v>
      </c>
      <c r="I189" s="176" t="e">
        <f>#REF!</f>
        <v>#REF!</v>
      </c>
      <c r="J189" s="130" t="e">
        <f>#REF!</f>
        <v>#REF!</v>
      </c>
      <c r="K189" s="130" t="e">
        <f>#REF!</f>
        <v>#REF!</v>
      </c>
      <c r="L189" s="130" t="e">
        <f>#REF!</f>
        <v>#REF!</v>
      </c>
      <c r="M189" s="130" t="e">
        <f>#REF!</f>
        <v>#REF!</v>
      </c>
      <c r="N189" s="130" t="e">
        <f>#REF!</f>
        <v>#REF!</v>
      </c>
      <c r="O189" s="81" t="e">
        <f t="shared" ref="O189:X189" ca="1" si="96">N$189*(1+O$240)</f>
        <v>#REF!</v>
      </c>
      <c r="P189" s="81" t="e">
        <f t="shared" ca="1" si="96"/>
        <v>#REF!</v>
      </c>
      <c r="Q189" s="81" t="e">
        <f t="shared" ca="1" si="96"/>
        <v>#REF!</v>
      </c>
      <c r="R189" s="81" t="e">
        <f t="shared" ca="1" si="96"/>
        <v>#REF!</v>
      </c>
      <c r="S189" s="81" t="e">
        <f t="shared" ca="1" si="96"/>
        <v>#REF!</v>
      </c>
      <c r="T189" s="81" t="e">
        <f t="shared" ca="1" si="96"/>
        <v>#REF!</v>
      </c>
      <c r="U189" s="81" t="e">
        <f t="shared" ca="1" si="96"/>
        <v>#REF!</v>
      </c>
      <c r="V189" s="81" t="e">
        <f t="shared" ca="1" si="96"/>
        <v>#REF!</v>
      </c>
      <c r="W189" s="81" t="e">
        <f t="shared" ca="1" si="96"/>
        <v>#REF!</v>
      </c>
      <c r="X189" s="81" t="e">
        <f t="shared" ca="1" si="96"/>
        <v>#REF!</v>
      </c>
      <c r="Y189" s="36"/>
    </row>
    <row r="190" spans="1:25" x14ac:dyDescent="0.2">
      <c r="A190" s="27" t="s">
        <v>631</v>
      </c>
      <c r="B190" s="36"/>
      <c r="C190" s="69"/>
      <c r="D190" s="71" t="e">
        <f t="shared" ref="D190:X190" si="97">SUM(D$183,D$184,D$187,D$189)-SUM(D$185,D$186,D$188)</f>
        <v>#REF!</v>
      </c>
      <c r="E190" s="71" t="e">
        <f t="shared" si="97"/>
        <v>#REF!</v>
      </c>
      <c r="F190" s="71" t="e">
        <f t="shared" si="97"/>
        <v>#REF!</v>
      </c>
      <c r="G190" s="71" t="e">
        <f t="shared" si="97"/>
        <v>#REF!</v>
      </c>
      <c r="H190" s="71" t="e">
        <f t="shared" si="97"/>
        <v>#REF!</v>
      </c>
      <c r="I190" s="71" t="e">
        <f t="shared" si="97"/>
        <v>#REF!</v>
      </c>
      <c r="J190" s="131" t="e">
        <f t="shared" si="97"/>
        <v>#REF!</v>
      </c>
      <c r="K190" s="131" t="e">
        <f t="shared" si="97"/>
        <v>#REF!</v>
      </c>
      <c r="L190" s="131" t="e">
        <f t="shared" si="97"/>
        <v>#REF!</v>
      </c>
      <c r="M190" s="131" t="e">
        <f t="shared" si="97"/>
        <v>#REF!</v>
      </c>
      <c r="N190" s="131" t="e">
        <f t="shared" si="97"/>
        <v>#REF!</v>
      </c>
      <c r="O190" s="75" t="e">
        <f t="shared" si="97"/>
        <v>#REF!</v>
      </c>
      <c r="P190" s="75" t="e">
        <f t="shared" si="97"/>
        <v>#REF!</v>
      </c>
      <c r="Q190" s="75" t="e">
        <f t="shared" si="97"/>
        <v>#REF!</v>
      </c>
      <c r="R190" s="75" t="e">
        <f t="shared" si="97"/>
        <v>#REF!</v>
      </c>
      <c r="S190" s="75" t="e">
        <f t="shared" si="97"/>
        <v>#REF!</v>
      </c>
      <c r="T190" s="75" t="e">
        <f t="shared" si="97"/>
        <v>#REF!</v>
      </c>
      <c r="U190" s="75" t="e">
        <f t="shared" si="97"/>
        <v>#REF!</v>
      </c>
      <c r="V190" s="75" t="e">
        <f t="shared" si="97"/>
        <v>#REF!</v>
      </c>
      <c r="W190" s="75" t="e">
        <f t="shared" si="97"/>
        <v>#REF!</v>
      </c>
      <c r="X190" s="75" t="e">
        <f t="shared" si="97"/>
        <v>#REF!</v>
      </c>
      <c r="Y190" s="36"/>
    </row>
    <row r="191" spans="1:25" x14ac:dyDescent="0.2">
      <c r="A191" s="26"/>
      <c r="B191" s="42"/>
      <c r="C191" s="6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36"/>
    </row>
    <row r="192" spans="1:25" x14ac:dyDescent="0.2">
      <c r="A192" s="108" t="s">
        <v>664</v>
      </c>
      <c r="B192" s="41"/>
      <c r="C192" s="69"/>
      <c r="D192" s="69"/>
      <c r="E192" s="69"/>
      <c r="F192" s="69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6" x14ac:dyDescent="0.2">
      <c r="A193" s="27" t="s">
        <v>1024</v>
      </c>
      <c r="B193" s="231"/>
      <c r="C193" s="69"/>
      <c r="D193" s="71" t="e">
        <f>#REF!</f>
        <v>#REF!</v>
      </c>
      <c r="E193" s="71" t="e">
        <f>#REF!</f>
        <v>#REF!</v>
      </c>
      <c r="F193" s="71" t="e">
        <f>#REF!</f>
        <v>#REF!</v>
      </c>
      <c r="G193" s="71" t="e">
        <f>#REF!</f>
        <v>#REF!</v>
      </c>
      <c r="H193" s="71" t="e">
        <f>#REF!</f>
        <v>#REF!</v>
      </c>
      <c r="I193" s="71" t="e">
        <f>#REF!</f>
        <v>#REF!</v>
      </c>
      <c r="J193" s="131" t="e">
        <f ca="1">#REF! +IF(OFFSET(Scenarios!$A$75,0,$C$1)="Yes",J$198,0) + IF($L$1="Yes",J$344,0)</f>
        <v>#REF!</v>
      </c>
      <c r="K193" s="131" t="e">
        <f ca="1">#REF! +IF(OFFSET(Scenarios!$A$75,0,$C$1)="Yes",K$198,0) + IF($L$1="Yes",K$344,0)</f>
        <v>#REF!</v>
      </c>
      <c r="L193" s="131" t="e">
        <f ca="1">#REF! +IF(OFFSET(Scenarios!$A$75,0,$C$1)="Yes",L$198,0) + IF($L$1="Yes",L$344,0)</f>
        <v>#REF!</v>
      </c>
      <c r="M193" s="131" t="e">
        <f ca="1">#REF! +IF(OFFSET(Scenarios!$A$75,0,$C$1)="Yes",M$198,0) + IF($L$1="Yes",M$344,0)</f>
        <v>#REF!</v>
      </c>
      <c r="N193" s="131" t="e">
        <f ca="1">#REF! +IF(OFFSET(Scenarios!$A$75,0,$C$1)="Yes",N$198,0) + IF($L$1="Yes",N$344,0)</f>
        <v>#REF!</v>
      </c>
      <c r="O193" s="42" t="e">
        <f ca="1">N$193 +(O$50-N$50)-(O$115-N$115) +IF(OFFSET(Scenarios!$A$75,0,$C$1)="Yes",(O$198-N$198),0)</f>
        <v>#REF!</v>
      </c>
      <c r="P193" s="42" t="e">
        <f ca="1">O$193 +(P$50-O$50)-(P$115-O$115) +IF(OFFSET(Scenarios!$A$75,0,$C$1)="Yes",(P$198-O$198),0)</f>
        <v>#REF!</v>
      </c>
      <c r="Q193" s="42" t="e">
        <f ca="1">P$193 +(Q$50-P$50)-(Q$115-P$115) +IF(OFFSET(Scenarios!$A$75,0,$C$1)="Yes",(Q$198-P$198),0)</f>
        <v>#REF!</v>
      </c>
      <c r="R193" s="42" t="e">
        <f ca="1">Q$193 +(R$50-Q$50)-(R$115-Q$115) +IF(OFFSET(Scenarios!$A$75,0,$C$1)="Yes",(R$198-Q$198),0)</f>
        <v>#REF!</v>
      </c>
      <c r="S193" s="42" t="e">
        <f ca="1">R$193 +(S$50-R$50)-(S$115-R$115) +IF(OFFSET(Scenarios!$A$75,0,$C$1)="Yes",(S$198-R$198),0)</f>
        <v>#REF!</v>
      </c>
      <c r="T193" s="42" t="e">
        <f ca="1">S$193 +(T$50-S$50)-(T$115-S$115) +IF(OFFSET(Scenarios!$A$75,0,$C$1)="Yes",(T$198-S$198),0)</f>
        <v>#REF!</v>
      </c>
      <c r="U193" s="42" t="e">
        <f ca="1">T$193 +(U$50-T$50)-(U$115-T$115) +IF(OFFSET(Scenarios!$A$75,0,$C$1)="Yes",(U$198-T$198),0)</f>
        <v>#REF!</v>
      </c>
      <c r="V193" s="42" t="e">
        <f ca="1">U$193 +(V$50-U$50)-(V$115-U$115) +IF(OFFSET(Scenarios!$A$75,0,$C$1)="Yes",(V$198-U$198),0)</f>
        <v>#REF!</v>
      </c>
      <c r="W193" s="42" t="e">
        <f ca="1">V$193 +(W$50-V$50)-(W$115-V$115) +IF(OFFSET(Scenarios!$A$75,0,$C$1)="Yes",(W$198-V$198),0)</f>
        <v>#REF!</v>
      </c>
      <c r="X193" s="42" t="e">
        <f ca="1">W$193 +(X$50-W$50)-(X$115-W$115) +IF(OFFSET(Scenarios!$A$75,0,$C$1)="Yes",(X$198-W$198),0)</f>
        <v>#REF!</v>
      </c>
      <c r="Y193" s="36"/>
    </row>
    <row r="194" spans="1:26" x14ac:dyDescent="0.2">
      <c r="A194" s="161" t="s">
        <v>396</v>
      </c>
      <c r="B194" s="69"/>
      <c r="C194" s="69"/>
      <c r="D194" s="176" t="e">
        <f>D$195-D$193</f>
        <v>#REF!</v>
      </c>
      <c r="E194" s="176" t="e">
        <f t="shared" ref="E194:N194" si="98">E$195-E$193</f>
        <v>#REF!</v>
      </c>
      <c r="F194" s="176" t="e">
        <f t="shared" si="98"/>
        <v>#REF!</v>
      </c>
      <c r="G194" s="176" t="e">
        <f t="shared" si="98"/>
        <v>#REF!</v>
      </c>
      <c r="H194" s="176" t="e">
        <f t="shared" si="98"/>
        <v>#REF!</v>
      </c>
      <c r="I194" s="176" t="e">
        <f t="shared" si="98"/>
        <v>#REF!</v>
      </c>
      <c r="J194" s="130" t="e">
        <f t="shared" ca="1" si="98"/>
        <v>#REF!</v>
      </c>
      <c r="K194" s="130" t="e">
        <f t="shared" ca="1" si="98"/>
        <v>#REF!</v>
      </c>
      <c r="L194" s="130" t="e">
        <f t="shared" ca="1" si="98"/>
        <v>#REF!</v>
      </c>
      <c r="M194" s="130" t="e">
        <f t="shared" ca="1" si="98"/>
        <v>#REF!</v>
      </c>
      <c r="N194" s="130" t="e">
        <f t="shared" ca="1" si="98"/>
        <v>#REF!</v>
      </c>
      <c r="O194" s="81" t="e">
        <f t="shared" ref="O194:X194" ca="1" si="99">SUM(N$194,(O$29-O$34)-(N$29-N$34),(O$30-O$35)-(N$30-N$35),(O$15-O$24),-SUM(O$148-O$147,O$150-O$149,O$160-O$157,O$180-O$179,O$205-O$204)+SUM(N$148-N$147,N$150-N$149,N$160-N$157,N$180-N$179,N$205-N$204))</f>
        <v>#REF!</v>
      </c>
      <c r="P194" s="81" t="e">
        <f t="shared" ca="1" si="99"/>
        <v>#REF!</v>
      </c>
      <c r="Q194" s="81" t="e">
        <f t="shared" ca="1" si="99"/>
        <v>#REF!</v>
      </c>
      <c r="R194" s="81" t="e">
        <f t="shared" ca="1" si="99"/>
        <v>#REF!</v>
      </c>
      <c r="S194" s="81" t="e">
        <f t="shared" ca="1" si="99"/>
        <v>#REF!</v>
      </c>
      <c r="T194" s="81" t="e">
        <f t="shared" ca="1" si="99"/>
        <v>#REF!</v>
      </c>
      <c r="U194" s="81" t="e">
        <f t="shared" ca="1" si="99"/>
        <v>#REF!</v>
      </c>
      <c r="V194" s="81" t="e">
        <f t="shared" ca="1" si="99"/>
        <v>#REF!</v>
      </c>
      <c r="W194" s="81" t="e">
        <f t="shared" ca="1" si="99"/>
        <v>#REF!</v>
      </c>
      <c r="X194" s="81" t="e">
        <f t="shared" ca="1" si="99"/>
        <v>#REF!</v>
      </c>
      <c r="Y194" s="36"/>
    </row>
    <row r="195" spans="1:26" x14ac:dyDescent="0.2">
      <c r="A195" s="27" t="s">
        <v>1025</v>
      </c>
      <c r="B195" s="231"/>
      <c r="C195" s="69"/>
      <c r="D195" s="71" t="e">
        <f>#REF!</f>
        <v>#REF!</v>
      </c>
      <c r="E195" s="71" t="e">
        <f>#REF!</f>
        <v>#REF!</v>
      </c>
      <c r="F195" s="71" t="e">
        <f>#REF!</f>
        <v>#REF!</v>
      </c>
      <c r="G195" s="71" t="e">
        <f>#REF!</f>
        <v>#REF!</v>
      </c>
      <c r="H195" s="71" t="e">
        <f>#REF!</f>
        <v>#REF!</v>
      </c>
      <c r="I195" s="71" t="e">
        <f>#REF!</f>
        <v>#REF!</v>
      </c>
      <c r="J195" s="131" t="e">
        <f ca="1">#REF! +IF(OFFSET(Scenarios!$A$75,0,$C$1)="Yes",J$198,0) + IF($L$1="Yes",J$344,0)</f>
        <v>#REF!</v>
      </c>
      <c r="K195" s="131" t="e">
        <f ca="1">#REF! +IF(OFFSET(Scenarios!$A$75,0,$C$1)="Yes",K$198,0) + IF($L$1="Yes",K$344,0)</f>
        <v>#REF!</v>
      </c>
      <c r="L195" s="131" t="e">
        <f ca="1">#REF! +IF(OFFSET(Scenarios!$A$75,0,$C$1)="Yes",L$198,0) + IF($L$1="Yes",L$344,0)</f>
        <v>#REF!</v>
      </c>
      <c r="M195" s="131" t="e">
        <f ca="1">#REF! +IF(OFFSET(Scenarios!$A$75,0,$C$1)="Yes",M$198,0) + IF($L$1="Yes",M$344,0)</f>
        <v>#REF!</v>
      </c>
      <c r="N195" s="131" t="e">
        <f ca="1">#REF! +IF(OFFSET(Scenarios!$A$75,0,$C$1)="Yes",N$198,0) + IF($L$1="Yes",N$344,0)</f>
        <v>#REF!</v>
      </c>
      <c r="O195" s="75" t="e">
        <f t="shared" ref="O195:X195" ca="1" si="100">SUM(O$193,O$194)</f>
        <v>#REF!</v>
      </c>
      <c r="P195" s="75" t="e">
        <f t="shared" ca="1" si="100"/>
        <v>#REF!</v>
      </c>
      <c r="Q195" s="75" t="e">
        <f t="shared" ca="1" si="100"/>
        <v>#REF!</v>
      </c>
      <c r="R195" s="75" t="e">
        <f t="shared" ca="1" si="100"/>
        <v>#REF!</v>
      </c>
      <c r="S195" s="75" t="e">
        <f t="shared" ca="1" si="100"/>
        <v>#REF!</v>
      </c>
      <c r="T195" s="75" t="e">
        <f t="shared" ca="1" si="100"/>
        <v>#REF!</v>
      </c>
      <c r="U195" s="75" t="e">
        <f t="shared" ca="1" si="100"/>
        <v>#REF!</v>
      </c>
      <c r="V195" s="75" t="e">
        <f t="shared" ca="1" si="100"/>
        <v>#REF!</v>
      </c>
      <c r="W195" s="75" t="e">
        <f t="shared" ca="1" si="100"/>
        <v>#REF!</v>
      </c>
      <c r="X195" s="75" t="e">
        <f t="shared" ca="1" si="100"/>
        <v>#REF!</v>
      </c>
      <c r="Y195" s="36"/>
    </row>
    <row r="196" spans="1:26" x14ac:dyDescent="0.2">
      <c r="A196" s="27"/>
      <c r="B196" s="41"/>
      <c r="C196" s="69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36"/>
    </row>
    <row r="197" spans="1:26" x14ac:dyDescent="0.2">
      <c r="A197" s="108" t="s">
        <v>1022</v>
      </c>
      <c r="B197" s="77"/>
      <c r="C197" s="69"/>
      <c r="D197" s="71" t="e">
        <f t="shared" ref="D197:I197" si="101">D$198-C$198</f>
        <v>#REF!</v>
      </c>
      <c r="E197" s="71" t="e">
        <f t="shared" si="101"/>
        <v>#REF!</v>
      </c>
      <c r="F197" s="71" t="e">
        <f t="shared" si="101"/>
        <v>#REF!</v>
      </c>
      <c r="G197" s="71" t="e">
        <f t="shared" si="101"/>
        <v>#REF!</v>
      </c>
      <c r="H197" s="71" t="e">
        <f t="shared" si="101"/>
        <v>#REF!</v>
      </c>
      <c r="I197" s="71" t="e">
        <f t="shared" si="101"/>
        <v>#REF!</v>
      </c>
      <c r="J197" s="131" t="e">
        <f ca="1">IF(OFFSET(Scenarios!$A$75,0,$C$1)="Yes",0,J$198-I$198)</f>
        <v>#N/A</v>
      </c>
      <c r="K197" s="131" t="e">
        <f ca="1">IF(OFFSET(Scenarios!$A$75,0,$C$1)="Yes",0,K$198-J$198)</f>
        <v>#N/A</v>
      </c>
      <c r="L197" s="131" t="e">
        <f ca="1">IF(OFFSET(Scenarios!$A$75,0,$C$1)="Yes",0,L$198-K$198)</f>
        <v>#N/A</v>
      </c>
      <c r="M197" s="131" t="e">
        <f ca="1">IF(OFFSET(Scenarios!$A$75,0,$C$1)="Yes",0,M$198-L$198)</f>
        <v>#N/A</v>
      </c>
      <c r="N197" s="131" t="e">
        <f ca="1">IF(OFFSET(Scenarios!$A$75,0,$C$1)="Yes",0,N$198-M$198)</f>
        <v>#N/A</v>
      </c>
      <c r="O197" s="279" t="e">
        <f ca="1">IF(OFFSET(Scenarios!$A$75,0,$C$1)="Yes",0,IF(OFFSET(Scenarios!$A$32,0,$C$1)&gt;=O$4,#REF!/1000,IF(OFFSET(Scenarios!$A$32,0,$C$1)+1=O$4,OFFSET(Scenarios!$A$31,0,$C$1)/5*(1-(1+OFFSET(Scenarios!$A$36,0,$C$1))^5)/-OFFSET(Scenarios!$A$36,0,$C$1),N$197*(1+OFFSET(Scenarios!$A$36,0,$C$1)))))</f>
        <v>#N/A</v>
      </c>
      <c r="P197" s="279" t="e">
        <f ca="1">IF(OFFSET(Scenarios!$A$75,0,$C$1)="Yes",0,IF(OFFSET(Scenarios!$A$32,0,$C$1)&gt;=P$4,#REF!/1000,IF(OFFSET(Scenarios!$A$32,0,$C$1)+1=P$4,OFFSET(Scenarios!$A$31,0,$C$1)/5*(1-(1+OFFSET(Scenarios!$A$36,0,$C$1))^5)/-OFFSET(Scenarios!$A$36,0,$C$1),O$197*(1+OFFSET(Scenarios!$A$36,0,$C$1)))))</f>
        <v>#N/A</v>
      </c>
      <c r="Q197" s="279" t="e">
        <f ca="1">IF(OFFSET(Scenarios!$A$75,0,$C$1)="Yes",0,IF(OFFSET(Scenarios!$A$32,0,$C$1)&gt;=Q$4,#REF!/1000,IF(OFFSET(Scenarios!$A$32,0,$C$1)+1=Q$4,OFFSET(Scenarios!$A$31,0,$C$1)/5*(1-(1+OFFSET(Scenarios!$A$36,0,$C$1))^5)/-OFFSET(Scenarios!$A$36,0,$C$1),P$197*(1+OFFSET(Scenarios!$A$36,0,$C$1)))))</f>
        <v>#N/A</v>
      </c>
      <c r="R197" s="279" t="e">
        <f ca="1">IF(OFFSET(Scenarios!$A$75,0,$C$1)="Yes",0,IF(OFFSET(Scenarios!$A$32,0,$C$1)&gt;=R$4,#REF!/1000,IF(OFFSET(Scenarios!$A$32,0,$C$1)+1=R$4,OFFSET(Scenarios!$A$31,0,$C$1)/5*(1-(1+OFFSET(Scenarios!$A$36,0,$C$1))^5)/-OFFSET(Scenarios!$A$36,0,$C$1),Q$197*(1+OFFSET(Scenarios!$A$36,0,$C$1)))))</f>
        <v>#N/A</v>
      </c>
      <c r="S197" s="279" t="e">
        <f ca="1">IF(OFFSET(Scenarios!$A$75,0,$C$1)="Yes",0,IF(OFFSET(Scenarios!$A$32,0,$C$1)&gt;=S$4,#REF!/1000,IF(OFFSET(Scenarios!$A$32,0,$C$1)+1=S$4,OFFSET(Scenarios!$A$31,0,$C$1)/5*(1-(1+OFFSET(Scenarios!$A$36,0,$C$1))^5)/-OFFSET(Scenarios!$A$36,0,$C$1),R$197*(1+OFFSET(Scenarios!$A$36,0,$C$1)))))</f>
        <v>#N/A</v>
      </c>
      <c r="T197" s="279" t="e">
        <f ca="1">IF(OFFSET(Scenarios!$A$75,0,$C$1)="Yes",0,IF(OFFSET(Scenarios!$A$32,0,$C$1)&gt;=T$4,#REF!/1000,IF(OFFSET(Scenarios!$A$32,0,$C$1)+1=T$4,OFFSET(Scenarios!$A$31,0,$C$1)/5*(1-(1+OFFSET(Scenarios!$A$36,0,$C$1))^5)/-OFFSET(Scenarios!$A$36,0,$C$1),S$197*(1+OFFSET(Scenarios!$A$36,0,$C$1)))))</f>
        <v>#N/A</v>
      </c>
      <c r="U197" s="279" t="e">
        <f ca="1">IF(OFFSET(Scenarios!$A$75,0,$C$1)="Yes",0,IF(OFFSET(Scenarios!$A$32,0,$C$1)&gt;=U$4,#REF!/1000,IF(OFFSET(Scenarios!$A$32,0,$C$1)+1=U$4,OFFSET(Scenarios!$A$31,0,$C$1)/5*(1-(1+OFFSET(Scenarios!$A$36,0,$C$1))^5)/-OFFSET(Scenarios!$A$36,0,$C$1),T$197*(1+OFFSET(Scenarios!$A$36,0,$C$1)))))</f>
        <v>#N/A</v>
      </c>
      <c r="V197" s="279" t="e">
        <f ca="1">IF(OFFSET(Scenarios!$A$75,0,$C$1)="Yes",0,IF(OFFSET(Scenarios!$A$32,0,$C$1)&gt;=V$4,#REF!/1000,IF(OFFSET(Scenarios!$A$32,0,$C$1)+1=V$4,OFFSET(Scenarios!$A$31,0,$C$1)/5*(1-(1+OFFSET(Scenarios!$A$36,0,$C$1))^5)/-OFFSET(Scenarios!$A$36,0,$C$1),U$197*(1+OFFSET(Scenarios!$A$36,0,$C$1)))))</f>
        <v>#N/A</v>
      </c>
      <c r="W197" s="279" t="e">
        <f ca="1">IF(OFFSET(Scenarios!$A$75,0,$C$1)="Yes",0,IF(OFFSET(Scenarios!$A$32,0,$C$1)&gt;=W$4,#REF!/1000,IF(OFFSET(Scenarios!$A$32,0,$C$1)+1=W$4,OFFSET(Scenarios!$A$31,0,$C$1)/5*(1-(1+OFFSET(Scenarios!$A$36,0,$C$1))^5)/-OFFSET(Scenarios!$A$36,0,$C$1),V$197*(1+OFFSET(Scenarios!$A$36,0,$C$1)))))</f>
        <v>#N/A</v>
      </c>
      <c r="X197" s="279" t="e">
        <f ca="1">IF(OFFSET(Scenarios!$A$75,0,$C$1)="Yes",0,IF(OFFSET(Scenarios!$A$32,0,$C$1)&gt;=X$4,#REF!/1000,IF(OFFSET(Scenarios!$A$32,0,$C$1)+1=X$4,OFFSET(Scenarios!$A$31,0,$C$1)/5*(1-(1+OFFSET(Scenarios!$A$36,0,$C$1))^5)/-OFFSET(Scenarios!$A$36,0,$C$1),W$197*(1+OFFSET(Scenarios!$A$36,0,$C$1)))))</f>
        <v>#N/A</v>
      </c>
      <c r="Y197" s="36"/>
    </row>
    <row r="198" spans="1:26" x14ac:dyDescent="0.2">
      <c r="A198" s="225" t="s">
        <v>1023</v>
      </c>
      <c r="B198" s="231"/>
      <c r="C198" s="69"/>
      <c r="D198" s="69" t="e">
        <f>SUM(#REF!)</f>
        <v>#REF!</v>
      </c>
      <c r="E198" s="69" t="e">
        <f>SUM(#REF!)</f>
        <v>#REF!</v>
      </c>
      <c r="F198" s="69" t="e">
        <f>SUM(#REF!)</f>
        <v>#REF!</v>
      </c>
      <c r="G198" s="69" t="e">
        <f>SUM(#REF!)</f>
        <v>#REF!</v>
      </c>
      <c r="H198" s="69" t="e">
        <f>SUM(#REF!)</f>
        <v>#REF!</v>
      </c>
      <c r="I198" s="69" t="e">
        <f>SUM(#REF!)</f>
        <v>#REF!</v>
      </c>
      <c r="J198" s="105" t="e">
        <f>SUM(#REF!) + IF($I$1="Yes",J$311,0)</f>
        <v>#REF!</v>
      </c>
      <c r="K198" s="105" t="e">
        <f>SUM(#REF!) + IF($I$1="Yes",K$311,0)</f>
        <v>#REF!</v>
      </c>
      <c r="L198" s="105" t="e">
        <f>SUM(#REF!) + IF($I$1="Yes",L$311,0)</f>
        <v>#REF!</v>
      </c>
      <c r="M198" s="105" t="e">
        <f>SUM(#REF!) + IF($I$1="Yes",M$311,0)</f>
        <v>#REF!</v>
      </c>
      <c r="N198" s="105" t="e">
        <f>SUM(#REF!) + IF($I$1="Yes",N$311,0)</f>
        <v>#REF!</v>
      </c>
      <c r="O198" s="100" t="e">
        <f ca="1">N$198+IF(OFFSET(Scenarios!$A$32,0,$C$1)&gt;=O$4,#REF!/1000,IF(OFFSET(Scenarios!$A$32,0,$C$1)+1=O$4,OFFSET(Scenarios!$A$31,0,$C$1)/5*(1-(1+OFFSET(Scenarios!$A$36,0,$C$1))^5)/-OFFSET(Scenarios!$A$36,0,$C$1),(N$198-M$198)*(1+OFFSET(Scenarios!$A$36,0,$C$1))))</f>
        <v>#REF!</v>
      </c>
      <c r="P198" s="100" t="e">
        <f ca="1">O$198+IF(OFFSET(Scenarios!$A$32,0,$C$1)&gt;=P$4,#REF!/1000,IF(OFFSET(Scenarios!$A$32,0,$C$1)+1=P$4,OFFSET(Scenarios!$A$31,0,$C$1)/5*(1-(1+OFFSET(Scenarios!$A$36,0,$C$1))^5)/-OFFSET(Scenarios!$A$36,0,$C$1),(O$198-N$198)*(1+OFFSET(Scenarios!$A$36,0,$C$1))))</f>
        <v>#REF!</v>
      </c>
      <c r="Q198" s="100" t="e">
        <f ca="1">P$198+IF(OFFSET(Scenarios!$A$32,0,$C$1)&gt;=Q$4,#REF!/1000,IF(OFFSET(Scenarios!$A$32,0,$C$1)+1=Q$4,OFFSET(Scenarios!$A$31,0,$C$1)/5*(1-(1+OFFSET(Scenarios!$A$36,0,$C$1))^5)/-OFFSET(Scenarios!$A$36,0,$C$1),(P$198-O$198)*(1+OFFSET(Scenarios!$A$36,0,$C$1))))</f>
        <v>#REF!</v>
      </c>
      <c r="R198" s="100" t="e">
        <f ca="1">Q$198+IF(OFFSET(Scenarios!$A$32,0,$C$1)&gt;=R$4,#REF!/1000,IF(OFFSET(Scenarios!$A$32,0,$C$1)+1=R$4,OFFSET(Scenarios!$A$31,0,$C$1)/5*(1-(1+OFFSET(Scenarios!$A$36,0,$C$1))^5)/-OFFSET(Scenarios!$A$36,0,$C$1),(Q$198-P$198)*(1+OFFSET(Scenarios!$A$36,0,$C$1))))</f>
        <v>#REF!</v>
      </c>
      <c r="S198" s="100" t="e">
        <f ca="1">R$198+IF(OFFSET(Scenarios!$A$32,0,$C$1)&gt;=S$4,#REF!/1000,IF(OFFSET(Scenarios!$A$32,0,$C$1)+1=S$4,OFFSET(Scenarios!$A$31,0,$C$1)/5*(1-(1+OFFSET(Scenarios!$A$36,0,$C$1))^5)/-OFFSET(Scenarios!$A$36,0,$C$1),(R$198-Q$198)*(1+OFFSET(Scenarios!$A$36,0,$C$1))))</f>
        <v>#REF!</v>
      </c>
      <c r="T198" s="100" t="e">
        <f ca="1">S$198+IF(OFFSET(Scenarios!$A$32,0,$C$1)&gt;=T$4,#REF!/1000,IF(OFFSET(Scenarios!$A$32,0,$C$1)+1=T$4,OFFSET(Scenarios!$A$31,0,$C$1)/5*(1-(1+OFFSET(Scenarios!$A$36,0,$C$1))^5)/-OFFSET(Scenarios!$A$36,0,$C$1),(S$198-R$198)*(1+OFFSET(Scenarios!$A$36,0,$C$1))))</f>
        <v>#REF!</v>
      </c>
      <c r="U198" s="100" t="e">
        <f ca="1">T$198+IF(OFFSET(Scenarios!$A$32,0,$C$1)&gt;=U$4,#REF!/1000,IF(OFFSET(Scenarios!$A$32,0,$C$1)+1=U$4,OFFSET(Scenarios!$A$31,0,$C$1)/5*(1-(1+OFFSET(Scenarios!$A$36,0,$C$1))^5)/-OFFSET(Scenarios!$A$36,0,$C$1),(T$198-S$198)*(1+OFFSET(Scenarios!$A$36,0,$C$1))))</f>
        <v>#REF!</v>
      </c>
      <c r="V198" s="100" t="e">
        <f ca="1">U$198+IF(OFFSET(Scenarios!$A$32,0,$C$1)&gt;=V$4,#REF!/1000,IF(OFFSET(Scenarios!$A$32,0,$C$1)+1=V$4,OFFSET(Scenarios!$A$31,0,$C$1)/5*(1-(1+OFFSET(Scenarios!$A$36,0,$C$1))^5)/-OFFSET(Scenarios!$A$36,0,$C$1),(U$198-T$198)*(1+OFFSET(Scenarios!$A$36,0,$C$1))))</f>
        <v>#REF!</v>
      </c>
      <c r="W198" s="100" t="e">
        <f ca="1">V$198+IF(OFFSET(Scenarios!$A$32,0,$C$1)&gt;=W$4,#REF!/1000,IF(OFFSET(Scenarios!$A$32,0,$C$1)+1=W$4,OFFSET(Scenarios!$A$31,0,$C$1)/5*(1-(1+OFFSET(Scenarios!$A$36,0,$C$1))^5)/-OFFSET(Scenarios!$A$36,0,$C$1),(V$198-U$198)*(1+OFFSET(Scenarios!$A$36,0,$C$1))))</f>
        <v>#REF!</v>
      </c>
      <c r="X198" s="100" t="e">
        <f ca="1">W$198+IF(OFFSET(Scenarios!$A$32,0,$C$1)&gt;=X$4,#REF!/1000,IF(OFFSET(Scenarios!$A$32,0,$C$1)+1=X$4,OFFSET(Scenarios!$A$31,0,$C$1)/5*(1-(1+OFFSET(Scenarios!$A$36,0,$C$1))^5)/-OFFSET(Scenarios!$A$36,0,$C$1),(W$198-V$198)*(1+OFFSET(Scenarios!$A$36,0,$C$1))))</f>
        <v>#REF!</v>
      </c>
      <c r="Y198" s="36"/>
    </row>
    <row r="199" spans="1:26" x14ac:dyDescent="0.2">
      <c r="A199" s="27"/>
      <c r="B199" s="77"/>
      <c r="C199" s="69"/>
      <c r="D199" s="101"/>
      <c r="E199" s="101"/>
      <c r="F199" s="101"/>
      <c r="G199" s="106"/>
      <c r="H199" s="106"/>
      <c r="I199" s="10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6" x14ac:dyDescent="0.2">
      <c r="A200" s="108" t="s">
        <v>665</v>
      </c>
      <c r="B200" s="77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/>
      <c r="N200"/>
      <c r="O200"/>
      <c r="P200"/>
      <c r="Q200"/>
      <c r="R200"/>
      <c r="S200"/>
      <c r="T200"/>
      <c r="U200"/>
      <c r="V200"/>
      <c r="W200"/>
      <c r="X200"/>
      <c r="Y200" s="36"/>
    </row>
    <row r="201" spans="1:26" x14ac:dyDescent="0.2">
      <c r="A201" s="160" t="s">
        <v>312</v>
      </c>
      <c r="B201" s="231"/>
      <c r="C201" s="69"/>
      <c r="D201" s="69" t="e">
        <f>#REF!</f>
        <v>#REF!</v>
      </c>
      <c r="E201" s="69" t="e">
        <f>#REF!</f>
        <v>#REF!</v>
      </c>
      <c r="F201" s="69" t="e">
        <f>#REF!</f>
        <v>#REF!</v>
      </c>
      <c r="G201" s="69" t="e">
        <f>#REF!</f>
        <v>#REF!</v>
      </c>
      <c r="H201" s="69" t="e">
        <f>#REF!</f>
        <v>#REF!</v>
      </c>
      <c r="I201" s="69" t="e">
        <f>#REF!</f>
        <v>#REF!</v>
      </c>
      <c r="J201" s="105" t="e">
        <f>#REF!</f>
        <v>#REF!</v>
      </c>
      <c r="K201" s="105" t="e">
        <f>#REF!</f>
        <v>#REF!</v>
      </c>
      <c r="L201" s="105" t="e">
        <f>#REF!</f>
        <v>#REF!</v>
      </c>
      <c r="M201" s="105" t="e">
        <f>#REF!</f>
        <v>#REF!</v>
      </c>
      <c r="N201" s="105" t="e">
        <f>#REF!</f>
        <v>#REF!</v>
      </c>
      <c r="O201" s="73" t="e">
        <f t="shared" ref="O201:X201" ca="1" si="102">N$201*(1+O$240)</f>
        <v>#REF!</v>
      </c>
      <c r="P201" s="73" t="e">
        <f t="shared" ca="1" si="102"/>
        <v>#REF!</v>
      </c>
      <c r="Q201" s="73" t="e">
        <f t="shared" ca="1" si="102"/>
        <v>#REF!</v>
      </c>
      <c r="R201" s="73" t="e">
        <f t="shared" ca="1" si="102"/>
        <v>#REF!</v>
      </c>
      <c r="S201" s="73" t="e">
        <f t="shared" ca="1" si="102"/>
        <v>#REF!</v>
      </c>
      <c r="T201" s="73" t="e">
        <f t="shared" ca="1" si="102"/>
        <v>#REF!</v>
      </c>
      <c r="U201" s="73" t="e">
        <f t="shared" ca="1" si="102"/>
        <v>#REF!</v>
      </c>
      <c r="V201" s="73" t="e">
        <f t="shared" ca="1" si="102"/>
        <v>#REF!</v>
      </c>
      <c r="W201" s="73" t="e">
        <f t="shared" ca="1" si="102"/>
        <v>#REF!</v>
      </c>
      <c r="X201" s="73" t="e">
        <f t="shared" ca="1" si="102"/>
        <v>#REF!</v>
      </c>
      <c r="Y201" s="36"/>
    </row>
    <row r="202" spans="1:26" x14ac:dyDescent="0.2">
      <c r="A202" s="160" t="s">
        <v>551</v>
      </c>
      <c r="B202" s="231"/>
      <c r="C202" s="69"/>
      <c r="D202" s="69" t="e">
        <f>#REF!</f>
        <v>#REF!</v>
      </c>
      <c r="E202" s="69" t="e">
        <f>#REF!</f>
        <v>#REF!</v>
      </c>
      <c r="F202" s="69" t="e">
        <f>#REF!</f>
        <v>#REF!</v>
      </c>
      <c r="G202" s="69" t="e">
        <f>#REF!</f>
        <v>#REF!</v>
      </c>
      <c r="H202" s="69" t="e">
        <f>#REF!</f>
        <v>#REF!</v>
      </c>
      <c r="I202" s="69" t="e">
        <f>#REF!</f>
        <v>#REF!</v>
      </c>
      <c r="J202" s="105" t="e">
        <f>#REF!</f>
        <v>#REF!</v>
      </c>
      <c r="K202" s="105" t="e">
        <f>#REF!</f>
        <v>#REF!</v>
      </c>
      <c r="L202" s="105" t="e">
        <f>#REF!</f>
        <v>#REF!</v>
      </c>
      <c r="M202" s="105" t="e">
        <f>#REF!</f>
        <v>#REF!</v>
      </c>
      <c r="N202" s="105" t="e">
        <f>#REF!</f>
        <v>#REF!</v>
      </c>
      <c r="O202" s="73" t="e">
        <f t="shared" ref="O202:X202" ca="1" si="103">N$202*(1+O$240)</f>
        <v>#REF!</v>
      </c>
      <c r="P202" s="73" t="e">
        <f t="shared" ca="1" si="103"/>
        <v>#REF!</v>
      </c>
      <c r="Q202" s="73" t="e">
        <f t="shared" ca="1" si="103"/>
        <v>#REF!</v>
      </c>
      <c r="R202" s="73" t="e">
        <f t="shared" ca="1" si="103"/>
        <v>#REF!</v>
      </c>
      <c r="S202" s="73" t="e">
        <f t="shared" ca="1" si="103"/>
        <v>#REF!</v>
      </c>
      <c r="T202" s="73" t="e">
        <f t="shared" ca="1" si="103"/>
        <v>#REF!</v>
      </c>
      <c r="U202" s="73" t="e">
        <f t="shared" ca="1" si="103"/>
        <v>#REF!</v>
      </c>
      <c r="V202" s="73" t="e">
        <f t="shared" ca="1" si="103"/>
        <v>#REF!</v>
      </c>
      <c r="W202" s="73" t="e">
        <f t="shared" ca="1" si="103"/>
        <v>#REF!</v>
      </c>
      <c r="X202" s="73" t="e">
        <f t="shared" ca="1" si="103"/>
        <v>#REF!</v>
      </c>
      <c r="Y202" s="36"/>
    </row>
    <row r="203" spans="1:26" x14ac:dyDescent="0.2">
      <c r="A203" s="160" t="s">
        <v>877</v>
      </c>
      <c r="B203" s="231"/>
      <c r="C203" s="69"/>
      <c r="D203" s="176" t="e">
        <f>SUM(#REF!,#REF!*0)</f>
        <v>#REF!</v>
      </c>
      <c r="E203" s="176" t="e">
        <f>SUM(#REF!,#REF!*0)</f>
        <v>#REF!</v>
      </c>
      <c r="F203" s="176" t="e">
        <f>SUM(#REF!,#REF!*0)</f>
        <v>#REF!</v>
      </c>
      <c r="G203" s="176" t="e">
        <f>SUM(#REF!,#REF!*0)</f>
        <v>#REF!</v>
      </c>
      <c r="H203" s="176" t="e">
        <f>SUM(#REF!,#REF!*0)</f>
        <v>#REF!</v>
      </c>
      <c r="I203" s="176" t="e">
        <f>SUM(#REF!,#REF!*0)</f>
        <v>#REF!</v>
      </c>
      <c r="J203" s="130" t="e">
        <f>SUM(#REF!,#REF!*0)</f>
        <v>#REF!</v>
      </c>
      <c r="K203" s="130" t="e">
        <f>SUM(#REF!,#REF!*0)</f>
        <v>#REF!</v>
      </c>
      <c r="L203" s="130" t="e">
        <f>SUM(#REF!,#REF!*0)</f>
        <v>#REF!</v>
      </c>
      <c r="M203" s="130" t="e">
        <f>SUM(#REF!,#REF!*0)</f>
        <v>#REF!</v>
      </c>
      <c r="N203" s="130" t="e">
        <f>SUM(#REF!,#REF!*0)</f>
        <v>#REF!</v>
      </c>
      <c r="O203" s="81" t="e">
        <f t="shared" ref="O203:X203" ca="1" si="104">N$203*(1+O$240)</f>
        <v>#REF!</v>
      </c>
      <c r="P203" s="81" t="e">
        <f t="shared" ca="1" si="104"/>
        <v>#REF!</v>
      </c>
      <c r="Q203" s="81" t="e">
        <f t="shared" ca="1" si="104"/>
        <v>#REF!</v>
      </c>
      <c r="R203" s="81" t="e">
        <f t="shared" ca="1" si="104"/>
        <v>#REF!</v>
      </c>
      <c r="S203" s="81" t="e">
        <f t="shared" ca="1" si="104"/>
        <v>#REF!</v>
      </c>
      <c r="T203" s="81" t="e">
        <f t="shared" ca="1" si="104"/>
        <v>#REF!</v>
      </c>
      <c r="U203" s="81" t="e">
        <f t="shared" ca="1" si="104"/>
        <v>#REF!</v>
      </c>
      <c r="V203" s="81" t="e">
        <f t="shared" ca="1" si="104"/>
        <v>#REF!</v>
      </c>
      <c r="W203" s="81" t="e">
        <f t="shared" ca="1" si="104"/>
        <v>#REF!</v>
      </c>
      <c r="X203" s="81" t="e">
        <f t="shared" ca="1" si="104"/>
        <v>#REF!</v>
      </c>
      <c r="Y203" s="36"/>
    </row>
    <row r="204" spans="1:26" x14ac:dyDescent="0.2">
      <c r="A204" s="27" t="s">
        <v>397</v>
      </c>
      <c r="B204" s="77"/>
      <c r="C204" s="69"/>
      <c r="D204" s="71" t="e">
        <f t="shared" ref="D204:X204" si="105">SUM(D$201:D$203)</f>
        <v>#REF!</v>
      </c>
      <c r="E204" s="71" t="e">
        <f t="shared" si="105"/>
        <v>#REF!</v>
      </c>
      <c r="F204" s="71" t="e">
        <f t="shared" si="105"/>
        <v>#REF!</v>
      </c>
      <c r="G204" s="71" t="e">
        <f t="shared" si="105"/>
        <v>#REF!</v>
      </c>
      <c r="H204" s="71" t="e">
        <f t="shared" si="105"/>
        <v>#REF!</v>
      </c>
      <c r="I204" s="71" t="e">
        <f t="shared" si="105"/>
        <v>#REF!</v>
      </c>
      <c r="J204" s="131" t="e">
        <f t="shared" si="105"/>
        <v>#REF!</v>
      </c>
      <c r="K204" s="131" t="e">
        <f t="shared" si="105"/>
        <v>#REF!</v>
      </c>
      <c r="L204" s="131" t="e">
        <f t="shared" si="105"/>
        <v>#REF!</v>
      </c>
      <c r="M204" s="131" t="e">
        <f t="shared" si="105"/>
        <v>#REF!</v>
      </c>
      <c r="N204" s="131" t="e">
        <f t="shared" si="105"/>
        <v>#REF!</v>
      </c>
      <c r="O204" s="75" t="e">
        <f t="shared" ca="1" si="105"/>
        <v>#REF!</v>
      </c>
      <c r="P204" s="75" t="e">
        <f t="shared" ca="1" si="105"/>
        <v>#REF!</v>
      </c>
      <c r="Q204" s="75" t="e">
        <f t="shared" ca="1" si="105"/>
        <v>#REF!</v>
      </c>
      <c r="R204" s="75" t="e">
        <f t="shared" ca="1" si="105"/>
        <v>#REF!</v>
      </c>
      <c r="S204" s="75" t="e">
        <f t="shared" ca="1" si="105"/>
        <v>#REF!</v>
      </c>
      <c r="T204" s="75" t="e">
        <f t="shared" ca="1" si="105"/>
        <v>#REF!</v>
      </c>
      <c r="U204" s="75" t="e">
        <f t="shared" ca="1" si="105"/>
        <v>#REF!</v>
      </c>
      <c r="V204" s="75" t="e">
        <f t="shared" ca="1" si="105"/>
        <v>#REF!</v>
      </c>
      <c r="W204" s="75" t="e">
        <f t="shared" ca="1" si="105"/>
        <v>#REF!</v>
      </c>
      <c r="X204" s="75" t="e">
        <f t="shared" ca="1" si="105"/>
        <v>#REF!</v>
      </c>
      <c r="Y204" s="36"/>
    </row>
    <row r="205" spans="1:26" x14ac:dyDescent="0.2">
      <c r="A205" s="27" t="s">
        <v>398</v>
      </c>
      <c r="B205" s="231"/>
      <c r="C205" s="69"/>
      <c r="D205" s="71" t="e">
        <f>SUM(#REF!,#REF!,#REF!*0)</f>
        <v>#REF!</v>
      </c>
      <c r="E205" s="71" t="e">
        <f>SUM(#REF!,#REF!,#REF!*0)</f>
        <v>#REF!</v>
      </c>
      <c r="F205" s="71" t="e">
        <f>SUM(#REF!,#REF!,#REF!*0)</f>
        <v>#REF!</v>
      </c>
      <c r="G205" s="71" t="e">
        <f>SUM(#REF!,#REF!,#REF!*0)</f>
        <v>#REF!</v>
      </c>
      <c r="H205" s="71" t="e">
        <f>SUM(#REF!,#REF!,#REF!*0)</f>
        <v>#REF!</v>
      </c>
      <c r="I205" s="71" t="e">
        <f>SUM(#REF!,#REF!,#REF!*0)</f>
        <v>#REF!</v>
      </c>
      <c r="J205" s="131" t="e">
        <f>SUM(#REF!,#REF!,#REF!*0)</f>
        <v>#REF!</v>
      </c>
      <c r="K205" s="131" t="e">
        <f>SUM(#REF!,#REF!,#REF!*0)</f>
        <v>#REF!</v>
      </c>
      <c r="L205" s="131" t="e">
        <f>SUM(#REF!,#REF!,#REF!*0)</f>
        <v>#REF!</v>
      </c>
      <c r="M205" s="131" t="e">
        <f>SUM(#REF!,#REF!,#REF!*0)</f>
        <v>#REF!</v>
      </c>
      <c r="N205" s="131" t="e">
        <f>SUM(#REF!,#REF!,#REF!*0)</f>
        <v>#REF!</v>
      </c>
      <c r="O205" s="75" t="e">
        <f t="shared" ref="O205:X205" ca="1" si="106">N$205*(1+O$240)</f>
        <v>#REF!</v>
      </c>
      <c r="P205" s="75" t="e">
        <f t="shared" ca="1" si="106"/>
        <v>#REF!</v>
      </c>
      <c r="Q205" s="75" t="e">
        <f t="shared" ca="1" si="106"/>
        <v>#REF!</v>
      </c>
      <c r="R205" s="75" t="e">
        <f t="shared" ca="1" si="106"/>
        <v>#REF!</v>
      </c>
      <c r="S205" s="75" t="e">
        <f t="shared" ca="1" si="106"/>
        <v>#REF!</v>
      </c>
      <c r="T205" s="75" t="e">
        <f t="shared" ca="1" si="106"/>
        <v>#REF!</v>
      </c>
      <c r="U205" s="75" t="e">
        <f t="shared" ca="1" si="106"/>
        <v>#REF!</v>
      </c>
      <c r="V205" s="75" t="e">
        <f t="shared" ca="1" si="106"/>
        <v>#REF!</v>
      </c>
      <c r="W205" s="75" t="e">
        <f t="shared" ca="1" si="106"/>
        <v>#REF!</v>
      </c>
      <c r="X205" s="75" t="e">
        <f t="shared" ca="1" si="106"/>
        <v>#REF!</v>
      </c>
      <c r="Y205" s="36"/>
    </row>
    <row r="206" spans="1:26" x14ac:dyDescent="0.2">
      <c r="A206" s="225" t="s">
        <v>696</v>
      </c>
      <c r="B206" s="231"/>
      <c r="C206" s="69"/>
      <c r="D206" s="284" t="e">
        <f>SUM(D$147,D$157,D$179)-#REF!</f>
        <v>#REF!</v>
      </c>
      <c r="E206" s="284" t="e">
        <f>SUM(E$147,E$157,E$179)-#REF!</f>
        <v>#REF!</v>
      </c>
      <c r="F206" s="284" t="e">
        <f>SUM(F$147,F$157,F$179)-#REF!</f>
        <v>#REF!</v>
      </c>
      <c r="G206" s="284" t="e">
        <f>SUM(G$147,G$157,G$179)-#REF!</f>
        <v>#REF!</v>
      </c>
      <c r="H206" s="284" t="e">
        <f>SUM(H$147,H$157,H$179)-#REF!</f>
        <v>#REF!</v>
      </c>
      <c r="I206" s="284" t="e">
        <f>SUM(I$147,I$157,I$179)-#REF!</f>
        <v>#REF!</v>
      </c>
      <c r="J206" s="156" t="e">
        <f>SUM(J$147,J$157,J$179)-#REF!- IF($I$1="Yes",J$309,0)- IF($L$1="Yes",J$343,0)</f>
        <v>#REF!</v>
      </c>
      <c r="K206" s="156" t="e">
        <f>SUM(K$147,K$157,K$179)-#REF!- IF($I$1="Yes",K$309,0)- IF($L$1="Yes",K$343,0)</f>
        <v>#REF!</v>
      </c>
      <c r="L206" s="156" t="e">
        <f>SUM(L$147,L$157,L$179)-#REF!- IF($I$1="Yes",L$309,0)- IF($L$1="Yes",L$343,0)</f>
        <v>#REF!</v>
      </c>
      <c r="M206" s="156" t="e">
        <f>SUM(M$147,M$157,M$179)-#REF!- IF($I$1="Yes",M$309,0)- IF($L$1="Yes",M$343,0)</f>
        <v>#REF!</v>
      </c>
      <c r="N206" s="156" t="e">
        <f>SUM(N$147,N$157,N$179)-#REF!- IF($I$1="Yes",N$309,0)- IF($L$1="Yes",N$343,0)</f>
        <v>#REF!</v>
      </c>
      <c r="O206" s="235">
        <f>IF(O$2="Proj Yr1",0,N$206)</f>
        <v>0</v>
      </c>
      <c r="P206" s="235">
        <f t="shared" ref="P206:X206" si="107">IF(P$2="Proj Yr1",0,O$206)</f>
        <v>0</v>
      </c>
      <c r="Q206" s="235">
        <f t="shared" si="107"/>
        <v>0</v>
      </c>
      <c r="R206" s="235">
        <f t="shared" si="107"/>
        <v>0</v>
      </c>
      <c r="S206" s="235">
        <f t="shared" si="107"/>
        <v>0</v>
      </c>
      <c r="T206" s="235">
        <f t="shared" si="107"/>
        <v>0</v>
      </c>
      <c r="U206" s="235">
        <f t="shared" si="107"/>
        <v>0</v>
      </c>
      <c r="V206" s="235">
        <f t="shared" si="107"/>
        <v>0</v>
      </c>
      <c r="W206" s="235">
        <f t="shared" si="107"/>
        <v>0</v>
      </c>
      <c r="X206" s="235">
        <f t="shared" si="107"/>
        <v>0</v>
      </c>
      <c r="Y206" s="36"/>
    </row>
    <row r="207" spans="1:26" x14ac:dyDescent="0.2">
      <c r="A207" s="31"/>
      <c r="B207" s="77"/>
      <c r="C207" s="69"/>
      <c r="D207" s="101"/>
      <c r="E207" s="101"/>
      <c r="F207" s="101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x14ac:dyDescent="0.2">
      <c r="A208" s="108" t="s">
        <v>666</v>
      </c>
      <c r="B208" s="77"/>
      <c r="C208" s="69"/>
      <c r="D208" s="101"/>
      <c r="E208" s="101"/>
      <c r="F208" s="101"/>
      <c r="G208" s="106"/>
      <c r="H208" s="106"/>
      <c r="I208" s="106"/>
      <c r="J208" s="106"/>
      <c r="K208" s="106"/>
      <c r="L208" s="106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36"/>
    </row>
    <row r="209" spans="1:25" x14ac:dyDescent="0.2">
      <c r="A209" s="225" t="s">
        <v>112</v>
      </c>
      <c r="B209" s="231"/>
      <c r="C209" s="69"/>
      <c r="D209" s="69" t="e">
        <f>#REF!</f>
        <v>#REF!</v>
      </c>
      <c r="E209" s="69" t="e">
        <f>#REF!</f>
        <v>#REF!</v>
      </c>
      <c r="F209" s="69" t="e">
        <f>#REF!</f>
        <v>#REF!</v>
      </c>
      <c r="G209" s="69" t="e">
        <f>#REF!</f>
        <v>#REF!</v>
      </c>
      <c r="H209" s="69" t="e">
        <f>#REF!</f>
        <v>#REF!</v>
      </c>
      <c r="I209" s="69" t="e">
        <f>#REF!</f>
        <v>#REF!</v>
      </c>
      <c r="J209" s="105" t="e">
        <f>#REF!</f>
        <v>#REF!</v>
      </c>
      <c r="K209" s="105" t="e">
        <f>#REF!</f>
        <v>#REF!</v>
      </c>
      <c r="L209" s="105" t="e">
        <f>#REF!</f>
        <v>#REF!</v>
      </c>
      <c r="M209" s="105" t="e">
        <f>#REF!</f>
        <v>#REF!</v>
      </c>
      <c r="N209" s="105" t="e">
        <f>#REF!</f>
        <v>#REF!</v>
      </c>
      <c r="O209" s="285" t="e">
        <f t="shared" ref="O209:X209" si="108">N$209</f>
        <v>#REF!</v>
      </c>
      <c r="P209" s="285" t="e">
        <f t="shared" si="108"/>
        <v>#REF!</v>
      </c>
      <c r="Q209" s="285" t="e">
        <f t="shared" si="108"/>
        <v>#REF!</v>
      </c>
      <c r="R209" s="285" t="e">
        <f t="shared" si="108"/>
        <v>#REF!</v>
      </c>
      <c r="S209" s="285" t="e">
        <f t="shared" si="108"/>
        <v>#REF!</v>
      </c>
      <c r="T209" s="285" t="e">
        <f t="shared" si="108"/>
        <v>#REF!</v>
      </c>
      <c r="U209" s="285" t="e">
        <f t="shared" si="108"/>
        <v>#REF!</v>
      </c>
      <c r="V209" s="285" t="e">
        <f t="shared" si="108"/>
        <v>#REF!</v>
      </c>
      <c r="W209" s="285" t="e">
        <f t="shared" si="108"/>
        <v>#REF!</v>
      </c>
      <c r="X209" s="285" t="e">
        <f t="shared" si="108"/>
        <v>#REF!</v>
      </c>
      <c r="Y209" s="36"/>
    </row>
    <row r="210" spans="1:25" x14ac:dyDescent="0.2">
      <c r="A210" s="225" t="s">
        <v>653</v>
      </c>
      <c r="B210" s="231"/>
      <c r="C210" s="69"/>
      <c r="D210" s="69" t="e">
        <f>#REF!</f>
        <v>#REF!</v>
      </c>
      <c r="E210" s="69" t="e">
        <f>#REF!</f>
        <v>#REF!</v>
      </c>
      <c r="F210" s="69" t="e">
        <f>#REF!</f>
        <v>#REF!</v>
      </c>
      <c r="G210" s="69" t="e">
        <f>#REF!</f>
        <v>#REF!</v>
      </c>
      <c r="H210" s="69" t="e">
        <f>#REF!</f>
        <v>#REF!</v>
      </c>
      <c r="I210" s="69" t="e">
        <f>#REF!</f>
        <v>#REF!</v>
      </c>
      <c r="J210" s="105" t="e">
        <f>#REF!</f>
        <v>#REF!</v>
      </c>
      <c r="K210" s="105" t="e">
        <f>#REF!</f>
        <v>#REF!</v>
      </c>
      <c r="L210" s="105" t="e">
        <f>#REF!</f>
        <v>#REF!</v>
      </c>
      <c r="M210" s="105" t="e">
        <f>#REF!</f>
        <v>#REF!</v>
      </c>
      <c r="N210" s="105" t="e">
        <f>#REF!</f>
        <v>#REF!</v>
      </c>
      <c r="O210" s="285" t="e">
        <f t="shared" ref="O210:X210" ca="1" si="109">SUM(N$210,O$212,-O$211)</f>
        <v>#REF!</v>
      </c>
      <c r="P210" s="285" t="e">
        <f t="shared" ca="1" si="109"/>
        <v>#REF!</v>
      </c>
      <c r="Q210" s="285" t="e">
        <f t="shared" ca="1" si="109"/>
        <v>#REF!</v>
      </c>
      <c r="R210" s="285" t="e">
        <f t="shared" ca="1" si="109"/>
        <v>#REF!</v>
      </c>
      <c r="S210" s="285" t="e">
        <f t="shared" ca="1" si="109"/>
        <v>#REF!</v>
      </c>
      <c r="T210" s="285" t="e">
        <f t="shared" ca="1" si="109"/>
        <v>#REF!</v>
      </c>
      <c r="U210" s="285" t="e">
        <f t="shared" ca="1" si="109"/>
        <v>#REF!</v>
      </c>
      <c r="V210" s="285" t="e">
        <f t="shared" ca="1" si="109"/>
        <v>#REF!</v>
      </c>
      <c r="W210" s="285" t="e">
        <f t="shared" ca="1" si="109"/>
        <v>#REF!</v>
      </c>
      <c r="X210" s="285" t="e">
        <f t="shared" ca="1" si="109"/>
        <v>#REF!</v>
      </c>
      <c r="Y210" s="36"/>
    </row>
    <row r="211" spans="1:25" x14ac:dyDescent="0.2">
      <c r="A211" s="225" t="s">
        <v>654</v>
      </c>
      <c r="B211" s="231"/>
      <c r="C211" s="69"/>
      <c r="D211" s="69" t="e">
        <f>#REF!</f>
        <v>#REF!</v>
      </c>
      <c r="E211" s="69" t="e">
        <f>#REF!</f>
        <v>#REF!</v>
      </c>
      <c r="F211" s="69" t="e">
        <f>#REF!</f>
        <v>#REF!</v>
      </c>
      <c r="G211" s="69" t="e">
        <f>#REF!</f>
        <v>#REF!</v>
      </c>
      <c r="H211" s="69" t="e">
        <f>#REF!</f>
        <v>#REF!</v>
      </c>
      <c r="I211" s="69" t="e">
        <f>#REF!</f>
        <v>#REF!</v>
      </c>
      <c r="J211" s="105" t="e">
        <f>#REF!</f>
        <v>#REF!</v>
      </c>
      <c r="K211" s="105" t="e">
        <f>#REF!</f>
        <v>#REF!</v>
      </c>
      <c r="L211" s="105" t="e">
        <f>#REF!</f>
        <v>#REF!</v>
      </c>
      <c r="M211" s="105" t="e">
        <f>#REF!</f>
        <v>#REF!</v>
      </c>
      <c r="N211" s="105" t="e">
        <f>#REF!</f>
        <v>#REF!</v>
      </c>
      <c r="O211" s="285" t="e">
        <f t="shared" ref="O211:X211" ca="1" si="110">N$211*(1+O$240)</f>
        <v>#REF!</v>
      </c>
      <c r="P211" s="285" t="e">
        <f t="shared" ca="1" si="110"/>
        <v>#REF!</v>
      </c>
      <c r="Q211" s="285" t="e">
        <f t="shared" ca="1" si="110"/>
        <v>#REF!</v>
      </c>
      <c r="R211" s="285" t="e">
        <f t="shared" ca="1" si="110"/>
        <v>#REF!</v>
      </c>
      <c r="S211" s="285" t="e">
        <f t="shared" ca="1" si="110"/>
        <v>#REF!</v>
      </c>
      <c r="T211" s="285" t="e">
        <f t="shared" ca="1" si="110"/>
        <v>#REF!</v>
      </c>
      <c r="U211" s="285" t="e">
        <f t="shared" ca="1" si="110"/>
        <v>#REF!</v>
      </c>
      <c r="V211" s="285" t="e">
        <f t="shared" ca="1" si="110"/>
        <v>#REF!</v>
      </c>
      <c r="W211" s="285" t="e">
        <f t="shared" ca="1" si="110"/>
        <v>#REF!</v>
      </c>
      <c r="X211" s="285" t="e">
        <f t="shared" ca="1" si="110"/>
        <v>#REF!</v>
      </c>
      <c r="Y211" s="36"/>
    </row>
    <row r="212" spans="1:25" x14ac:dyDescent="0.2">
      <c r="A212" s="225" t="s">
        <v>655</v>
      </c>
      <c r="B212" s="231"/>
      <c r="C212" s="69"/>
      <c r="D212" s="69" t="e">
        <f>#REF!</f>
        <v>#REF!</v>
      </c>
      <c r="E212" s="69" t="e">
        <f>#REF!</f>
        <v>#REF!</v>
      </c>
      <c r="F212" s="69" t="e">
        <f>#REF!</f>
        <v>#REF!</v>
      </c>
      <c r="G212" s="69" t="e">
        <f>#REF!</f>
        <v>#REF!</v>
      </c>
      <c r="H212" s="69" t="e">
        <f>#REF!</f>
        <v>#REF!</v>
      </c>
      <c r="I212" s="69" t="e">
        <f>#REF!</f>
        <v>#REF!</v>
      </c>
      <c r="J212" s="105" t="e">
        <f>#REF!</f>
        <v>#REF!</v>
      </c>
      <c r="K212" s="105" t="e">
        <f>#REF!</f>
        <v>#REF!</v>
      </c>
      <c r="L212" s="105" t="e">
        <f>#REF!</f>
        <v>#REF!</v>
      </c>
      <c r="M212" s="105" t="e">
        <f>#REF!</f>
        <v>#REF!</v>
      </c>
      <c r="N212" s="105" t="e">
        <f>#REF!</f>
        <v>#REF!</v>
      </c>
      <c r="O212" s="80" t="e">
        <f t="shared" ref="O212:X212" ca="1" si="111">O$211</f>
        <v>#REF!</v>
      </c>
      <c r="P212" s="80" t="e">
        <f t="shared" ca="1" si="111"/>
        <v>#REF!</v>
      </c>
      <c r="Q212" s="80" t="e">
        <f t="shared" ca="1" si="111"/>
        <v>#REF!</v>
      </c>
      <c r="R212" s="80" t="e">
        <f t="shared" ca="1" si="111"/>
        <v>#REF!</v>
      </c>
      <c r="S212" s="80" t="e">
        <f t="shared" ca="1" si="111"/>
        <v>#REF!</v>
      </c>
      <c r="T212" s="80" t="e">
        <f t="shared" ca="1" si="111"/>
        <v>#REF!</v>
      </c>
      <c r="U212" s="80" t="e">
        <f t="shared" ca="1" si="111"/>
        <v>#REF!</v>
      </c>
      <c r="V212" s="80" t="e">
        <f t="shared" ca="1" si="111"/>
        <v>#REF!</v>
      </c>
      <c r="W212" s="80" t="e">
        <f t="shared" ca="1" si="111"/>
        <v>#REF!</v>
      </c>
      <c r="X212" s="80" t="e">
        <f t="shared" ca="1" si="111"/>
        <v>#REF!</v>
      </c>
      <c r="Y212" s="36"/>
    </row>
    <row r="213" spans="1:25" x14ac:dyDescent="0.2">
      <c r="A213" s="225"/>
      <c r="B213" s="77"/>
      <c r="C213" s="69"/>
      <c r="D213" s="101"/>
      <c r="E213" s="101"/>
      <c r="F213" s="101"/>
      <c r="G213" s="106"/>
      <c r="H213" s="106"/>
      <c r="I213" s="106"/>
      <c r="J213" s="106"/>
      <c r="K213" s="106"/>
      <c r="L213" s="106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36"/>
    </row>
    <row r="214" spans="1:25" x14ac:dyDescent="0.2">
      <c r="A214" s="108" t="s">
        <v>399</v>
      </c>
      <c r="B214" s="77"/>
      <c r="C214" s="69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36"/>
    </row>
    <row r="215" spans="1:25" x14ac:dyDescent="0.2">
      <c r="A215" s="160" t="s">
        <v>667</v>
      </c>
      <c r="B215" s="231"/>
      <c r="C215" s="69"/>
      <c r="D215" s="69" t="e">
        <f>#REF!</f>
        <v>#REF!</v>
      </c>
      <c r="E215" s="69" t="e">
        <f>#REF!</f>
        <v>#REF!</v>
      </c>
      <c r="F215" s="69" t="e">
        <f>#REF!</f>
        <v>#REF!</v>
      </c>
      <c r="G215" s="69" t="e">
        <f>#REF!</f>
        <v>#REF!</v>
      </c>
      <c r="H215" s="69" t="e">
        <f>#REF!</f>
        <v>#REF!</v>
      </c>
      <c r="I215" s="69" t="e">
        <f>#REF!</f>
        <v>#REF!</v>
      </c>
      <c r="J215" s="105" t="e">
        <f>#REF!</f>
        <v>#REF!</v>
      </c>
      <c r="K215" s="105" t="e">
        <f>#REF!</f>
        <v>#REF!</v>
      </c>
      <c r="L215" s="105" t="e">
        <f>#REF!</f>
        <v>#REF!</v>
      </c>
      <c r="M215" s="105" t="e">
        <f>#REF!</f>
        <v>#REF!</v>
      </c>
      <c r="N215" s="105" t="e">
        <f>#REF!</f>
        <v>#REF!</v>
      </c>
      <c r="O215" s="100" t="e">
        <f>N$215*#REF!/#REF!</f>
        <v>#REF!</v>
      </c>
      <c r="P215" s="100" t="e">
        <f>O$215*#REF!/#REF!</f>
        <v>#REF!</v>
      </c>
      <c r="Q215" s="100" t="e">
        <f>P$215*#REF!/#REF!</f>
        <v>#REF!</v>
      </c>
      <c r="R215" s="100" t="e">
        <f>Q$215*#REF!/#REF!</f>
        <v>#REF!</v>
      </c>
      <c r="S215" s="100" t="e">
        <f>R$215*#REF!/#REF!</f>
        <v>#REF!</v>
      </c>
      <c r="T215" s="100" t="e">
        <f>S$215*#REF!/#REF!</f>
        <v>#REF!</v>
      </c>
      <c r="U215" s="100" t="e">
        <f>T$215*#REF!/#REF!</f>
        <v>#REF!</v>
      </c>
      <c r="V215" s="100" t="e">
        <f>U$215*#REF!/#REF!</f>
        <v>#REF!</v>
      </c>
      <c r="W215" s="100" t="e">
        <f>V$215*#REF!/#REF!</f>
        <v>#REF!</v>
      </c>
      <c r="X215" s="100" t="e">
        <f>W$215*#REF!/#REF!</f>
        <v>#REF!</v>
      </c>
      <c r="Y215" s="36"/>
    </row>
    <row r="216" spans="1:25" x14ac:dyDescent="0.2">
      <c r="A216" s="68" t="s">
        <v>668</v>
      </c>
      <c r="B216" s="41"/>
      <c r="C216" s="69"/>
      <c r="D216" s="69" t="e">
        <f>SUM(D$209,D$210)</f>
        <v>#REF!</v>
      </c>
      <c r="E216" s="69" t="e">
        <f t="shared" ref="E216:X216" si="112">SUM(E$209,E$210)</f>
        <v>#REF!</v>
      </c>
      <c r="F216" s="69" t="e">
        <f t="shared" si="112"/>
        <v>#REF!</v>
      </c>
      <c r="G216" s="69" t="e">
        <f t="shared" si="112"/>
        <v>#REF!</v>
      </c>
      <c r="H216" s="69" t="e">
        <f t="shared" si="112"/>
        <v>#REF!</v>
      </c>
      <c r="I216" s="69" t="e">
        <f t="shared" si="112"/>
        <v>#REF!</v>
      </c>
      <c r="J216" s="105" t="e">
        <f t="shared" si="112"/>
        <v>#REF!</v>
      </c>
      <c r="K216" s="105" t="e">
        <f t="shared" si="112"/>
        <v>#REF!</v>
      </c>
      <c r="L216" s="105" t="e">
        <f t="shared" si="112"/>
        <v>#REF!</v>
      </c>
      <c r="M216" s="105" t="e">
        <f t="shared" si="112"/>
        <v>#REF!</v>
      </c>
      <c r="N216" s="105" t="e">
        <f t="shared" si="112"/>
        <v>#REF!</v>
      </c>
      <c r="O216" s="80" t="e">
        <f t="shared" si="112"/>
        <v>#REF!</v>
      </c>
      <c r="P216" s="80" t="e">
        <f t="shared" si="112"/>
        <v>#REF!</v>
      </c>
      <c r="Q216" s="80" t="e">
        <f t="shared" si="112"/>
        <v>#REF!</v>
      </c>
      <c r="R216" s="80" t="e">
        <f t="shared" si="112"/>
        <v>#REF!</v>
      </c>
      <c r="S216" s="80" t="e">
        <f t="shared" si="112"/>
        <v>#REF!</v>
      </c>
      <c r="T216" s="80" t="e">
        <f t="shared" si="112"/>
        <v>#REF!</v>
      </c>
      <c r="U216" s="80" t="e">
        <f t="shared" si="112"/>
        <v>#REF!</v>
      </c>
      <c r="V216" s="80" t="e">
        <f t="shared" si="112"/>
        <v>#REF!</v>
      </c>
      <c r="W216" s="80" t="e">
        <f t="shared" si="112"/>
        <v>#REF!</v>
      </c>
      <c r="X216" s="80" t="e">
        <f t="shared" si="112"/>
        <v>#REF!</v>
      </c>
      <c r="Y216" s="36"/>
    </row>
    <row r="217" spans="1:25" x14ac:dyDescent="0.2">
      <c r="A217" s="68" t="s">
        <v>669</v>
      </c>
      <c r="B217" s="231"/>
      <c r="C217" s="69"/>
      <c r="D217" s="69" t="e">
        <f>#REF!-SUM(D$215,D$216)</f>
        <v>#REF!</v>
      </c>
      <c r="E217" s="69" t="e">
        <f>#REF!-SUM(E$215,E$216)</f>
        <v>#REF!</v>
      </c>
      <c r="F217" s="69" t="e">
        <f>#REF!-SUM(F$215,F$216)</f>
        <v>#REF!</v>
      </c>
      <c r="G217" s="69" t="e">
        <f>#REF!-SUM(G$215,G$216)</f>
        <v>#REF!</v>
      </c>
      <c r="H217" s="69" t="e">
        <f>#REF!-SUM(H$215,H$216)</f>
        <v>#REF!</v>
      </c>
      <c r="I217" s="69" t="e">
        <f>#REF!-SUM(I$215,I$216)</f>
        <v>#REF!</v>
      </c>
      <c r="J217" s="105" t="e">
        <f>#REF!-SUM(J$215,J$216) + IF($I$1="Yes",J$312,0)</f>
        <v>#REF!</v>
      </c>
      <c r="K217" s="105" t="e">
        <f>#REF!-SUM(K$215,K$216) + IF($I$1="Yes",K$312,0)</f>
        <v>#REF!</v>
      </c>
      <c r="L217" s="105" t="e">
        <f>#REF!-SUM(L$215,L$216) + IF($I$1="Yes",L$312,0)</f>
        <v>#REF!</v>
      </c>
      <c r="M217" s="105" t="e">
        <f>#REF!-SUM(M$215,M$216) + IF($I$1="Yes",M$312,0)</f>
        <v>#REF!</v>
      </c>
      <c r="N217" s="105" t="e">
        <f>#REF!-SUM(N$215,N$216) + IF($I$1="Yes",N$312,0)</f>
        <v>#REF!</v>
      </c>
      <c r="O217" s="80" t="e">
        <f t="shared" ref="O217:X217" ca="1" si="113">N$217*(1+O$240)</f>
        <v>#REF!</v>
      </c>
      <c r="P217" s="80" t="e">
        <f t="shared" ca="1" si="113"/>
        <v>#REF!</v>
      </c>
      <c r="Q217" s="80" t="e">
        <f t="shared" ca="1" si="113"/>
        <v>#REF!</v>
      </c>
      <c r="R217" s="80" t="e">
        <f t="shared" ca="1" si="113"/>
        <v>#REF!</v>
      </c>
      <c r="S217" s="80" t="e">
        <f t="shared" ca="1" si="113"/>
        <v>#REF!</v>
      </c>
      <c r="T217" s="80" t="e">
        <f t="shared" ca="1" si="113"/>
        <v>#REF!</v>
      </c>
      <c r="U217" s="80" t="e">
        <f t="shared" ca="1" si="113"/>
        <v>#REF!</v>
      </c>
      <c r="V217" s="80" t="e">
        <f t="shared" ca="1" si="113"/>
        <v>#REF!</v>
      </c>
      <c r="W217" s="80" t="e">
        <f t="shared" ca="1" si="113"/>
        <v>#REF!</v>
      </c>
      <c r="X217" s="80" t="e">
        <f t="shared" ca="1" si="113"/>
        <v>#REF!</v>
      </c>
      <c r="Y217" s="36"/>
    </row>
    <row r="218" spans="1:25" x14ac:dyDescent="0.2">
      <c r="A218" s="161" t="s">
        <v>697</v>
      </c>
      <c r="B218" s="231"/>
      <c r="C218" s="69"/>
      <c r="D218" s="176" t="e">
        <f>D$229-#REF!</f>
        <v>#REF!</v>
      </c>
      <c r="E218" s="176" t="e">
        <f>E$229-#REF!</f>
        <v>#REF!</v>
      </c>
      <c r="F218" s="176" t="e">
        <f>F$229-#REF!</f>
        <v>#REF!</v>
      </c>
      <c r="G218" s="176" t="e">
        <f>G$229-#REF!</f>
        <v>#REF!</v>
      </c>
      <c r="H218" s="176" t="e">
        <f>H$229-#REF!</f>
        <v>#REF!</v>
      </c>
      <c r="I218" s="176" t="e">
        <f>I$229-#REF!</f>
        <v>#REF!</v>
      </c>
      <c r="J218" s="130" t="e">
        <f>J$229-#REF! - IF($F$1="Yes",J$330,0) - IF($I$1="Yes",J$317,0) - IF($L$1="Yes",J$348,0)</f>
        <v>#REF!</v>
      </c>
      <c r="K218" s="130" t="e">
        <f>K$229-#REF! - IF($F$1="Yes",K$330,0) - IF($I$1="Yes",K$317,0) - IF($L$1="Yes",K$348,0)</f>
        <v>#REF!</v>
      </c>
      <c r="L218" s="130" t="e">
        <f>L$229-#REF! - IF($F$1="Yes",L$330,0) - IF($I$1="Yes",L$317,0) - IF($L$1="Yes",L$348,0)</f>
        <v>#REF!</v>
      </c>
      <c r="M218" s="130" t="e">
        <f>M$229-#REF! - IF($F$1="Yes",M$330,0) - IF($I$1="Yes",M$317,0) - IF($L$1="Yes",M$348,0)</f>
        <v>#REF!</v>
      </c>
      <c r="N218" s="130" t="e">
        <f>N$229-#REF! - IF($F$1="Yes",N$330,0) - IF($I$1="Yes",N$317,0) - IF($L$1="Yes",N$348,0)</f>
        <v>#REF!</v>
      </c>
      <c r="O218" s="81">
        <f t="shared" ref="O218:X218" si="114">IF(O$2="Proj Yr1",0,N$218)</f>
        <v>0</v>
      </c>
      <c r="P218" s="81">
        <f t="shared" si="114"/>
        <v>0</v>
      </c>
      <c r="Q218" s="81">
        <f t="shared" si="114"/>
        <v>0</v>
      </c>
      <c r="R218" s="81">
        <f t="shared" si="114"/>
        <v>0</v>
      </c>
      <c r="S218" s="81">
        <f t="shared" si="114"/>
        <v>0</v>
      </c>
      <c r="T218" s="81">
        <f t="shared" si="114"/>
        <v>0</v>
      </c>
      <c r="U218" s="81">
        <f t="shared" si="114"/>
        <v>0</v>
      </c>
      <c r="V218" s="81">
        <f t="shared" si="114"/>
        <v>0</v>
      </c>
      <c r="W218" s="81">
        <f t="shared" si="114"/>
        <v>0</v>
      </c>
      <c r="X218" s="81">
        <f t="shared" si="114"/>
        <v>0</v>
      </c>
      <c r="Y218" s="36"/>
    </row>
    <row r="219" spans="1:25" x14ac:dyDescent="0.2">
      <c r="A219" s="27" t="s">
        <v>179</v>
      </c>
      <c r="B219" s="41"/>
      <c r="C219" s="69"/>
      <c r="D219" s="71" t="e">
        <f t="shared" ref="D219:X219" si="115">SUM(D$215:D$217,-D$218)</f>
        <v>#REF!</v>
      </c>
      <c r="E219" s="71" t="e">
        <f t="shared" si="115"/>
        <v>#REF!</v>
      </c>
      <c r="F219" s="71" t="e">
        <f t="shared" si="115"/>
        <v>#REF!</v>
      </c>
      <c r="G219" s="71" t="e">
        <f t="shared" si="115"/>
        <v>#REF!</v>
      </c>
      <c r="H219" s="71" t="e">
        <f t="shared" si="115"/>
        <v>#REF!</v>
      </c>
      <c r="I219" s="71" t="e">
        <f t="shared" si="115"/>
        <v>#REF!</v>
      </c>
      <c r="J219" s="131" t="e">
        <f t="shared" si="115"/>
        <v>#REF!</v>
      </c>
      <c r="K219" s="131" t="e">
        <f t="shared" si="115"/>
        <v>#REF!</v>
      </c>
      <c r="L219" s="131" t="e">
        <f t="shared" si="115"/>
        <v>#REF!</v>
      </c>
      <c r="M219" s="131" t="e">
        <f t="shared" si="115"/>
        <v>#REF!</v>
      </c>
      <c r="N219" s="131" t="e">
        <f t="shared" si="115"/>
        <v>#REF!</v>
      </c>
      <c r="O219" s="75" t="e">
        <f t="shared" si="115"/>
        <v>#REF!</v>
      </c>
      <c r="P219" s="75" t="e">
        <f t="shared" si="115"/>
        <v>#REF!</v>
      </c>
      <c r="Q219" s="75" t="e">
        <f t="shared" si="115"/>
        <v>#REF!</v>
      </c>
      <c r="R219" s="75" t="e">
        <f t="shared" si="115"/>
        <v>#REF!</v>
      </c>
      <c r="S219" s="75" t="e">
        <f t="shared" si="115"/>
        <v>#REF!</v>
      </c>
      <c r="T219" s="75" t="e">
        <f t="shared" si="115"/>
        <v>#REF!</v>
      </c>
      <c r="U219" s="75" t="e">
        <f t="shared" si="115"/>
        <v>#REF!</v>
      </c>
      <c r="V219" s="75" t="e">
        <f t="shared" si="115"/>
        <v>#REF!</v>
      </c>
      <c r="W219" s="75" t="e">
        <f t="shared" si="115"/>
        <v>#REF!</v>
      </c>
      <c r="X219" s="75" t="e">
        <f t="shared" si="115"/>
        <v>#REF!</v>
      </c>
      <c r="Y219" s="36"/>
    </row>
    <row r="220" spans="1:25" x14ac:dyDescent="0.2">
      <c r="A220" s="161" t="s">
        <v>1014</v>
      </c>
      <c r="B220" s="41"/>
      <c r="C220" s="69"/>
      <c r="D220" s="177" t="e">
        <f>#REF!</f>
        <v>#REF!</v>
      </c>
      <c r="E220" s="177" t="e">
        <f>#REF!</f>
        <v>#REF!</v>
      </c>
      <c r="F220" s="177" t="e">
        <f>#REF!</f>
        <v>#REF!</v>
      </c>
      <c r="G220" s="177" t="e">
        <f>#REF!</f>
        <v>#REF!</v>
      </c>
      <c r="H220" s="177" t="e">
        <f>#REF!</f>
        <v>#REF!</v>
      </c>
      <c r="I220" s="177" t="e">
        <f>#REF!</f>
        <v>#REF!</v>
      </c>
      <c r="J220" s="105" t="e">
        <f>#REF!</f>
        <v>#REF!</v>
      </c>
      <c r="K220" s="105" t="e">
        <f>#REF!</f>
        <v>#REF!</v>
      </c>
      <c r="L220" s="105" t="e">
        <f>#REF!</f>
        <v>#REF!</v>
      </c>
      <c r="M220" s="105" t="e">
        <f>#REF!</f>
        <v>#REF!</v>
      </c>
      <c r="N220" s="105" t="e">
        <f>#REF!</f>
        <v>#REF!</v>
      </c>
      <c r="O220" s="73" t="e">
        <f>N$220*#REF!/#REF!</f>
        <v>#REF!</v>
      </c>
      <c r="P220" s="73" t="e">
        <f>O$220*#REF!/#REF!</f>
        <v>#REF!</v>
      </c>
      <c r="Q220" s="73" t="e">
        <f>P$220*#REF!/#REF!</f>
        <v>#REF!</v>
      </c>
      <c r="R220" s="73" t="e">
        <f>Q$220*#REF!/#REF!</f>
        <v>#REF!</v>
      </c>
      <c r="S220" s="73" t="e">
        <f>R$220*#REF!/#REF!</f>
        <v>#REF!</v>
      </c>
      <c r="T220" s="73" t="e">
        <f>S$220*#REF!/#REF!</f>
        <v>#REF!</v>
      </c>
      <c r="U220" s="73" t="e">
        <f>T$220*#REF!/#REF!</f>
        <v>#REF!</v>
      </c>
      <c r="V220" s="73" t="e">
        <f>U$220*#REF!/#REF!</f>
        <v>#REF!</v>
      </c>
      <c r="W220" s="73" t="e">
        <f>V$220*#REF!/#REF!</f>
        <v>#REF!</v>
      </c>
      <c r="X220" s="73" t="e">
        <f>W$220*#REF!/#REF!</f>
        <v>#REF!</v>
      </c>
      <c r="Y220" s="36"/>
    </row>
    <row r="221" spans="1:25" x14ac:dyDescent="0.2">
      <c r="A221" s="161" t="s">
        <v>1015</v>
      </c>
      <c r="B221" s="231"/>
      <c r="C221" s="69"/>
      <c r="D221" s="177" t="e">
        <f>SUM(#REF!)</f>
        <v>#REF!</v>
      </c>
      <c r="E221" s="177" t="e">
        <f>SUM(#REF!)</f>
        <v>#REF!</v>
      </c>
      <c r="F221" s="177" t="e">
        <f>SUM(#REF!)</f>
        <v>#REF!</v>
      </c>
      <c r="G221" s="177" t="e">
        <f>SUM(#REF!)</f>
        <v>#REF!</v>
      </c>
      <c r="H221" s="177" t="e">
        <f>SUM(#REF!)</f>
        <v>#REF!</v>
      </c>
      <c r="I221" s="177" t="e">
        <f>SUM(#REF!)</f>
        <v>#REF!</v>
      </c>
      <c r="J221" s="105" t="e">
        <f>SUM(#REF!)</f>
        <v>#REF!</v>
      </c>
      <c r="K221" s="105" t="e">
        <f>SUM(#REF!)</f>
        <v>#REF!</v>
      </c>
      <c r="L221" s="105" t="e">
        <f>SUM(#REF!)</f>
        <v>#REF!</v>
      </c>
      <c r="M221" s="105" t="e">
        <f>SUM(#REF!)</f>
        <v>#REF!</v>
      </c>
      <c r="N221" s="105" t="e">
        <f>SUM(#REF!)</f>
        <v>#REF!</v>
      </c>
      <c r="O221" s="100" t="e">
        <f t="shared" ref="O221:X221" ca="1" si="116">N$221*(1+O$238)</f>
        <v>#REF!</v>
      </c>
      <c r="P221" s="100" t="e">
        <f t="shared" ca="1" si="116"/>
        <v>#REF!</v>
      </c>
      <c r="Q221" s="100" t="e">
        <f t="shared" ca="1" si="116"/>
        <v>#REF!</v>
      </c>
      <c r="R221" s="100" t="e">
        <f t="shared" ca="1" si="116"/>
        <v>#REF!</v>
      </c>
      <c r="S221" s="100" t="e">
        <f t="shared" ca="1" si="116"/>
        <v>#REF!</v>
      </c>
      <c r="T221" s="100" t="e">
        <f t="shared" ca="1" si="116"/>
        <v>#REF!</v>
      </c>
      <c r="U221" s="100" t="e">
        <f t="shared" ca="1" si="116"/>
        <v>#REF!</v>
      </c>
      <c r="V221" s="100" t="e">
        <f t="shared" ca="1" si="116"/>
        <v>#REF!</v>
      </c>
      <c r="W221" s="100" t="e">
        <f t="shared" ca="1" si="116"/>
        <v>#REF!</v>
      </c>
      <c r="X221" s="100" t="e">
        <f t="shared" ca="1" si="116"/>
        <v>#REF!</v>
      </c>
      <c r="Y221" s="36"/>
    </row>
    <row r="222" spans="1:25" x14ac:dyDescent="0.2">
      <c r="A222" s="161" t="s">
        <v>1016</v>
      </c>
      <c r="B222" s="231"/>
      <c r="C222" s="69"/>
      <c r="D222" s="176" t="e">
        <f>SUM(#REF!,#REF!)-SUM(D$219:D$221)</f>
        <v>#REF!</v>
      </c>
      <c r="E222" s="176" t="e">
        <f>SUM(#REF!,#REF!)-SUM(E$219:E$221)</f>
        <v>#REF!</v>
      </c>
      <c r="F222" s="176" t="e">
        <f>SUM(#REF!,#REF!)-SUM(F$219:F$221)</f>
        <v>#REF!</v>
      </c>
      <c r="G222" s="176" t="e">
        <f>SUM(#REF!,#REF!)-SUM(G$219:G$221)</f>
        <v>#REF!</v>
      </c>
      <c r="H222" s="176" t="e">
        <f>SUM(#REF!,#REF!)-SUM(H$219:H$221)</f>
        <v>#REF!</v>
      </c>
      <c r="I222" s="176" t="e">
        <f>SUM(#REF!,#REF!)-SUM(I$219:I$221)</f>
        <v>#REF!</v>
      </c>
      <c r="J222" s="130" t="e">
        <f>SUM(#REF!,#REF!)-SUM(J$219:J$221) + IF($I$1="Yes",J$312,0)</f>
        <v>#REF!</v>
      </c>
      <c r="K222" s="130" t="e">
        <f>SUM(#REF!,#REF!)-SUM(K$219:K$221) + IF($I$1="Yes",K$312,0)</f>
        <v>#REF!</v>
      </c>
      <c r="L222" s="130" t="e">
        <f>SUM(#REF!,#REF!)-SUM(L$219:L$221) + IF($I$1="Yes",L$312,0)</f>
        <v>#REF!</v>
      </c>
      <c r="M222" s="130" t="e">
        <f>SUM(#REF!,#REF!)-SUM(M$219:M$221) + IF($I$1="Yes",M$312,0)</f>
        <v>#REF!</v>
      </c>
      <c r="N222" s="130" t="e">
        <f>SUM(#REF!,#REF!)-SUM(N$219:N$221) + IF($I$1="Yes",N$312,0)</f>
        <v>#REF!</v>
      </c>
      <c r="O222" s="81" t="e">
        <f t="shared" ref="O222:X222" ca="1" si="117">N$222*(1+O$240)</f>
        <v>#REF!</v>
      </c>
      <c r="P222" s="81" t="e">
        <f t="shared" ca="1" si="117"/>
        <v>#REF!</v>
      </c>
      <c r="Q222" s="81" t="e">
        <f t="shared" ca="1" si="117"/>
        <v>#REF!</v>
      </c>
      <c r="R222" s="81" t="e">
        <f t="shared" ca="1" si="117"/>
        <v>#REF!</v>
      </c>
      <c r="S222" s="81" t="e">
        <f t="shared" ca="1" si="117"/>
        <v>#REF!</v>
      </c>
      <c r="T222" s="81" t="e">
        <f t="shared" ca="1" si="117"/>
        <v>#REF!</v>
      </c>
      <c r="U222" s="81" t="e">
        <f t="shared" ca="1" si="117"/>
        <v>#REF!</v>
      </c>
      <c r="V222" s="81" t="e">
        <f t="shared" ca="1" si="117"/>
        <v>#REF!</v>
      </c>
      <c r="W222" s="81" t="e">
        <f t="shared" ca="1" si="117"/>
        <v>#REF!</v>
      </c>
      <c r="X222" s="81" t="e">
        <f t="shared" ca="1" si="117"/>
        <v>#REF!</v>
      </c>
      <c r="Y222" s="36"/>
    </row>
    <row r="223" spans="1:25" x14ac:dyDescent="0.2">
      <c r="A223" s="27" t="s">
        <v>180</v>
      </c>
      <c r="B223" s="41"/>
      <c r="C223" s="69"/>
      <c r="D223" s="71" t="e">
        <f t="shared" ref="D223:I223" si="118">SUM(D$219:D$222)</f>
        <v>#REF!</v>
      </c>
      <c r="E223" s="71" t="e">
        <f t="shared" si="118"/>
        <v>#REF!</v>
      </c>
      <c r="F223" s="71" t="e">
        <f t="shared" si="118"/>
        <v>#REF!</v>
      </c>
      <c r="G223" s="71" t="e">
        <f t="shared" si="118"/>
        <v>#REF!</v>
      </c>
      <c r="H223" s="71" t="e">
        <f t="shared" si="118"/>
        <v>#REF!</v>
      </c>
      <c r="I223" s="71" t="e">
        <f t="shared" si="118"/>
        <v>#REF!</v>
      </c>
      <c r="J223" s="131" t="e">
        <f t="shared" ref="J223:X223" si="119">SUM(J$219:J$222)</f>
        <v>#REF!</v>
      </c>
      <c r="K223" s="131" t="e">
        <f t="shared" si="119"/>
        <v>#REF!</v>
      </c>
      <c r="L223" s="131" t="e">
        <f t="shared" si="119"/>
        <v>#REF!</v>
      </c>
      <c r="M223" s="131" t="e">
        <f t="shared" si="119"/>
        <v>#REF!</v>
      </c>
      <c r="N223" s="131" t="e">
        <f t="shared" si="119"/>
        <v>#REF!</v>
      </c>
      <c r="O223" s="75" t="e">
        <f t="shared" si="119"/>
        <v>#REF!</v>
      </c>
      <c r="P223" s="75" t="e">
        <f t="shared" si="119"/>
        <v>#REF!</v>
      </c>
      <c r="Q223" s="75" t="e">
        <f t="shared" si="119"/>
        <v>#REF!</v>
      </c>
      <c r="R223" s="75" t="e">
        <f t="shared" si="119"/>
        <v>#REF!</v>
      </c>
      <c r="S223" s="75" t="e">
        <f t="shared" si="119"/>
        <v>#REF!</v>
      </c>
      <c r="T223" s="75" t="e">
        <f t="shared" si="119"/>
        <v>#REF!</v>
      </c>
      <c r="U223" s="75" t="e">
        <f t="shared" si="119"/>
        <v>#REF!</v>
      </c>
      <c r="V223" s="75" t="e">
        <f t="shared" si="119"/>
        <v>#REF!</v>
      </c>
      <c r="W223" s="75" t="e">
        <f t="shared" si="119"/>
        <v>#REF!</v>
      </c>
      <c r="X223" s="75" t="e">
        <f t="shared" si="119"/>
        <v>#REF!</v>
      </c>
      <c r="Y223" s="36"/>
    </row>
    <row r="224" spans="1:25" x14ac:dyDescent="0.2">
      <c r="A224" s="27"/>
      <c r="B224" s="41"/>
      <c r="C224" s="69"/>
      <c r="D224" s="71"/>
      <c r="E224" s="71"/>
      <c r="F224" s="71"/>
      <c r="G224" s="131"/>
      <c r="H224" s="131"/>
      <c r="I224" s="131"/>
      <c r="J224" s="131"/>
      <c r="K224" s="131"/>
      <c r="L224" s="131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36"/>
    </row>
    <row r="225" spans="1:25" x14ac:dyDescent="0.2">
      <c r="A225" s="108" t="s">
        <v>677</v>
      </c>
      <c r="B225" s="41"/>
      <c r="C225" s="74"/>
      <c r="D225" s="72"/>
      <c r="E225" s="72"/>
      <c r="F225" s="72"/>
      <c r="G225"/>
      <c r="H225"/>
      <c r="I225"/>
      <c r="J225"/>
      <c r="K225"/>
      <c r="L225"/>
      <c r="M225"/>
      <c r="N225" t="e">
        <f ca="1" xml:space="preserve"> IF(AND(OFFSET(Scenarios!$A$40,0,$C$1)="Yes",N$4&gt;=OFFSET(Scenarios!$A$41,0,$C$1),N$4&lt;=OFFSET(Scenarios!$A$42,0,$C$1)),OFFSET(Scenarios!$A$43,0,$C$1)*(1+OFFSET(Scenarios!$A$44,0,$C$1))^MAX(0,N$4-OFFSET(Scenarios!$A$41,0,$C$1)),0)</f>
        <v>#N/A</v>
      </c>
      <c r="O225" t="e">
        <f ca="1" xml:space="preserve"> IF(AND(OFFSET(Scenarios!$A$40,0,$C$1)="Yes",O$4&gt;=OFFSET(Scenarios!$A$41,0,$C$1),O$4&lt;=OFFSET(Scenarios!$A$42,0,$C$1)),OFFSET(Scenarios!$A$43,0,$C$1)*(1+OFFSET(Scenarios!$A$44,0,$C$1))^MAX(0,O$4-OFFSET(Scenarios!$A$41,0,$C$1)),0)</f>
        <v>#N/A</v>
      </c>
      <c r="P225" t="e">
        <f ca="1" xml:space="preserve"> IF(AND(OFFSET(Scenarios!$A$40,0,$C$1)="Yes",P$4&gt;=OFFSET(Scenarios!$A$41,0,$C$1),P$4&lt;=OFFSET(Scenarios!$A$42,0,$C$1)),OFFSET(Scenarios!$A$43,0,$C$1)*(1+OFFSET(Scenarios!$A$44,0,$C$1))^MAX(0,P$4-OFFSET(Scenarios!$A$41,0,$C$1)),0)</f>
        <v>#N/A</v>
      </c>
      <c r="Q225" t="e">
        <f ca="1" xml:space="preserve"> IF(AND(OFFSET(Scenarios!$A$40,0,$C$1)="Yes",Q$4&gt;=OFFSET(Scenarios!$A$41,0,$C$1),Q$4&lt;=OFFSET(Scenarios!$A$42,0,$C$1)),OFFSET(Scenarios!$A$43,0,$C$1)*(1+OFFSET(Scenarios!$A$44,0,$C$1))^MAX(0,Q$4-OFFSET(Scenarios!$A$41,0,$C$1)),0)</f>
        <v>#N/A</v>
      </c>
      <c r="R225" t="e">
        <f ca="1" xml:space="preserve"> IF(AND(OFFSET(Scenarios!$A$40,0,$C$1)="Yes",R$4&gt;=OFFSET(Scenarios!$A$41,0,$C$1),R$4&lt;=OFFSET(Scenarios!$A$42,0,$C$1)),OFFSET(Scenarios!$A$43,0,$C$1)*(1+OFFSET(Scenarios!$A$44,0,$C$1))^MAX(0,R$4-OFFSET(Scenarios!$A$41,0,$C$1)),0)</f>
        <v>#N/A</v>
      </c>
      <c r="S225" t="e">
        <f ca="1" xml:space="preserve"> IF(AND(OFFSET(Scenarios!$A$40,0,$C$1)="Yes",S$4&gt;=OFFSET(Scenarios!$A$41,0,$C$1),S$4&lt;=OFFSET(Scenarios!$A$42,0,$C$1)),OFFSET(Scenarios!$A$43,0,$C$1)*(1+OFFSET(Scenarios!$A$44,0,$C$1))^MAX(0,S$4-OFFSET(Scenarios!$A$41,0,$C$1)),0)</f>
        <v>#N/A</v>
      </c>
      <c r="T225" t="e">
        <f ca="1" xml:space="preserve"> IF(AND(OFFSET(Scenarios!$A$40,0,$C$1)="Yes",T$4&gt;=OFFSET(Scenarios!$A$41,0,$C$1),T$4&lt;=OFFSET(Scenarios!$A$42,0,$C$1)),OFFSET(Scenarios!$A$43,0,$C$1)*(1+OFFSET(Scenarios!$A$44,0,$C$1))^MAX(0,T$4-OFFSET(Scenarios!$A$41,0,$C$1)),0)</f>
        <v>#N/A</v>
      </c>
      <c r="U225" t="e">
        <f ca="1" xml:space="preserve"> IF(AND(OFFSET(Scenarios!$A$40,0,$C$1)="Yes",U$4&gt;=OFFSET(Scenarios!$A$41,0,$C$1),U$4&lt;=OFFSET(Scenarios!$A$42,0,$C$1)),OFFSET(Scenarios!$A$43,0,$C$1)*(1+OFFSET(Scenarios!$A$44,0,$C$1))^MAX(0,U$4-OFFSET(Scenarios!$A$41,0,$C$1)),0)</f>
        <v>#N/A</v>
      </c>
      <c r="V225" t="e">
        <f ca="1" xml:space="preserve"> IF(AND(OFFSET(Scenarios!$A$40,0,$C$1)="Yes",V$4&gt;=OFFSET(Scenarios!$A$41,0,$C$1),V$4&lt;=OFFSET(Scenarios!$A$42,0,$C$1)),OFFSET(Scenarios!$A$43,0,$C$1)*(1+OFFSET(Scenarios!$A$44,0,$C$1))^MAX(0,V$4-OFFSET(Scenarios!$A$41,0,$C$1)),0)</f>
        <v>#N/A</v>
      </c>
      <c r="W225" t="e">
        <f ca="1" xml:space="preserve"> IF(AND(OFFSET(Scenarios!$A$40,0,$C$1)="Yes",W$4&gt;=OFFSET(Scenarios!$A$41,0,$C$1),W$4&lt;=OFFSET(Scenarios!$A$42,0,$C$1)),OFFSET(Scenarios!$A$43,0,$C$1)*(1+OFFSET(Scenarios!$A$44,0,$C$1))^MAX(0,W$4-OFFSET(Scenarios!$A$41,0,$C$1)),0)</f>
        <v>#N/A</v>
      </c>
      <c r="X225" t="e">
        <f ca="1" xml:space="preserve"> IF(AND(OFFSET(Scenarios!$A$40,0,$C$1)="Yes",X$4&gt;=OFFSET(Scenarios!$A$41,0,$C$1),X$4&lt;=OFFSET(Scenarios!$A$42,0,$C$1)),OFFSET(Scenarios!$A$43,0,$C$1)*(1+OFFSET(Scenarios!$A$44,0,$C$1))^MAX(0,X$4-OFFSET(Scenarios!$A$41,0,$C$1)),0)</f>
        <v>#N/A</v>
      </c>
      <c r="Y225" s="36"/>
    </row>
    <row r="226" spans="1:25" x14ac:dyDescent="0.2">
      <c r="A226" s="27" t="s">
        <v>343</v>
      </c>
      <c r="B226" s="231"/>
      <c r="C226" s="74"/>
      <c r="D226" s="71" t="e">
        <f>#REF!</f>
        <v>#REF!</v>
      </c>
      <c r="E226" s="71" t="e">
        <f>#REF!</f>
        <v>#REF!</v>
      </c>
      <c r="F226" s="71" t="e">
        <f>#REF!</f>
        <v>#REF!</v>
      </c>
      <c r="G226" s="71" t="e">
        <f>#REF!</f>
        <v>#REF!</v>
      </c>
      <c r="H226" s="71" t="e">
        <f>#REF!</f>
        <v>#REF!</v>
      </c>
      <c r="I226" s="71" t="e">
        <f>#REF!</f>
        <v>#REF!</v>
      </c>
      <c r="J226" s="131" t="e">
        <f>#REF!</f>
        <v>#REF!</v>
      </c>
      <c r="K226" s="131" t="e">
        <f>#REF!</f>
        <v>#REF!</v>
      </c>
      <c r="L226" s="131" t="e">
        <f>#REF!</f>
        <v>#REF!</v>
      </c>
      <c r="M226" s="131" t="e">
        <f>#REF!</f>
        <v>#REF!</v>
      </c>
      <c r="N226" s="131" t="e">
        <f>#REF!</f>
        <v>#REF!</v>
      </c>
      <c r="O226" s="75" t="e">
        <f t="shared" ref="O226:X226" ca="1" si="120">N$226*(1+O$238)</f>
        <v>#REF!</v>
      </c>
      <c r="P226" s="75" t="e">
        <f t="shared" ca="1" si="120"/>
        <v>#REF!</v>
      </c>
      <c r="Q226" s="75" t="e">
        <f t="shared" ca="1" si="120"/>
        <v>#REF!</v>
      </c>
      <c r="R226" s="75" t="e">
        <f t="shared" ca="1" si="120"/>
        <v>#REF!</v>
      </c>
      <c r="S226" s="75" t="e">
        <f t="shared" ca="1" si="120"/>
        <v>#REF!</v>
      </c>
      <c r="T226" s="75" t="e">
        <f t="shared" ca="1" si="120"/>
        <v>#REF!</v>
      </c>
      <c r="U226" s="75" t="e">
        <f t="shared" ca="1" si="120"/>
        <v>#REF!</v>
      </c>
      <c r="V226" s="75" t="e">
        <f t="shared" ca="1" si="120"/>
        <v>#REF!</v>
      </c>
      <c r="W226" s="75" t="e">
        <f t="shared" ca="1" si="120"/>
        <v>#REF!</v>
      </c>
      <c r="X226" s="75" t="e">
        <f t="shared" ca="1" si="120"/>
        <v>#REF!</v>
      </c>
      <c r="Y226" s="36"/>
    </row>
    <row r="227" spans="1:25" x14ac:dyDescent="0.2">
      <c r="A227" s="27" t="s">
        <v>342</v>
      </c>
      <c r="B227" s="231"/>
      <c r="C227" s="74"/>
      <c r="D227" s="71" t="e">
        <f>#REF!</f>
        <v>#REF!</v>
      </c>
      <c r="E227" s="71" t="e">
        <f>#REF!</f>
        <v>#REF!</v>
      </c>
      <c r="F227" s="71" t="e">
        <f>#REF!</f>
        <v>#REF!</v>
      </c>
      <c r="G227" s="71" t="e">
        <f>#REF!</f>
        <v>#REF!</v>
      </c>
      <c r="H227" s="71" t="e">
        <f>#REF!</f>
        <v>#REF!</v>
      </c>
      <c r="I227" s="71" t="e">
        <f>#REF!</f>
        <v>#REF!</v>
      </c>
      <c r="J227" s="131" t="e">
        <f>#REF! + IF($F$1="Yes",J$330,0) + IF($I$1="Yes",J$317,0)+ IF($L$1="Yes",J$348,0)</f>
        <v>#REF!</v>
      </c>
      <c r="K227" s="131" t="e">
        <f>#REF! + IF($F$1="Yes",K$330,0) + IF($I$1="Yes",K$317,0)+ IF($L$1="Yes",K$348,0)</f>
        <v>#REF!</v>
      </c>
      <c r="L227" s="131" t="e">
        <f>#REF! + IF($F$1="Yes",L$330,0) + IF($I$1="Yes",L$317,0)+ IF($L$1="Yes",L$348,0)</f>
        <v>#REF!</v>
      </c>
      <c r="M227" s="131" t="e">
        <f>#REF! + IF($F$1="Yes",M$330,0) + IF($I$1="Yes",M$317,0)+ IF($L$1="Yes",M$348,0)</f>
        <v>#REF!</v>
      </c>
      <c r="N227" s="131" t="e">
        <f>#REF! + IF($F$1="Yes",N$330,0) + IF($I$1="Yes",N$317,0)+ IF($L$1="Yes",N$348,0)</f>
        <v>#REF!</v>
      </c>
      <c r="O227" s="73" t="e">
        <f t="shared" ref="O227:X227" ca="1" si="121">N$227*O$229/N$229</f>
        <v>#REF!</v>
      </c>
      <c r="P227" s="73" t="e">
        <f t="shared" ca="1" si="121"/>
        <v>#REF!</v>
      </c>
      <c r="Q227" s="73" t="e">
        <f t="shared" ca="1" si="121"/>
        <v>#REF!</v>
      </c>
      <c r="R227" s="73" t="e">
        <f t="shared" ca="1" si="121"/>
        <v>#REF!</v>
      </c>
      <c r="S227" s="73" t="e">
        <f t="shared" ca="1" si="121"/>
        <v>#REF!</v>
      </c>
      <c r="T227" s="73" t="e">
        <f t="shared" ca="1" si="121"/>
        <v>#REF!</v>
      </c>
      <c r="U227" s="73" t="e">
        <f t="shared" ca="1" si="121"/>
        <v>#REF!</v>
      </c>
      <c r="V227" s="73" t="e">
        <f t="shared" ca="1" si="121"/>
        <v>#REF!</v>
      </c>
      <c r="W227" s="73" t="e">
        <f t="shared" ca="1" si="121"/>
        <v>#REF!</v>
      </c>
      <c r="X227" s="73" t="e">
        <f t="shared" ca="1" si="121"/>
        <v>#REF!</v>
      </c>
      <c r="Y227" s="36"/>
    </row>
    <row r="228" spans="1:25" x14ac:dyDescent="0.2">
      <c r="A228" s="161" t="s">
        <v>400</v>
      </c>
      <c r="C228" s="74"/>
      <c r="D228" s="176" t="e">
        <f t="shared" ref="D228:X228" si="122">D$229-D$227</f>
        <v>#REF!</v>
      </c>
      <c r="E228" s="176" t="e">
        <f t="shared" si="122"/>
        <v>#REF!</v>
      </c>
      <c r="F228" s="176" t="e">
        <f t="shared" si="122"/>
        <v>#REF!</v>
      </c>
      <c r="G228" s="176" t="e">
        <f t="shared" si="122"/>
        <v>#REF!</v>
      </c>
      <c r="H228" s="176" t="e">
        <f t="shared" si="122"/>
        <v>#REF!</v>
      </c>
      <c r="I228" s="176" t="e">
        <f t="shared" si="122"/>
        <v>#REF!</v>
      </c>
      <c r="J228" s="130" t="e">
        <f t="shared" si="122"/>
        <v>#REF!</v>
      </c>
      <c r="K228" s="130" t="e">
        <f t="shared" si="122"/>
        <v>#REF!</v>
      </c>
      <c r="L228" s="130" t="e">
        <f t="shared" si="122"/>
        <v>#REF!</v>
      </c>
      <c r="M228" s="130" t="e">
        <f t="shared" si="122"/>
        <v>#REF!</v>
      </c>
      <c r="N228" s="130" t="e">
        <f t="shared" si="122"/>
        <v>#REF!</v>
      </c>
      <c r="O228" s="81" t="e">
        <f t="shared" ca="1" si="122"/>
        <v>#REF!</v>
      </c>
      <c r="P228" s="81" t="e">
        <f t="shared" ca="1" si="122"/>
        <v>#REF!</v>
      </c>
      <c r="Q228" s="81" t="e">
        <f t="shared" ca="1" si="122"/>
        <v>#REF!</v>
      </c>
      <c r="R228" s="81" t="e">
        <f t="shared" ca="1" si="122"/>
        <v>#REF!</v>
      </c>
      <c r="S228" s="81" t="e">
        <f t="shared" ca="1" si="122"/>
        <v>#REF!</v>
      </c>
      <c r="T228" s="81" t="e">
        <f t="shared" ca="1" si="122"/>
        <v>#REF!</v>
      </c>
      <c r="U228" s="81" t="e">
        <f t="shared" ca="1" si="122"/>
        <v>#REF!</v>
      </c>
      <c r="V228" s="81" t="e">
        <f t="shared" ca="1" si="122"/>
        <v>#REF!</v>
      </c>
      <c r="W228" s="81" t="e">
        <f t="shared" ca="1" si="122"/>
        <v>#REF!</v>
      </c>
      <c r="X228" s="81" t="e">
        <f t="shared" ca="1" si="122"/>
        <v>#REF!</v>
      </c>
      <c r="Y228" s="36"/>
    </row>
    <row r="229" spans="1:25" x14ac:dyDescent="0.2">
      <c r="A229" s="27" t="s">
        <v>401</v>
      </c>
      <c r="B229" s="231"/>
      <c r="C229" s="74"/>
      <c r="D229" s="71" t="e">
        <f>#REF!</f>
        <v>#REF!</v>
      </c>
      <c r="E229" s="71" t="e">
        <f>#REF!</f>
        <v>#REF!</v>
      </c>
      <c r="F229" s="71" t="e">
        <f>#REF!</f>
        <v>#REF!</v>
      </c>
      <c r="G229" s="71" t="e">
        <f>#REF!</f>
        <v>#REF!</v>
      </c>
      <c r="H229" s="71" t="e">
        <f>#REF!</f>
        <v>#REF!</v>
      </c>
      <c r="I229" s="71" t="e">
        <f>#REF!</f>
        <v>#REF!</v>
      </c>
      <c r="J229" s="131" t="e">
        <f>#REF! + IF($F$1="Yes",J$330,0) + IF($I$1="Yes",J$317,0)+ IF($L$1="Yes",J$348,0)</f>
        <v>#REF!</v>
      </c>
      <c r="K229" s="131" t="e">
        <f>#REF! + IF($F$1="Yes",K$330,0) + IF($I$1="Yes",K$317,0)+ IF($L$1="Yes",K$348,0)</f>
        <v>#REF!</v>
      </c>
      <c r="L229" s="131" t="e">
        <f>#REF! + IF($F$1="Yes",L$330,0) + IF($I$1="Yes",L$317,0)+ IF($L$1="Yes",L$348,0)</f>
        <v>#REF!</v>
      </c>
      <c r="M229" s="131" t="e">
        <f>#REF! + IF($F$1="Yes",M$330,0) + IF($I$1="Yes",M$317,0)+ IF($L$1="Yes",M$348,0)</f>
        <v>#REF!</v>
      </c>
      <c r="N229" s="131" t="e">
        <f>#REF! + IF($F$1="Yes",N$330,0) + IF($I$1="Yes",N$317,0)+ IF($L$1="Yes",N$348,0)</f>
        <v>#REF!</v>
      </c>
      <c r="O229" s="107" t="e">
        <f ca="1">N$229+(O$33-N$33)-(O$35-N$35)-O$24 + IF(AND(OFFSET(Scenarios!$A$40,0,$C$1)="Yes",O$4&gt;=OFFSET(Scenarios!$A$41,0,$C$1),O$4&lt;=OFFSET(Scenarios!$A$42,0,$C$1)),OFFSET(Scenarios!$A$43,0,$C$1)*(1+OFFSET(Scenarios!$A$44,0,$C$1))^MAX(0,O$4-OFFSET(Scenarios!$A$41,0,$C$1)),0)</f>
        <v>#REF!</v>
      </c>
      <c r="P229" s="107" t="e">
        <f ca="1">O$229+(P$33-O$33)-(P$35-O$35)-P$24 + IF(AND(OFFSET(Scenarios!$A$40,0,$C$1)="Yes",P$4&gt;=OFFSET(Scenarios!$A$41,0,$C$1),P$4&lt;=OFFSET(Scenarios!$A$42,0,$C$1)),OFFSET(Scenarios!$A$43,0,$C$1)*(1+OFFSET(Scenarios!$A$44,0,$C$1))^MAX(0,P$4-OFFSET(Scenarios!$A$41,0,$C$1)),0)</f>
        <v>#REF!</v>
      </c>
      <c r="Q229" s="107" t="e">
        <f ca="1">P$229+(Q$33-P$33)-(Q$35-P$35)-Q$24 + IF(AND(OFFSET(Scenarios!$A$40,0,$C$1)="Yes",Q$4&gt;=OFFSET(Scenarios!$A$41,0,$C$1),Q$4&lt;=OFFSET(Scenarios!$A$42,0,$C$1)),OFFSET(Scenarios!$A$43,0,$C$1)*(1+OFFSET(Scenarios!$A$44,0,$C$1))^MAX(0,Q$4-OFFSET(Scenarios!$A$41,0,$C$1)),0)</f>
        <v>#REF!</v>
      </c>
      <c r="R229" s="107" t="e">
        <f ca="1">Q$229+(R$33-Q$33)-(R$35-Q$35)-R$24 + IF(AND(OFFSET(Scenarios!$A$40,0,$C$1)="Yes",R$4&gt;=OFFSET(Scenarios!$A$41,0,$C$1),R$4&lt;=OFFSET(Scenarios!$A$42,0,$C$1)),OFFSET(Scenarios!$A$43,0,$C$1)*(1+OFFSET(Scenarios!$A$44,0,$C$1))^MAX(0,R$4-OFFSET(Scenarios!$A$41,0,$C$1)),0)</f>
        <v>#REF!</v>
      </c>
      <c r="S229" s="107" t="e">
        <f ca="1">R$229+(S$33-R$33)-(S$35-R$35)-S$24 + IF(AND(OFFSET(Scenarios!$A$40,0,$C$1)="Yes",S$4&gt;=OFFSET(Scenarios!$A$41,0,$C$1),S$4&lt;=OFFSET(Scenarios!$A$42,0,$C$1)),OFFSET(Scenarios!$A$43,0,$C$1)*(1+OFFSET(Scenarios!$A$44,0,$C$1))^MAX(0,S$4-OFFSET(Scenarios!$A$41,0,$C$1)),0)</f>
        <v>#REF!</v>
      </c>
      <c r="T229" s="107" t="e">
        <f ca="1">S$229+(T$33-S$33)-(T$35-S$35)-T$24 + IF(AND(OFFSET(Scenarios!$A$40,0,$C$1)="Yes",T$4&gt;=OFFSET(Scenarios!$A$41,0,$C$1),T$4&lt;=OFFSET(Scenarios!$A$42,0,$C$1)),OFFSET(Scenarios!$A$43,0,$C$1)*(1+OFFSET(Scenarios!$A$44,0,$C$1))^MAX(0,T$4-OFFSET(Scenarios!$A$41,0,$C$1)),0)</f>
        <v>#REF!</v>
      </c>
      <c r="U229" s="107" t="e">
        <f ca="1">T$229+(U$33-T$33)-(U$35-T$35)-U$24 + IF(AND(OFFSET(Scenarios!$A$40,0,$C$1)="Yes",U$4&gt;=OFFSET(Scenarios!$A$41,0,$C$1),U$4&lt;=OFFSET(Scenarios!$A$42,0,$C$1)),OFFSET(Scenarios!$A$43,0,$C$1)*(1+OFFSET(Scenarios!$A$44,0,$C$1))^MAX(0,U$4-OFFSET(Scenarios!$A$41,0,$C$1)),0)</f>
        <v>#REF!</v>
      </c>
      <c r="V229" s="107" t="e">
        <f ca="1">U$229+(V$33-U$33)-(V$35-U$35)-V$24 + IF(AND(OFFSET(Scenarios!$A$40,0,$C$1)="Yes",V$4&gt;=OFFSET(Scenarios!$A$41,0,$C$1),V$4&lt;=OFFSET(Scenarios!$A$42,0,$C$1)),OFFSET(Scenarios!$A$43,0,$C$1)*(1+OFFSET(Scenarios!$A$44,0,$C$1))^MAX(0,V$4-OFFSET(Scenarios!$A$41,0,$C$1)),0)</f>
        <v>#REF!</v>
      </c>
      <c r="W229" s="107" t="e">
        <f ca="1">V$229+(W$33-V$33)-(W$35-V$35)-W$24 + IF(AND(OFFSET(Scenarios!$A$40,0,$C$1)="Yes",W$4&gt;=OFFSET(Scenarios!$A$41,0,$C$1),W$4&lt;=OFFSET(Scenarios!$A$42,0,$C$1)),OFFSET(Scenarios!$A$43,0,$C$1)*(1+OFFSET(Scenarios!$A$44,0,$C$1))^MAX(0,W$4-OFFSET(Scenarios!$A$41,0,$C$1)),0)</f>
        <v>#REF!</v>
      </c>
      <c r="X229" s="107" t="e">
        <f ca="1">W$229+(X$33-W$33)-(X$35-W$35)-X$24 + IF(AND(OFFSET(Scenarios!$A$40,0,$C$1)="Yes",X$4&gt;=OFFSET(Scenarios!$A$41,0,$C$1),X$4&lt;=OFFSET(Scenarios!$A$42,0,$C$1)),OFFSET(Scenarios!$A$43,0,$C$1)*(1+OFFSET(Scenarios!$A$44,0,$C$1))^MAX(0,X$4-OFFSET(Scenarios!$A$41,0,$C$1)),0)</f>
        <v>#REF!</v>
      </c>
      <c r="Y229" s="36"/>
    </row>
    <row r="230" spans="1:25" x14ac:dyDescent="0.2">
      <c r="A230" s="161" t="s">
        <v>652</v>
      </c>
      <c r="B230" s="231"/>
      <c r="C230" s="74"/>
      <c r="D230" s="176" t="e">
        <f>#REF!</f>
        <v>#REF!</v>
      </c>
      <c r="E230" s="176" t="e">
        <f>#REF!</f>
        <v>#REF!</v>
      </c>
      <c r="F230" s="176" t="e">
        <f>#REF!</f>
        <v>#REF!</v>
      </c>
      <c r="G230" s="176" t="e">
        <f>#REF!</f>
        <v>#REF!</v>
      </c>
      <c r="H230" s="176" t="e">
        <f>#REF!</f>
        <v>#REF!</v>
      </c>
      <c r="I230" s="176" t="e">
        <f>#REF!</f>
        <v>#REF!</v>
      </c>
      <c r="J230" s="130" t="e">
        <f>#REF!</f>
        <v>#REF!</v>
      </c>
      <c r="K230" s="130" t="e">
        <f>#REF!</f>
        <v>#REF!</v>
      </c>
      <c r="L230" s="130" t="e">
        <f>#REF!</f>
        <v>#REF!</v>
      </c>
      <c r="M230" s="130" t="e">
        <f>#REF!</f>
        <v>#REF!</v>
      </c>
      <c r="N230" s="130" t="e">
        <f>#REF!</f>
        <v>#REF!</v>
      </c>
      <c r="O230" s="278">
        <f>IF(O$2="Proj Yr1",0,N$230)</f>
        <v>0</v>
      </c>
      <c r="P230" s="278">
        <f t="shared" ref="P230:X230" si="123">IF(P$2="Proj Yr1",0,O$230)</f>
        <v>0</v>
      </c>
      <c r="Q230" s="278">
        <f t="shared" si="123"/>
        <v>0</v>
      </c>
      <c r="R230" s="278">
        <f t="shared" si="123"/>
        <v>0</v>
      </c>
      <c r="S230" s="278">
        <f t="shared" si="123"/>
        <v>0</v>
      </c>
      <c r="T230" s="278">
        <f t="shared" si="123"/>
        <v>0</v>
      </c>
      <c r="U230" s="278">
        <f t="shared" si="123"/>
        <v>0</v>
      </c>
      <c r="V230" s="278">
        <f t="shared" si="123"/>
        <v>0</v>
      </c>
      <c r="W230" s="278">
        <f t="shared" si="123"/>
        <v>0</v>
      </c>
      <c r="X230" s="278">
        <f t="shared" si="123"/>
        <v>0</v>
      </c>
      <c r="Y230" s="36"/>
    </row>
    <row r="231" spans="1:25" x14ac:dyDescent="0.2">
      <c r="A231" s="27" t="s">
        <v>402</v>
      </c>
      <c r="C231" s="74"/>
      <c r="D231" s="71" t="e">
        <f t="shared" ref="D231:X231" si="124">SUM(D$229,D$230)</f>
        <v>#REF!</v>
      </c>
      <c r="E231" s="71" t="e">
        <f t="shared" si="124"/>
        <v>#REF!</v>
      </c>
      <c r="F231" s="71" t="e">
        <f t="shared" si="124"/>
        <v>#REF!</v>
      </c>
      <c r="G231" s="71" t="e">
        <f t="shared" si="124"/>
        <v>#REF!</v>
      </c>
      <c r="H231" s="71" t="e">
        <f t="shared" si="124"/>
        <v>#REF!</v>
      </c>
      <c r="I231" s="71" t="e">
        <f t="shared" si="124"/>
        <v>#REF!</v>
      </c>
      <c r="J231" s="131" t="e">
        <f t="shared" si="124"/>
        <v>#REF!</v>
      </c>
      <c r="K231" s="131" t="e">
        <f t="shared" si="124"/>
        <v>#REF!</v>
      </c>
      <c r="L231" s="131" t="e">
        <f t="shared" si="124"/>
        <v>#REF!</v>
      </c>
      <c r="M231" s="131" t="e">
        <f t="shared" si="124"/>
        <v>#REF!</v>
      </c>
      <c r="N231" s="131" t="e">
        <f t="shared" si="124"/>
        <v>#REF!</v>
      </c>
      <c r="O231" s="75" t="e">
        <f t="shared" ca="1" si="124"/>
        <v>#REF!</v>
      </c>
      <c r="P231" s="75" t="e">
        <f t="shared" ca="1" si="124"/>
        <v>#REF!</v>
      </c>
      <c r="Q231" s="75" t="e">
        <f t="shared" ca="1" si="124"/>
        <v>#REF!</v>
      </c>
      <c r="R231" s="75" t="e">
        <f t="shared" ca="1" si="124"/>
        <v>#REF!</v>
      </c>
      <c r="S231" s="75" t="e">
        <f t="shared" ca="1" si="124"/>
        <v>#REF!</v>
      </c>
      <c r="T231" s="75" t="e">
        <f t="shared" ca="1" si="124"/>
        <v>#REF!</v>
      </c>
      <c r="U231" s="75" t="e">
        <f t="shared" ca="1" si="124"/>
        <v>#REF!</v>
      </c>
      <c r="V231" s="75" t="e">
        <f t="shared" ca="1" si="124"/>
        <v>#REF!</v>
      </c>
      <c r="W231" s="75" t="e">
        <f t="shared" ca="1" si="124"/>
        <v>#REF!</v>
      </c>
      <c r="X231" s="75" t="e">
        <f t="shared" ca="1" si="124"/>
        <v>#REF!</v>
      </c>
      <c r="Y231" s="36"/>
    </row>
    <row r="232" spans="1:25" x14ac:dyDescent="0.2">
      <c r="A232" s="108" t="s">
        <v>680</v>
      </c>
      <c r="B232" s="231"/>
      <c r="C232" s="74"/>
      <c r="D232" s="69" t="e">
        <f>SUM(#REF!,-#REF!)</f>
        <v>#REF!</v>
      </c>
      <c r="E232" s="69" t="e">
        <f>SUM(#REF!,-#REF!)</f>
        <v>#REF!</v>
      </c>
      <c r="F232" s="69" t="e">
        <f>SUM(#REF!,-#REF!)</f>
        <v>#REF!</v>
      </c>
      <c r="G232" s="69" t="e">
        <f>SUM(#REF!,-#REF!)</f>
        <v>#REF!</v>
      </c>
      <c r="H232" s="69" t="e">
        <f>SUM(#REF!,-#REF!)</f>
        <v>#REF!</v>
      </c>
      <c r="I232" s="69" t="e">
        <f>SUM(#REF!,-#REF!)</f>
        <v>#REF!</v>
      </c>
      <c r="J232" s="105" t="e">
        <f>SUM(#REF!,-#REF!)</f>
        <v>#REF!</v>
      </c>
      <c r="K232" s="105" t="e">
        <f>SUM(#REF!,-#REF!)</f>
        <v>#REF!</v>
      </c>
      <c r="L232" s="105" t="e">
        <f>SUM(#REF!,-#REF!)</f>
        <v>#REF!</v>
      </c>
      <c r="M232" s="105" t="e">
        <f>SUM(#REF!,-#REF!)</f>
        <v>#REF!</v>
      </c>
      <c r="N232" s="105" t="e">
        <f>SUM(#REF!,-#REF!)</f>
        <v>#REF!</v>
      </c>
      <c r="O232" s="73" t="e">
        <f t="shared" ref="O232:X232" si="125">N$232</f>
        <v>#REF!</v>
      </c>
      <c r="P232" s="73" t="e">
        <f t="shared" si="125"/>
        <v>#REF!</v>
      </c>
      <c r="Q232" s="73" t="e">
        <f t="shared" si="125"/>
        <v>#REF!</v>
      </c>
      <c r="R232" s="73" t="e">
        <f t="shared" si="125"/>
        <v>#REF!</v>
      </c>
      <c r="S232" s="73" t="e">
        <f t="shared" si="125"/>
        <v>#REF!</v>
      </c>
      <c r="T232" s="73" t="e">
        <f t="shared" si="125"/>
        <v>#REF!</v>
      </c>
      <c r="U232" s="73" t="e">
        <f t="shared" si="125"/>
        <v>#REF!</v>
      </c>
      <c r="V232" s="73" t="e">
        <f t="shared" si="125"/>
        <v>#REF!</v>
      </c>
      <c r="W232" s="73" t="e">
        <f t="shared" si="125"/>
        <v>#REF!</v>
      </c>
      <c r="X232" s="73" t="e">
        <f t="shared" si="125"/>
        <v>#REF!</v>
      </c>
      <c r="Y232" s="36"/>
    </row>
    <row r="233" spans="1:25" x14ac:dyDescent="0.2">
      <c r="A233" s="108"/>
      <c r="C233" s="74"/>
      <c r="D233" s="72"/>
      <c r="E233" s="72"/>
      <c r="F233" s="72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36"/>
    </row>
    <row r="234" spans="1:25" ht="15.75" x14ac:dyDescent="0.25">
      <c r="A234" s="153" t="s">
        <v>388</v>
      </c>
      <c r="D234" s="163" t="s">
        <v>445</v>
      </c>
      <c r="E234" s="163" t="s">
        <v>446</v>
      </c>
      <c r="F234" s="163" t="s">
        <v>447</v>
      </c>
      <c r="G234" s="163" t="s">
        <v>448</v>
      </c>
      <c r="H234" s="163" t="s">
        <v>449</v>
      </c>
      <c r="I234" s="163" t="s">
        <v>450</v>
      </c>
      <c r="J234" s="140" t="s">
        <v>451</v>
      </c>
      <c r="K234" s="140" t="s">
        <v>452</v>
      </c>
      <c r="L234" s="140" t="s">
        <v>453</v>
      </c>
      <c r="M234" s="140" t="s">
        <v>454</v>
      </c>
      <c r="N234" s="140" t="s">
        <v>455</v>
      </c>
      <c r="O234" s="139" t="s">
        <v>456</v>
      </c>
      <c r="P234" s="139" t="s">
        <v>457</v>
      </c>
      <c r="Q234" s="139" t="s">
        <v>458</v>
      </c>
      <c r="R234" s="139" t="s">
        <v>459</v>
      </c>
      <c r="S234" s="139" t="s">
        <v>460</v>
      </c>
      <c r="T234" s="139" t="s">
        <v>461</v>
      </c>
      <c r="U234" s="139" t="s">
        <v>462</v>
      </c>
      <c r="V234" s="139" t="s">
        <v>463</v>
      </c>
      <c r="W234" s="139" t="s">
        <v>464</v>
      </c>
      <c r="X234" s="139" t="s">
        <v>992</v>
      </c>
      <c r="Y234" s="36"/>
    </row>
    <row r="235" spans="1:25" x14ac:dyDescent="0.2">
      <c r="A235" s="27" t="s">
        <v>154</v>
      </c>
      <c r="B235" s="231"/>
      <c r="D235" s="69" t="e">
        <f>#REF!</f>
        <v>#REF!</v>
      </c>
      <c r="E235" s="69" t="e">
        <f>#REF!</f>
        <v>#REF!</v>
      </c>
      <c r="F235" s="69" t="e">
        <f>#REF!</f>
        <v>#REF!</v>
      </c>
      <c r="G235" s="69" t="e">
        <f>#REF!</f>
        <v>#REF!</v>
      </c>
      <c r="H235" s="69" t="e">
        <f>#REF!</f>
        <v>#REF!</v>
      </c>
      <c r="I235" s="69" t="e">
        <f>#REF!</f>
        <v>#REF!</v>
      </c>
      <c r="J235" s="125" t="e">
        <f ca="1">IF(OR($F$1="Yes",$O$1="Yes"),OFFSET('Forecast Adjuster'!$A$40,0,J$282),#REF!)</f>
        <v>#REF!</v>
      </c>
      <c r="K235" s="125" t="e">
        <f ca="1">IF(OR($F$1="Yes",$O$1="Yes"),OFFSET('Forecast Adjuster'!$A$40,0,K$282),#REF!)</f>
        <v>#REF!</v>
      </c>
      <c r="L235" s="125" t="e">
        <f ca="1">IF(OR($F$1="Yes",$O$1="Yes"),OFFSET('Forecast Adjuster'!$A$40,0,L$282),#REF!)</f>
        <v>#REF!</v>
      </c>
      <c r="M235" s="125" t="e">
        <f ca="1">IF(OR($F$1="Yes",$O$1="Yes"),OFFSET('Forecast Adjuster'!$A$40,0,M$282),#REF!)</f>
        <v>#REF!</v>
      </c>
      <c r="N235" s="125" t="e">
        <f ca="1">IF(OR($F$1="Yes",$O$1="Yes"),OFFSET('Forecast Adjuster'!$A$40,0,N$282),#REF!)</f>
        <v>#REF!</v>
      </c>
      <c r="O235" s="344" t="e">
        <f ca="1">IF(OR($F$1="Yes",$O$1="Yes"),OFFSET('Forecast Adjuster'!$A$40,0,O$282),IF(OFFSET(Scenarios!$A$14,0,$C$1)&gt;=O$4,#REF!,N$235*(1+O$252)*(O$244*(1-O$247)*O$250)/(N$244*(1-N$247)*N$250)))</f>
        <v>#N/A</v>
      </c>
      <c r="P235" s="344" t="e">
        <f ca="1">IF(OR($F$1="Yes",$O$1="Yes"),OFFSET('Forecast Adjuster'!$A$40,0,P$282),IF(OFFSET(Scenarios!$A$14,0,$C$1)&gt;=P$4,#REF!,O$235*(1+P$252)*(P$244*(1-P$247)*P$250)/(O$244*(1-O$247)*O$250)))</f>
        <v>#N/A</v>
      </c>
      <c r="Q235" s="100" t="e">
        <f ca="1">IF(OR($F$1="Yes",$O$1="Yes"),OFFSET('Forecast Adjuster'!$A$40,0,Q$282),IF(OFFSET(Scenarios!$A$14,0,$C$1)&gt;=Q$4,#REF!,P$235*(1+Q$252)*(Q$244*(1-Q$247)*Q$250)/(P$244*(1-P$247)*P$250)))</f>
        <v>#N/A</v>
      </c>
      <c r="R235" s="100" t="e">
        <f ca="1">IF(OR($F$1="Yes",$O$1="Yes"),OFFSET('Forecast Adjuster'!$A$40,0,R$282),IF(OFFSET(Scenarios!$A$14,0,$C$1)&gt;=R$4,#REF!,Q$235*(1+R$252)*(R$244*(1-R$247)*R$250)/(Q$244*(1-Q$247)*Q$250)))</f>
        <v>#N/A</v>
      </c>
      <c r="S235" s="100" t="e">
        <f ca="1">IF(OR($F$1="Yes",$O$1="Yes"),OFFSET('Forecast Adjuster'!$A$40,0,S$282),IF(OFFSET(Scenarios!$A$14,0,$C$1)&gt;=S$4,#REF!,R$235*(1+S$252)*(S$244*(1-S$247)*S$250)/(R$244*(1-R$247)*R$250)))</f>
        <v>#N/A</v>
      </c>
      <c r="T235" s="100" t="e">
        <f ca="1">IF(OR($F$1="Yes",$O$1="Yes"),OFFSET('Forecast Adjuster'!$A$40,0,T$282),IF(OFFSET(Scenarios!$A$14,0,$C$1)&gt;=T$4,#REF!,S$235*(1+T$252)*(T$244*(1-T$247)*T$250)/(S$244*(1-S$247)*S$250)))</f>
        <v>#N/A</v>
      </c>
      <c r="U235" s="100" t="e">
        <f ca="1">IF(OR($F$1="Yes",$O$1="Yes"),OFFSET('Forecast Adjuster'!$A$40,0,U$282),IF(OFFSET(Scenarios!$A$14,0,$C$1)&gt;=U$4,#REF!,T$235*(1+U$252)*(U$244*(1-U$247)*U$250)/(T$244*(1-T$247)*T$250)))</f>
        <v>#N/A</v>
      </c>
      <c r="V235" s="100" t="e">
        <f ca="1">IF(OR($F$1="Yes",$O$1="Yes"),OFFSET('Forecast Adjuster'!$A$40,0,V$282),IF(OFFSET(Scenarios!$A$14,0,$C$1)&gt;=V$4,#REF!,U$235*(1+V$252)*(V$244*(1-V$247)*V$250)/(U$244*(1-U$247)*U$250)))</f>
        <v>#N/A</v>
      </c>
      <c r="W235" s="100" t="e">
        <f ca="1">IF(OR($F$1="Yes",$O$1="Yes"),OFFSET('Forecast Adjuster'!$A$40,0,W$282),IF(OFFSET(Scenarios!$A$14,0,$C$1)&gt;=W$4,#REF!,V$235*(1+W$252)*(W$244*(1-W$247)*W$250)/(V$244*(1-V$247)*V$250)))</f>
        <v>#N/A</v>
      </c>
      <c r="X235" s="100" t="e">
        <f ca="1">IF(OR($F$1="Yes",$O$1="Yes"),OFFSET('Forecast Adjuster'!$A$40,0,X$282),IF(OFFSET(Scenarios!$A$14,0,$C$1)&gt;=X$4,#REF!,W$235*(1+X$252)*(X$244*(1-X$247)*X$250)/(W$244*(1-W$247)*W$250)))</f>
        <v>#N/A</v>
      </c>
      <c r="Y235" s="36"/>
    </row>
    <row r="236" spans="1:25" x14ac:dyDescent="0.2">
      <c r="A236" s="162" t="s">
        <v>137</v>
      </c>
      <c r="D236" s="119"/>
      <c r="E236" s="119" t="e">
        <f t="shared" ref="E236:X236" si="126">E$235/D$235-1</f>
        <v>#REF!</v>
      </c>
      <c r="F236" s="119" t="e">
        <f t="shared" si="126"/>
        <v>#REF!</v>
      </c>
      <c r="G236" s="119" t="e">
        <f t="shared" si="126"/>
        <v>#REF!</v>
      </c>
      <c r="H236" s="119" t="e">
        <f t="shared" si="126"/>
        <v>#REF!</v>
      </c>
      <c r="I236" s="119" t="e">
        <f t="shared" si="126"/>
        <v>#REF!</v>
      </c>
      <c r="J236" s="123" t="e">
        <f t="shared" ca="1" si="126"/>
        <v>#REF!</v>
      </c>
      <c r="K236" s="123" t="e">
        <f t="shared" ca="1" si="126"/>
        <v>#REF!</v>
      </c>
      <c r="L236" s="123" t="e">
        <f t="shared" ca="1" si="126"/>
        <v>#REF!</v>
      </c>
      <c r="M236" s="123" t="e">
        <f t="shared" ca="1" si="126"/>
        <v>#REF!</v>
      </c>
      <c r="N236" s="123" t="e">
        <f t="shared" ca="1" si="126"/>
        <v>#REF!</v>
      </c>
      <c r="O236" s="325" t="e">
        <f t="shared" ca="1" si="126"/>
        <v>#N/A</v>
      </c>
      <c r="P236" s="325" t="e">
        <f t="shared" ca="1" si="126"/>
        <v>#N/A</v>
      </c>
      <c r="Q236" s="325" t="e">
        <f t="shared" ca="1" si="126"/>
        <v>#N/A</v>
      </c>
      <c r="R236" s="120" t="e">
        <f t="shared" ca="1" si="126"/>
        <v>#N/A</v>
      </c>
      <c r="S236" s="120" t="e">
        <f t="shared" ca="1" si="126"/>
        <v>#N/A</v>
      </c>
      <c r="T236" s="120" t="e">
        <f t="shared" ca="1" si="126"/>
        <v>#N/A</v>
      </c>
      <c r="U236" s="120" t="e">
        <f t="shared" ca="1" si="126"/>
        <v>#N/A</v>
      </c>
      <c r="V236" s="120" t="e">
        <f t="shared" ca="1" si="126"/>
        <v>#N/A</v>
      </c>
      <c r="W236" s="120" t="e">
        <f t="shared" ca="1" si="126"/>
        <v>#N/A</v>
      </c>
      <c r="X236" s="120" t="e">
        <f t="shared" ca="1" si="126"/>
        <v>#N/A</v>
      </c>
      <c r="Y236" s="36"/>
    </row>
    <row r="237" spans="1:25" x14ac:dyDescent="0.2">
      <c r="A237" s="27" t="s">
        <v>120</v>
      </c>
      <c r="B237" s="231"/>
      <c r="D237" s="69" t="e">
        <f>#REF!</f>
        <v>#REF!</v>
      </c>
      <c r="E237" s="69" t="e">
        <f>#REF!</f>
        <v>#REF!</v>
      </c>
      <c r="F237" s="69" t="e">
        <f>#REF!</f>
        <v>#REF!</v>
      </c>
      <c r="G237" s="69" t="e">
        <f>#REF!</f>
        <v>#REF!</v>
      </c>
      <c r="H237" s="69" t="e">
        <f>#REF!</f>
        <v>#REF!</v>
      </c>
      <c r="I237" s="69" t="e">
        <f>#REF!</f>
        <v>#REF!</v>
      </c>
      <c r="J237" s="125" t="e">
        <f ca="1">IF(OR($F$1="Yes",$O$1="Yes"),OFFSET('Forecast Adjuster'!$A$41,0,J$282),#REF!)</f>
        <v>#REF!</v>
      </c>
      <c r="K237" s="125" t="e">
        <f ca="1">IF(OR($F$1="Yes",$O$1="Yes"),OFFSET('Forecast Adjuster'!$A$41,0,K$282),#REF!)</f>
        <v>#REF!</v>
      </c>
      <c r="L237" s="125" t="e">
        <f ca="1">IF(OR($F$1="Yes",$O$1="Yes"),OFFSET('Forecast Adjuster'!$A$41,0,L$282),#REF!)</f>
        <v>#REF!</v>
      </c>
      <c r="M237" s="125" t="e">
        <f ca="1">IF(OR($F$1="Yes",$O$1="Yes"),OFFSET('Forecast Adjuster'!$A$41,0,M$282),#REF!)</f>
        <v>#REF!</v>
      </c>
      <c r="N237" s="125" t="e">
        <f ca="1">IF(OR($F$1="Yes",$O$1="Yes"),OFFSET('Forecast Adjuster'!$A$41,0,N$282),#REF!)</f>
        <v>#REF!</v>
      </c>
      <c r="O237" s="73" t="e">
        <f t="shared" ref="O237:X237" ca="1" si="127">N$237*(O$235/N$235)*(1+O$240)</f>
        <v>#REF!</v>
      </c>
      <c r="P237" s="73" t="e">
        <f t="shared" ca="1" si="127"/>
        <v>#REF!</v>
      </c>
      <c r="Q237" s="73" t="e">
        <f t="shared" ca="1" si="127"/>
        <v>#REF!</v>
      </c>
      <c r="R237" s="73" t="e">
        <f t="shared" ca="1" si="127"/>
        <v>#REF!</v>
      </c>
      <c r="S237" s="73" t="e">
        <f t="shared" ca="1" si="127"/>
        <v>#REF!</v>
      </c>
      <c r="T237" s="73" t="e">
        <f t="shared" ca="1" si="127"/>
        <v>#REF!</v>
      </c>
      <c r="U237" s="73" t="e">
        <f t="shared" ca="1" si="127"/>
        <v>#REF!</v>
      </c>
      <c r="V237" s="73" t="e">
        <f t="shared" ca="1" si="127"/>
        <v>#REF!</v>
      </c>
      <c r="W237" s="73" t="e">
        <f t="shared" ca="1" si="127"/>
        <v>#REF!</v>
      </c>
      <c r="X237" s="73" t="e">
        <f t="shared" ca="1" si="127"/>
        <v>#REF!</v>
      </c>
      <c r="Y237" s="36"/>
    </row>
    <row r="238" spans="1:25" x14ac:dyDescent="0.2">
      <c r="A238" s="162" t="s">
        <v>137</v>
      </c>
      <c r="D238" s="119"/>
      <c r="E238" s="119" t="e">
        <f t="shared" ref="E238:X238" si="128">E$237/D$237-1</f>
        <v>#REF!</v>
      </c>
      <c r="F238" s="119" t="e">
        <f t="shared" si="128"/>
        <v>#REF!</v>
      </c>
      <c r="G238" s="119" t="e">
        <f t="shared" si="128"/>
        <v>#REF!</v>
      </c>
      <c r="H238" s="119" t="e">
        <f t="shared" si="128"/>
        <v>#REF!</v>
      </c>
      <c r="I238" s="119" t="e">
        <f t="shared" si="128"/>
        <v>#REF!</v>
      </c>
      <c r="J238" s="123" t="e">
        <f t="shared" ca="1" si="128"/>
        <v>#REF!</v>
      </c>
      <c r="K238" s="123" t="e">
        <f t="shared" ca="1" si="128"/>
        <v>#REF!</v>
      </c>
      <c r="L238" s="123" t="e">
        <f t="shared" ca="1" si="128"/>
        <v>#REF!</v>
      </c>
      <c r="M238" s="123" t="e">
        <f t="shared" ca="1" si="128"/>
        <v>#REF!</v>
      </c>
      <c r="N238" s="123" t="e">
        <f t="shared" ca="1" si="128"/>
        <v>#REF!</v>
      </c>
      <c r="O238" s="120" t="e">
        <f t="shared" ca="1" si="128"/>
        <v>#REF!</v>
      </c>
      <c r="P238" s="120" t="e">
        <f t="shared" ca="1" si="128"/>
        <v>#REF!</v>
      </c>
      <c r="Q238" s="120" t="e">
        <f t="shared" ca="1" si="128"/>
        <v>#REF!</v>
      </c>
      <c r="R238" s="120" t="e">
        <f t="shared" ca="1" si="128"/>
        <v>#REF!</v>
      </c>
      <c r="S238" s="120" t="e">
        <f t="shared" ca="1" si="128"/>
        <v>#REF!</v>
      </c>
      <c r="T238" s="120" t="e">
        <f t="shared" ca="1" si="128"/>
        <v>#REF!</v>
      </c>
      <c r="U238" s="120" t="e">
        <f t="shared" ca="1" si="128"/>
        <v>#REF!</v>
      </c>
      <c r="V238" s="120" t="e">
        <f t="shared" ca="1" si="128"/>
        <v>#REF!</v>
      </c>
      <c r="W238" s="120" t="e">
        <f t="shared" ca="1" si="128"/>
        <v>#REF!</v>
      </c>
      <c r="X238" s="120" t="e">
        <f t="shared" ca="1" si="128"/>
        <v>#REF!</v>
      </c>
      <c r="Y238" s="36"/>
    </row>
    <row r="239" spans="1:25" x14ac:dyDescent="0.2">
      <c r="A239" s="27" t="s">
        <v>121</v>
      </c>
      <c r="B239" s="231"/>
      <c r="D239" s="179" t="e">
        <f>#REF!</f>
        <v>#REF!</v>
      </c>
      <c r="E239" s="179" t="e">
        <f>#REF!</f>
        <v>#REF!</v>
      </c>
      <c r="F239" s="179" t="e">
        <f>#REF!</f>
        <v>#REF!</v>
      </c>
      <c r="G239" s="179" t="e">
        <f>#REF!</f>
        <v>#REF!</v>
      </c>
      <c r="H239" s="179" t="e">
        <f>#REF!</f>
        <v>#REF!</v>
      </c>
      <c r="I239" s="179" t="e">
        <f>#REF!</f>
        <v>#REF!</v>
      </c>
      <c r="J239" s="171" t="e">
        <f ca="1">IF(OR($F$1="Yes",$O$1="Yes"),OFFSET('Forecast Adjuster'!$A$42,0,J$282),#REF!)</f>
        <v>#REF!</v>
      </c>
      <c r="K239" s="171" t="e">
        <f ca="1">IF(OR($F$1="Yes",$O$1="Yes"),OFFSET('Forecast Adjuster'!$A$42,0,K$282),#REF!)</f>
        <v>#REF!</v>
      </c>
      <c r="L239" s="171" t="e">
        <f ca="1">IF(OR($F$1="Yes",$O$1="Yes"),OFFSET('Forecast Adjuster'!$A$42,0,L$282),#REF!)</f>
        <v>#REF!</v>
      </c>
      <c r="M239" s="171" t="e">
        <f ca="1">IF(OR($F$1="Yes",$O$1="Yes"),OFFSET('Forecast Adjuster'!$A$42,0,M$282),#REF!)</f>
        <v>#REF!</v>
      </c>
      <c r="N239" s="171" t="e">
        <f ca="1">IF(OR($F$1="Yes",$O$1="Yes"),OFFSET('Forecast Adjuster'!$A$42,0,N$282),#REF!)</f>
        <v>#REF!</v>
      </c>
      <c r="O239" s="172" t="e">
        <f t="shared" ref="O239:X239" ca="1" si="129">N$239*(1+O$240)</f>
        <v>#REF!</v>
      </c>
      <c r="P239" s="172" t="e">
        <f t="shared" ca="1" si="129"/>
        <v>#REF!</v>
      </c>
      <c r="Q239" s="172" t="e">
        <f t="shared" ca="1" si="129"/>
        <v>#REF!</v>
      </c>
      <c r="R239" s="172" t="e">
        <f t="shared" ca="1" si="129"/>
        <v>#REF!</v>
      </c>
      <c r="S239" s="172" t="e">
        <f t="shared" ca="1" si="129"/>
        <v>#REF!</v>
      </c>
      <c r="T239" s="172" t="e">
        <f t="shared" ca="1" si="129"/>
        <v>#REF!</v>
      </c>
      <c r="U239" s="172" t="e">
        <f t="shared" ca="1" si="129"/>
        <v>#REF!</v>
      </c>
      <c r="V239" s="172" t="e">
        <f t="shared" ca="1" si="129"/>
        <v>#REF!</v>
      </c>
      <c r="W239" s="172" t="e">
        <f t="shared" ca="1" si="129"/>
        <v>#REF!</v>
      </c>
      <c r="X239" s="172" t="e">
        <f t="shared" ca="1" si="129"/>
        <v>#REF!</v>
      </c>
      <c r="Y239" s="36"/>
    </row>
    <row r="240" spans="1:25" x14ac:dyDescent="0.2">
      <c r="A240" s="162" t="s">
        <v>137</v>
      </c>
      <c r="D240" s="119"/>
      <c r="E240" s="119" t="e">
        <f t="shared" ref="E240:N240" si="130">E$239/D$239-1</f>
        <v>#REF!</v>
      </c>
      <c r="F240" s="119" t="e">
        <f t="shared" si="130"/>
        <v>#REF!</v>
      </c>
      <c r="G240" s="119" t="e">
        <f t="shared" si="130"/>
        <v>#REF!</v>
      </c>
      <c r="H240" s="119" t="e">
        <f t="shared" si="130"/>
        <v>#REF!</v>
      </c>
      <c r="I240" s="119" t="e">
        <f t="shared" si="130"/>
        <v>#REF!</v>
      </c>
      <c r="J240" s="123" t="e">
        <f t="shared" ca="1" si="130"/>
        <v>#REF!</v>
      </c>
      <c r="K240" s="123" t="e">
        <f t="shared" ca="1" si="130"/>
        <v>#REF!</v>
      </c>
      <c r="L240" s="123" t="e">
        <f t="shared" ca="1" si="130"/>
        <v>#REF!</v>
      </c>
      <c r="M240" s="123" t="e">
        <f t="shared" ca="1" si="130"/>
        <v>#REF!</v>
      </c>
      <c r="N240" s="123" t="e">
        <f t="shared" ca="1" si="130"/>
        <v>#REF!</v>
      </c>
      <c r="O240" s="120" t="e">
        <f ca="1">IF(N$240&lt;OFFSET(Scenarios!$A$7,0,$C$1),MIN(N$240+OFFSET(Scenarios!$A$19,0,$C$1),OFFSET(Scenarios!$A$7,0,$C$1)),MAX(N$240-OFFSET(Scenarios!$A$19,0,$C$1),OFFSET(Scenarios!$A$7,0,$C$1)))</f>
        <v>#REF!</v>
      </c>
      <c r="P240" s="120" t="e">
        <f ca="1">IF(O$240&lt;OFFSET(Scenarios!$A$7,0,$C$1),MIN(O$240+OFFSET(Scenarios!$A$19,0,$C$1),OFFSET(Scenarios!$A$7,0,$C$1)),MAX(O$240-OFFSET(Scenarios!$A$19,0,$C$1),OFFSET(Scenarios!$A$7,0,$C$1)))</f>
        <v>#REF!</v>
      </c>
      <c r="Q240" s="120" t="e">
        <f ca="1">IF(P$240&lt;OFFSET(Scenarios!$A$7,0,$C$1),MIN(P$240+OFFSET(Scenarios!$A$19,0,$C$1),OFFSET(Scenarios!$A$7,0,$C$1)),MAX(P$240-OFFSET(Scenarios!$A$19,0,$C$1),OFFSET(Scenarios!$A$7,0,$C$1)))</f>
        <v>#REF!</v>
      </c>
      <c r="R240" s="120" t="e">
        <f ca="1">IF(Q$240&lt;OFFSET(Scenarios!$A$7,0,$C$1),MIN(Q$240+OFFSET(Scenarios!$A$19,0,$C$1),OFFSET(Scenarios!$A$7,0,$C$1)),MAX(Q$240-OFFSET(Scenarios!$A$19,0,$C$1),OFFSET(Scenarios!$A$7,0,$C$1)))</f>
        <v>#REF!</v>
      </c>
      <c r="S240" s="120" t="e">
        <f ca="1">IF(R$240&lt;OFFSET(Scenarios!$A$7,0,$C$1),MIN(R$240+OFFSET(Scenarios!$A$19,0,$C$1),OFFSET(Scenarios!$A$7,0,$C$1)),MAX(R$240-OFFSET(Scenarios!$A$19,0,$C$1),OFFSET(Scenarios!$A$7,0,$C$1)))</f>
        <v>#REF!</v>
      </c>
      <c r="T240" s="120" t="e">
        <f ca="1">IF(S$240&lt;OFFSET(Scenarios!$A$7,0,$C$1),MIN(S$240+OFFSET(Scenarios!$A$19,0,$C$1),OFFSET(Scenarios!$A$7,0,$C$1)),MAX(S$240-OFFSET(Scenarios!$A$19,0,$C$1),OFFSET(Scenarios!$A$7,0,$C$1)))</f>
        <v>#REF!</v>
      </c>
      <c r="U240" s="120" t="e">
        <f ca="1">IF(T$240&lt;OFFSET(Scenarios!$A$7,0,$C$1),MIN(T$240+OFFSET(Scenarios!$A$19,0,$C$1),OFFSET(Scenarios!$A$7,0,$C$1)),MAX(T$240-OFFSET(Scenarios!$A$19,0,$C$1),OFFSET(Scenarios!$A$7,0,$C$1)))</f>
        <v>#REF!</v>
      </c>
      <c r="V240" s="120" t="e">
        <f ca="1">IF(U$240&lt;OFFSET(Scenarios!$A$7,0,$C$1),MIN(U$240+OFFSET(Scenarios!$A$19,0,$C$1),OFFSET(Scenarios!$A$7,0,$C$1)),MAX(U$240-OFFSET(Scenarios!$A$19,0,$C$1),OFFSET(Scenarios!$A$7,0,$C$1)))</f>
        <v>#REF!</v>
      </c>
      <c r="W240" s="120" t="e">
        <f ca="1">IF(V$240&lt;OFFSET(Scenarios!$A$7,0,$C$1),MIN(V$240+OFFSET(Scenarios!$A$19,0,$C$1),OFFSET(Scenarios!$A$7,0,$C$1)),MAX(V$240-OFFSET(Scenarios!$A$19,0,$C$1),OFFSET(Scenarios!$A$7,0,$C$1)))</f>
        <v>#REF!</v>
      </c>
      <c r="X240" s="120" t="e">
        <f ca="1">IF(W$240&lt;OFFSET(Scenarios!$A$7,0,$C$1),MIN(W$240+OFFSET(Scenarios!$A$19,0,$C$1),OFFSET(Scenarios!$A$7,0,$C$1)),MAX(W$240-OFFSET(Scenarios!$A$19,0,$C$1),OFFSET(Scenarios!$A$7,0,$C$1)))</f>
        <v>#REF!</v>
      </c>
      <c r="Y240" s="36"/>
    </row>
    <row r="241" spans="1:25" x14ac:dyDescent="0.2">
      <c r="A241" s="27" t="s">
        <v>728</v>
      </c>
      <c r="B241" s="231"/>
      <c r="D241" s="119" t="e">
        <f>#REF!</f>
        <v>#REF!</v>
      </c>
      <c r="E241" s="119" t="e">
        <f>#REF!</f>
        <v>#REF!</v>
      </c>
      <c r="F241" s="119" t="e">
        <f>#REF!</f>
        <v>#REF!</v>
      </c>
      <c r="G241" s="119" t="e">
        <f>#REF!</f>
        <v>#REF!</v>
      </c>
      <c r="H241" s="119" t="e">
        <f>#REF!</f>
        <v>#REF!</v>
      </c>
      <c r="I241" s="119" t="e">
        <f>#REF!</f>
        <v>#REF!</v>
      </c>
      <c r="J241" s="123" t="e">
        <f ca="1">IF(OR($F$1="Yes",$O$1="Yes"),OFFSET('Forecast Adjuster'!$A$49,0,J$282),#REF!)</f>
        <v>#REF!</v>
      </c>
      <c r="K241" s="123" t="e">
        <f ca="1">IF(OR($F$1="Yes",$O$1="Yes"),OFFSET('Forecast Adjuster'!$A$49,0,K$282),#REF!)</f>
        <v>#REF!</v>
      </c>
      <c r="L241" s="123" t="e">
        <f ca="1">IF(OR($F$1="Yes",$O$1="Yes"),OFFSET('Forecast Adjuster'!$A$49,0,L$282),#REF!)</f>
        <v>#REF!</v>
      </c>
      <c r="M241" s="123" t="e">
        <f ca="1">IF(OR($F$1="Yes",$O$1="Yes"),OFFSET('Forecast Adjuster'!$A$49,0,M$282),#REF!)</f>
        <v>#REF!</v>
      </c>
      <c r="N241" s="123" t="e">
        <f ca="1">IF(OR($F$1="Yes",$O$1="Yes"),OFFSET('Forecast Adjuster'!$A$49,0,N$282),#REF!)</f>
        <v>#REF!</v>
      </c>
      <c r="O241" s="120" t="e">
        <f ca="1">IF(N$241&lt;OFFSET(Scenarios!$A$8,0,$C$1),MIN(N$241+OFFSET(Scenarios!$A$20,0,$C$1),OFFSET(Scenarios!$A$8,0,$C$1)),MAX(N$241-OFFSET(Scenarios!$A$20,0,$C$1),OFFSET(Scenarios!$A$8,0,$C$1)))</f>
        <v>#REF!</v>
      </c>
      <c r="P241" s="120" t="e">
        <f ca="1">IF(O$241&lt;OFFSET(Scenarios!$A$8,0,$C$1),MIN(O$241+OFFSET(Scenarios!$A$20,0,$C$1),OFFSET(Scenarios!$A$8,0,$C$1)),MAX(O$241-OFFSET(Scenarios!$A$20,0,$C$1),OFFSET(Scenarios!$A$8,0,$C$1)))</f>
        <v>#REF!</v>
      </c>
      <c r="Q241" s="120" t="e">
        <f ca="1">IF(P$241&lt;OFFSET(Scenarios!$A$8,0,$C$1),MIN(P$241+OFFSET(Scenarios!$A$20,0,$C$1),OFFSET(Scenarios!$A$8,0,$C$1)),MAX(P$241-OFFSET(Scenarios!$A$20,0,$C$1),OFFSET(Scenarios!$A$8,0,$C$1)))</f>
        <v>#REF!</v>
      </c>
      <c r="R241" s="120" t="e">
        <f ca="1">IF(Q$241&lt;OFFSET(Scenarios!$A$8,0,$C$1),MIN(Q$241+OFFSET(Scenarios!$A$20,0,$C$1),OFFSET(Scenarios!$A$8,0,$C$1)),MAX(Q$241-OFFSET(Scenarios!$A$20,0,$C$1),OFFSET(Scenarios!$A$8,0,$C$1)))</f>
        <v>#REF!</v>
      </c>
      <c r="S241" s="120" t="e">
        <f ca="1">IF(R$241&lt;OFFSET(Scenarios!$A$8,0,$C$1),MIN(R$241+OFFSET(Scenarios!$A$20,0,$C$1),OFFSET(Scenarios!$A$8,0,$C$1)),MAX(R$241-OFFSET(Scenarios!$A$20,0,$C$1),OFFSET(Scenarios!$A$8,0,$C$1)))</f>
        <v>#REF!</v>
      </c>
      <c r="T241" s="120" t="e">
        <f ca="1">IF(S$241&lt;OFFSET(Scenarios!$A$8,0,$C$1),MIN(S$241+OFFSET(Scenarios!$A$20,0,$C$1),OFFSET(Scenarios!$A$8,0,$C$1)),MAX(S$241-OFFSET(Scenarios!$A$20,0,$C$1),OFFSET(Scenarios!$A$8,0,$C$1)))</f>
        <v>#REF!</v>
      </c>
      <c r="U241" s="120" t="e">
        <f ca="1">IF(T$241&lt;OFFSET(Scenarios!$A$8,0,$C$1),MIN(T$241+OFFSET(Scenarios!$A$20,0,$C$1),OFFSET(Scenarios!$A$8,0,$C$1)),MAX(T$241-OFFSET(Scenarios!$A$20,0,$C$1),OFFSET(Scenarios!$A$8,0,$C$1)))</f>
        <v>#REF!</v>
      </c>
      <c r="V241" s="120" t="e">
        <f ca="1">IF(U$241&lt;OFFSET(Scenarios!$A$8,0,$C$1),MIN(U$241+OFFSET(Scenarios!$A$20,0,$C$1),OFFSET(Scenarios!$A$8,0,$C$1)),MAX(U$241-OFFSET(Scenarios!$A$20,0,$C$1),OFFSET(Scenarios!$A$8,0,$C$1)))</f>
        <v>#REF!</v>
      </c>
      <c r="W241" s="120" t="e">
        <f ca="1">IF(V$241&lt;OFFSET(Scenarios!$A$8,0,$C$1),MIN(V$241+OFFSET(Scenarios!$A$20,0,$C$1),OFFSET(Scenarios!$A$8,0,$C$1)),MAX(V$241-OFFSET(Scenarios!$A$20,0,$C$1),OFFSET(Scenarios!$A$8,0,$C$1)))</f>
        <v>#REF!</v>
      </c>
      <c r="X241" s="120" t="e">
        <f ca="1">IF(W$241&lt;OFFSET(Scenarios!$A$8,0,$C$1),MIN(W$241+OFFSET(Scenarios!$A$20,0,$C$1),OFFSET(Scenarios!$A$8,0,$C$1)),MAX(W$241-OFFSET(Scenarios!$A$20,0,$C$1),OFFSET(Scenarios!$A$8,0,$C$1)))</f>
        <v>#REF!</v>
      </c>
      <c r="Y241" s="36"/>
    </row>
    <row r="242" spans="1:25" x14ac:dyDescent="0.2">
      <c r="A242" s="269" t="s">
        <v>816</v>
      </c>
      <c r="B242" s="233"/>
      <c r="D242" s="271" t="e">
        <f>#REF!</f>
        <v>#REF!</v>
      </c>
      <c r="E242" s="271" t="e">
        <f>#REF!</f>
        <v>#REF!</v>
      </c>
      <c r="F242" s="271" t="e">
        <f>#REF!</f>
        <v>#REF!</v>
      </c>
      <c r="G242" s="271" t="e">
        <f>#REF!</f>
        <v>#REF!</v>
      </c>
      <c r="H242" s="271" t="e">
        <f>#REF!</f>
        <v>#REF!</v>
      </c>
      <c r="I242" s="271" t="e">
        <f>#REF!</f>
        <v>#REF!</v>
      </c>
      <c r="J242" s="125" t="e">
        <f ca="1">IF(OR($F$1="Yes",$O$1="Yes"),OFFSET('Forecast Adjuster'!$A$50,0,J$282),#REF!)</f>
        <v>#REF!</v>
      </c>
      <c r="K242" s="125" t="e">
        <f ca="1">IF(OR($F$1="Yes",$O$1="Yes"),OFFSET('Forecast Adjuster'!$A$50,0,K$282),#REF!)</f>
        <v>#REF!</v>
      </c>
      <c r="L242" s="125" t="e">
        <f ca="1">IF(OR($F$1="Yes",$O$1="Yes"),OFFSET('Forecast Adjuster'!$A$50,0,L$282),#REF!)</f>
        <v>#REF!</v>
      </c>
      <c r="M242" s="125" t="e">
        <f ca="1">IF(OR($F$1="Yes",$O$1="Yes"),OFFSET('Forecast Adjuster'!$A$50,0,M$282),#REF!)</f>
        <v>#REF!</v>
      </c>
      <c r="N242" s="125" t="e">
        <f ca="1">IF(OR($F$1="Yes",$O$1="Yes"),OFFSET('Forecast Adjuster'!$A$50,0,N$282),#REF!)</f>
        <v>#REF!</v>
      </c>
      <c r="O242" s="73" t="e">
        <f>#REF!/1000</f>
        <v>#REF!</v>
      </c>
      <c r="P242" s="73" t="e">
        <f>#REF!/1000</f>
        <v>#REF!</v>
      </c>
      <c r="Q242" s="73" t="e">
        <f>#REF!/1000</f>
        <v>#REF!</v>
      </c>
      <c r="R242" s="73" t="e">
        <f>#REF!/1000</f>
        <v>#REF!</v>
      </c>
      <c r="S242" s="73" t="e">
        <f>#REF!/1000</f>
        <v>#REF!</v>
      </c>
      <c r="T242" s="73" t="e">
        <f>#REF!/1000</f>
        <v>#REF!</v>
      </c>
      <c r="U242" s="73" t="e">
        <f>#REF!/1000</f>
        <v>#REF!</v>
      </c>
      <c r="V242" s="73" t="e">
        <f>#REF!/1000</f>
        <v>#REF!</v>
      </c>
      <c r="W242" s="73" t="e">
        <f>#REF!/1000</f>
        <v>#REF!</v>
      </c>
      <c r="X242" s="73" t="e">
        <f>#REF!/1000</f>
        <v>#REF!</v>
      </c>
      <c r="Y242" s="36"/>
    </row>
    <row r="243" spans="1:25" x14ac:dyDescent="0.2">
      <c r="A243" s="162" t="s">
        <v>137</v>
      </c>
      <c r="D243" s="119"/>
      <c r="E243" s="119" t="e">
        <f t="shared" ref="E243:X243" si="131">E$242/D$242-1</f>
        <v>#REF!</v>
      </c>
      <c r="F243" s="119" t="e">
        <f t="shared" si="131"/>
        <v>#REF!</v>
      </c>
      <c r="G243" s="119" t="e">
        <f t="shared" si="131"/>
        <v>#REF!</v>
      </c>
      <c r="H243" s="119" t="e">
        <f t="shared" si="131"/>
        <v>#REF!</v>
      </c>
      <c r="I243" s="119" t="e">
        <f t="shared" si="131"/>
        <v>#REF!</v>
      </c>
      <c r="J243" s="123" t="e">
        <f t="shared" ca="1" si="131"/>
        <v>#REF!</v>
      </c>
      <c r="K243" s="123" t="e">
        <f t="shared" ca="1" si="131"/>
        <v>#REF!</v>
      </c>
      <c r="L243" s="123" t="e">
        <f t="shared" ca="1" si="131"/>
        <v>#REF!</v>
      </c>
      <c r="M243" s="123" t="e">
        <f t="shared" ca="1" si="131"/>
        <v>#REF!</v>
      </c>
      <c r="N243" s="123" t="e">
        <f t="shared" ca="1" si="131"/>
        <v>#REF!</v>
      </c>
      <c r="O243" s="120" t="e">
        <f t="shared" ca="1" si="131"/>
        <v>#REF!</v>
      </c>
      <c r="P243" s="120" t="e">
        <f t="shared" si="131"/>
        <v>#REF!</v>
      </c>
      <c r="Q243" s="120" t="e">
        <f t="shared" si="131"/>
        <v>#REF!</v>
      </c>
      <c r="R243" s="120" t="e">
        <f t="shared" si="131"/>
        <v>#REF!</v>
      </c>
      <c r="S243" s="120" t="e">
        <f t="shared" si="131"/>
        <v>#REF!</v>
      </c>
      <c r="T243" s="120" t="e">
        <f t="shared" si="131"/>
        <v>#REF!</v>
      </c>
      <c r="U243" s="120" t="e">
        <f t="shared" si="131"/>
        <v>#REF!</v>
      </c>
      <c r="V243" s="120" t="e">
        <f t="shared" si="131"/>
        <v>#REF!</v>
      </c>
      <c r="W243" s="120" t="e">
        <f t="shared" si="131"/>
        <v>#REF!</v>
      </c>
      <c r="X243" s="120" t="e">
        <f t="shared" si="131"/>
        <v>#REF!</v>
      </c>
      <c r="Y243" s="36"/>
    </row>
    <row r="244" spans="1:25" x14ac:dyDescent="0.2">
      <c r="A244" s="27" t="s">
        <v>189</v>
      </c>
      <c r="B244" s="231"/>
      <c r="D244" s="69" t="e">
        <f>#REF!</f>
        <v>#REF!</v>
      </c>
      <c r="E244" s="69" t="e">
        <f>#REF!</f>
        <v>#REF!</v>
      </c>
      <c r="F244" s="69" t="e">
        <f>#REF!</f>
        <v>#REF!</v>
      </c>
      <c r="G244" s="69" t="e">
        <f>#REF!</f>
        <v>#REF!</v>
      </c>
      <c r="H244" s="69" t="e">
        <f>#REF!</f>
        <v>#REF!</v>
      </c>
      <c r="I244" s="69" t="e">
        <f>#REF!</f>
        <v>#REF!</v>
      </c>
      <c r="J244" s="125" t="e">
        <f ca="1">IF(OR($F$1="Yes",$O$1="Yes"),OFFSET('Forecast Adjuster'!$A$43,0,J$282),#REF!)</f>
        <v>#REF!</v>
      </c>
      <c r="K244" s="125" t="e">
        <f ca="1">IF(OR($F$1="Yes",$O$1="Yes"),OFFSET('Forecast Adjuster'!$A$43,0,K$282),#REF!)</f>
        <v>#REF!</v>
      </c>
      <c r="L244" s="125" t="e">
        <f ca="1">IF(OR($F$1="Yes",$O$1="Yes"),OFFSET('Forecast Adjuster'!$A$43,0,L$282),#REF!)</f>
        <v>#REF!</v>
      </c>
      <c r="M244" s="125" t="e">
        <f ca="1">IF(OR($F$1="Yes",$O$1="Yes"),OFFSET('Forecast Adjuster'!$A$43,0,M$282),#REF!)</f>
        <v>#REF!</v>
      </c>
      <c r="N244" s="125" t="e">
        <f ca="1">IF(OR($F$1="Yes",$O$1="Yes"),OFFSET('Forecast Adjuster'!$A$43,0,N$282),#REF!)</f>
        <v>#REF!</v>
      </c>
      <c r="O244" s="73" t="e">
        <f>#REF!/1000</f>
        <v>#REF!</v>
      </c>
      <c r="P244" s="73" t="e">
        <f>#REF!/1000</f>
        <v>#REF!</v>
      </c>
      <c r="Q244" s="73" t="e">
        <f>#REF!/1000</f>
        <v>#REF!</v>
      </c>
      <c r="R244" s="73" t="e">
        <f>#REF!/1000</f>
        <v>#REF!</v>
      </c>
      <c r="S244" s="73" t="e">
        <f>#REF!/1000</f>
        <v>#REF!</v>
      </c>
      <c r="T244" s="73" t="e">
        <f>#REF!/1000</f>
        <v>#REF!</v>
      </c>
      <c r="U244" s="73" t="e">
        <f>#REF!/1000</f>
        <v>#REF!</v>
      </c>
      <c r="V244" s="73" t="e">
        <f>#REF!/1000</f>
        <v>#REF!</v>
      </c>
      <c r="W244" s="73" t="e">
        <f>#REF!/1000</f>
        <v>#REF!</v>
      </c>
      <c r="X244" s="73" t="e">
        <f>#REF!/1000</f>
        <v>#REF!</v>
      </c>
      <c r="Y244" s="36"/>
    </row>
    <row r="245" spans="1:25" x14ac:dyDescent="0.2">
      <c r="A245" s="162" t="s">
        <v>137</v>
      </c>
      <c r="D245" s="119"/>
      <c r="E245" s="119" t="e">
        <f t="shared" ref="E245:X245" si="132">E$244/D$244-1</f>
        <v>#REF!</v>
      </c>
      <c r="F245" s="119" t="e">
        <f t="shared" si="132"/>
        <v>#REF!</v>
      </c>
      <c r="G245" s="119" t="e">
        <f t="shared" si="132"/>
        <v>#REF!</v>
      </c>
      <c r="H245" s="119" t="e">
        <f t="shared" si="132"/>
        <v>#REF!</v>
      </c>
      <c r="I245" s="119" t="e">
        <f t="shared" si="132"/>
        <v>#REF!</v>
      </c>
      <c r="J245" s="123" t="e">
        <f t="shared" ca="1" si="132"/>
        <v>#REF!</v>
      </c>
      <c r="K245" s="123" t="e">
        <f t="shared" ca="1" si="132"/>
        <v>#REF!</v>
      </c>
      <c r="L245" s="123" t="e">
        <f t="shared" ca="1" si="132"/>
        <v>#REF!</v>
      </c>
      <c r="M245" s="123" t="e">
        <f t="shared" ca="1" si="132"/>
        <v>#REF!</v>
      </c>
      <c r="N245" s="123" t="e">
        <f t="shared" ca="1" si="132"/>
        <v>#REF!</v>
      </c>
      <c r="O245" s="120" t="e">
        <f t="shared" ca="1" si="132"/>
        <v>#REF!</v>
      </c>
      <c r="P245" s="120" t="e">
        <f t="shared" si="132"/>
        <v>#REF!</v>
      </c>
      <c r="Q245" s="120" t="e">
        <f t="shared" si="132"/>
        <v>#REF!</v>
      </c>
      <c r="R245" s="120" t="e">
        <f t="shared" si="132"/>
        <v>#REF!</v>
      </c>
      <c r="S245" s="120" t="e">
        <f t="shared" si="132"/>
        <v>#REF!</v>
      </c>
      <c r="T245" s="120" t="e">
        <f t="shared" si="132"/>
        <v>#REF!</v>
      </c>
      <c r="U245" s="120" t="e">
        <f t="shared" si="132"/>
        <v>#REF!</v>
      </c>
      <c r="V245" s="120" t="e">
        <f t="shared" si="132"/>
        <v>#REF!</v>
      </c>
      <c r="W245" s="120" t="e">
        <f t="shared" si="132"/>
        <v>#REF!</v>
      </c>
      <c r="X245" s="120" t="e">
        <f t="shared" si="132"/>
        <v>#REF!</v>
      </c>
      <c r="Y245" s="36"/>
    </row>
    <row r="246" spans="1:25" x14ac:dyDescent="0.2">
      <c r="A246" s="27" t="s">
        <v>139</v>
      </c>
      <c r="D246" s="119" t="e">
        <f t="shared" ref="D246:X246" si="133">D$244/D$242</f>
        <v>#REF!</v>
      </c>
      <c r="E246" s="119" t="e">
        <f t="shared" si="133"/>
        <v>#REF!</v>
      </c>
      <c r="F246" s="119" t="e">
        <f t="shared" si="133"/>
        <v>#REF!</v>
      </c>
      <c r="G246" s="119" t="e">
        <f t="shared" si="133"/>
        <v>#REF!</v>
      </c>
      <c r="H246" s="119" t="e">
        <f t="shared" si="133"/>
        <v>#REF!</v>
      </c>
      <c r="I246" s="119" t="e">
        <f t="shared" si="133"/>
        <v>#REF!</v>
      </c>
      <c r="J246" s="123" t="e">
        <f t="shared" ca="1" si="133"/>
        <v>#REF!</v>
      </c>
      <c r="K246" s="123" t="e">
        <f t="shared" ca="1" si="133"/>
        <v>#REF!</v>
      </c>
      <c r="L246" s="123" t="e">
        <f t="shared" ca="1" si="133"/>
        <v>#REF!</v>
      </c>
      <c r="M246" s="123" t="e">
        <f t="shared" ca="1" si="133"/>
        <v>#REF!</v>
      </c>
      <c r="N246" s="123" t="e">
        <f t="shared" ca="1" si="133"/>
        <v>#REF!</v>
      </c>
      <c r="O246" s="120" t="e">
        <f t="shared" si="133"/>
        <v>#REF!</v>
      </c>
      <c r="P246" s="120" t="e">
        <f t="shared" si="133"/>
        <v>#REF!</v>
      </c>
      <c r="Q246" s="120" t="e">
        <f t="shared" si="133"/>
        <v>#REF!</v>
      </c>
      <c r="R246" s="120" t="e">
        <f t="shared" si="133"/>
        <v>#REF!</v>
      </c>
      <c r="S246" s="120" t="e">
        <f t="shared" si="133"/>
        <v>#REF!</v>
      </c>
      <c r="T246" s="120" t="e">
        <f t="shared" si="133"/>
        <v>#REF!</v>
      </c>
      <c r="U246" s="120" t="e">
        <f t="shared" si="133"/>
        <v>#REF!</v>
      </c>
      <c r="V246" s="120" t="e">
        <f t="shared" si="133"/>
        <v>#REF!</v>
      </c>
      <c r="W246" s="120" t="e">
        <f t="shared" si="133"/>
        <v>#REF!</v>
      </c>
      <c r="X246" s="120" t="e">
        <f t="shared" si="133"/>
        <v>#REF!</v>
      </c>
      <c r="Y246" s="36"/>
    </row>
    <row r="247" spans="1:25" x14ac:dyDescent="0.2">
      <c r="A247" s="27" t="s">
        <v>123</v>
      </c>
      <c r="B247" s="231"/>
      <c r="D247" s="119" t="e">
        <f>#REF!</f>
        <v>#REF!</v>
      </c>
      <c r="E247" s="119" t="e">
        <f>#REF!</f>
        <v>#REF!</v>
      </c>
      <c r="F247" s="119" t="e">
        <f>#REF!</f>
        <v>#REF!</v>
      </c>
      <c r="G247" s="119" t="e">
        <f>#REF!</f>
        <v>#REF!</v>
      </c>
      <c r="H247" s="119" t="e">
        <f>#REF!</f>
        <v>#REF!</v>
      </c>
      <c r="I247" s="119" t="e">
        <f>#REF!</f>
        <v>#REF!</v>
      </c>
      <c r="J247" s="335" t="e">
        <f ca="1">IF(OR($F$1="Yes",$O$1="Yes"),OFFSET('Forecast Adjuster'!$A$44,0,J$282),#REF!)</f>
        <v>#REF!</v>
      </c>
      <c r="K247" s="335" t="e">
        <f ca="1">IF(OR($F$1="Yes",$O$1="Yes"),OFFSET('Forecast Adjuster'!$A$44,0,K$282),#REF!)</f>
        <v>#REF!</v>
      </c>
      <c r="L247" s="335" t="e">
        <f ca="1">IF(OR($F$1="Yes",$O$1="Yes"),OFFSET('Forecast Adjuster'!$A$44,0,L$282),#REF!)</f>
        <v>#REF!</v>
      </c>
      <c r="M247" s="335" t="e">
        <f ca="1">IF(OR($F$1="Yes",$O$1="Yes"),OFFSET('Forecast Adjuster'!$A$44,0,M$282),#REF!)</f>
        <v>#REF!</v>
      </c>
      <c r="N247" s="335" t="e">
        <f ca="1">IF(OR($F$1="Yes",$O$1="Yes"),OFFSET('Forecast Adjuster'!$A$44,0,N$282),#REF!)</f>
        <v>#REF!</v>
      </c>
      <c r="O247" s="325" t="e">
        <f ca="1">IF(N$247&lt;OFFSET(Scenarios!$A$9,0,$C$1),MIN(N$247+OFFSET(Scenarios!$A$21,0,$C$1),OFFSET(Scenarios!$A$9,0,$C$1)),MAX(N$247-OFFSET(Scenarios!$A$21,0,$C$1),OFFSET(Scenarios!$A$9,0,$C$1)))</f>
        <v>#REF!</v>
      </c>
      <c r="P247" s="325" t="e">
        <f ca="1">IF(O$247&lt;OFFSET(Scenarios!$A$9,0,$C$1),MIN(O$247+OFFSET(Scenarios!$A$21,0,$C$1),OFFSET(Scenarios!$A$9,0,$C$1)),MAX(O$247-OFFSET(Scenarios!$A$21,0,$C$1),OFFSET(Scenarios!$A$9,0,$C$1)))</f>
        <v>#REF!</v>
      </c>
      <c r="Q247" s="325" t="e">
        <f ca="1">IF(P$247&lt;OFFSET(Scenarios!$A$9,0,$C$1),MIN(P$247+OFFSET(Scenarios!$A$21,0,$C$1),OFFSET(Scenarios!$A$9,0,$C$1)),MAX(P$247-OFFSET(Scenarios!$A$21,0,$C$1),OFFSET(Scenarios!$A$9,0,$C$1)))</f>
        <v>#REF!</v>
      </c>
      <c r="R247" s="325" t="e">
        <f ca="1">IF(Q$247&lt;OFFSET(Scenarios!$A$9,0,$C$1),MIN(Q$247+OFFSET(Scenarios!$A$21,0,$C$1),OFFSET(Scenarios!$A$9,0,$C$1)),MAX(Q$247-OFFSET(Scenarios!$A$21,0,$C$1),OFFSET(Scenarios!$A$9,0,$C$1)))</f>
        <v>#REF!</v>
      </c>
      <c r="S247" s="325" t="e">
        <f ca="1">IF(R$247&lt;OFFSET(Scenarios!$A$9,0,$C$1),MIN(R$247+OFFSET(Scenarios!$A$21,0,$C$1),OFFSET(Scenarios!$A$9,0,$C$1)),MAX(R$247-OFFSET(Scenarios!$A$21,0,$C$1),OFFSET(Scenarios!$A$9,0,$C$1)))</f>
        <v>#REF!</v>
      </c>
      <c r="T247" s="325" t="e">
        <f ca="1">IF(S$247&lt;OFFSET(Scenarios!$A$9,0,$C$1),MIN(S$247+OFFSET(Scenarios!$A$21,0,$C$1),OFFSET(Scenarios!$A$9,0,$C$1)),MAX(S$247-OFFSET(Scenarios!$A$21,0,$C$1),OFFSET(Scenarios!$A$9,0,$C$1)))</f>
        <v>#REF!</v>
      </c>
      <c r="U247" s="325" t="e">
        <f ca="1">IF(T$247&lt;OFFSET(Scenarios!$A$9,0,$C$1),MIN(T$247+OFFSET(Scenarios!$A$21,0,$C$1),OFFSET(Scenarios!$A$9,0,$C$1)),MAX(T$247-OFFSET(Scenarios!$A$21,0,$C$1),OFFSET(Scenarios!$A$9,0,$C$1)))</f>
        <v>#REF!</v>
      </c>
      <c r="V247" s="325" t="e">
        <f ca="1">IF(U$247&lt;OFFSET(Scenarios!$A$9,0,$C$1),MIN(U$247+OFFSET(Scenarios!$A$21,0,$C$1),OFFSET(Scenarios!$A$9,0,$C$1)),MAX(U$247-OFFSET(Scenarios!$A$21,0,$C$1),OFFSET(Scenarios!$A$9,0,$C$1)))</f>
        <v>#REF!</v>
      </c>
      <c r="W247" s="325" t="e">
        <f ca="1">IF(V$247&lt;OFFSET(Scenarios!$A$9,0,$C$1),MIN(V$247+OFFSET(Scenarios!$A$21,0,$C$1),OFFSET(Scenarios!$A$9,0,$C$1)),MAX(V$247-OFFSET(Scenarios!$A$21,0,$C$1),OFFSET(Scenarios!$A$9,0,$C$1)))</f>
        <v>#REF!</v>
      </c>
      <c r="X247" s="325" t="e">
        <f ca="1">IF(W$247&lt;OFFSET(Scenarios!$A$9,0,$C$1),MIN(W$247+OFFSET(Scenarios!$A$21,0,$C$1),OFFSET(Scenarios!$A$9,0,$C$1)),MAX(W$247-OFFSET(Scenarios!$A$21,0,$C$1),OFFSET(Scenarios!$A$9,0,$C$1)))</f>
        <v>#REF!</v>
      </c>
      <c r="Y247" s="36"/>
    </row>
    <row r="248" spans="1:25" x14ac:dyDescent="0.2">
      <c r="A248" s="27" t="s">
        <v>515</v>
      </c>
      <c r="D248" s="69" t="e">
        <f t="shared" ref="D248:X248" si="134">D$244*(1-D$247)</f>
        <v>#REF!</v>
      </c>
      <c r="E248" s="69" t="e">
        <f t="shared" si="134"/>
        <v>#REF!</v>
      </c>
      <c r="F248" s="69" t="e">
        <f t="shared" si="134"/>
        <v>#REF!</v>
      </c>
      <c r="G248" s="69" t="e">
        <f t="shared" si="134"/>
        <v>#REF!</v>
      </c>
      <c r="H248" s="69" t="e">
        <f t="shared" si="134"/>
        <v>#REF!</v>
      </c>
      <c r="I248" s="69" t="e">
        <f t="shared" si="134"/>
        <v>#REF!</v>
      </c>
      <c r="J248" s="125" t="e">
        <f t="shared" ca="1" si="134"/>
        <v>#REF!</v>
      </c>
      <c r="K248" s="125" t="e">
        <f t="shared" ca="1" si="134"/>
        <v>#REF!</v>
      </c>
      <c r="L248" s="125" t="e">
        <f t="shared" ca="1" si="134"/>
        <v>#REF!</v>
      </c>
      <c r="M248" s="125" t="e">
        <f t="shared" ca="1" si="134"/>
        <v>#REF!</v>
      </c>
      <c r="N248" s="125" t="e">
        <f t="shared" ca="1" si="134"/>
        <v>#REF!</v>
      </c>
      <c r="O248" s="73" t="e">
        <f t="shared" ca="1" si="134"/>
        <v>#REF!</v>
      </c>
      <c r="P248" s="73" t="e">
        <f t="shared" ca="1" si="134"/>
        <v>#REF!</v>
      </c>
      <c r="Q248" s="73" t="e">
        <f t="shared" ca="1" si="134"/>
        <v>#REF!</v>
      </c>
      <c r="R248" s="73" t="e">
        <f t="shared" ca="1" si="134"/>
        <v>#REF!</v>
      </c>
      <c r="S248" s="73" t="e">
        <f t="shared" ca="1" si="134"/>
        <v>#REF!</v>
      </c>
      <c r="T248" s="73" t="e">
        <f t="shared" ca="1" si="134"/>
        <v>#REF!</v>
      </c>
      <c r="U248" s="73" t="e">
        <f t="shared" ca="1" si="134"/>
        <v>#REF!</v>
      </c>
      <c r="V248" s="73" t="e">
        <f t="shared" ca="1" si="134"/>
        <v>#REF!</v>
      </c>
      <c r="W248" s="73" t="e">
        <f t="shared" ca="1" si="134"/>
        <v>#REF!</v>
      </c>
      <c r="X248" s="73" t="e">
        <f t="shared" ca="1" si="134"/>
        <v>#REF!</v>
      </c>
      <c r="Y248" s="36"/>
    </row>
    <row r="249" spans="1:25" x14ac:dyDescent="0.2">
      <c r="A249" s="162" t="s">
        <v>137</v>
      </c>
      <c r="D249" s="119"/>
      <c r="E249" s="119" t="e">
        <f t="shared" ref="E249:X249" si="135">E$248/D$248-1</f>
        <v>#REF!</v>
      </c>
      <c r="F249" s="119" t="e">
        <f t="shared" si="135"/>
        <v>#REF!</v>
      </c>
      <c r="G249" s="119" t="e">
        <f t="shared" si="135"/>
        <v>#REF!</v>
      </c>
      <c r="H249" s="119" t="e">
        <f t="shared" si="135"/>
        <v>#REF!</v>
      </c>
      <c r="I249" s="119" t="e">
        <f t="shared" si="135"/>
        <v>#REF!</v>
      </c>
      <c r="J249" s="123" t="e">
        <f t="shared" ca="1" si="135"/>
        <v>#REF!</v>
      </c>
      <c r="K249" s="123" t="e">
        <f t="shared" ca="1" si="135"/>
        <v>#REF!</v>
      </c>
      <c r="L249" s="123" t="e">
        <f t="shared" ca="1" si="135"/>
        <v>#REF!</v>
      </c>
      <c r="M249" s="123" t="e">
        <f t="shared" ca="1" si="135"/>
        <v>#REF!</v>
      </c>
      <c r="N249" s="123" t="e">
        <f t="shared" ca="1" si="135"/>
        <v>#REF!</v>
      </c>
      <c r="O249" s="120" t="e">
        <f t="shared" ca="1" si="135"/>
        <v>#REF!</v>
      </c>
      <c r="P249" s="120" t="e">
        <f t="shared" ca="1" si="135"/>
        <v>#REF!</v>
      </c>
      <c r="Q249" s="120" t="e">
        <f t="shared" ca="1" si="135"/>
        <v>#REF!</v>
      </c>
      <c r="R249" s="120" t="e">
        <f t="shared" ca="1" si="135"/>
        <v>#REF!</v>
      </c>
      <c r="S249" s="120" t="e">
        <f t="shared" ca="1" si="135"/>
        <v>#REF!</v>
      </c>
      <c r="T249" s="120" t="e">
        <f t="shared" ca="1" si="135"/>
        <v>#REF!</v>
      </c>
      <c r="U249" s="120" t="e">
        <f t="shared" ca="1" si="135"/>
        <v>#REF!</v>
      </c>
      <c r="V249" s="120" t="e">
        <f t="shared" ca="1" si="135"/>
        <v>#REF!</v>
      </c>
      <c r="W249" s="120" t="e">
        <f t="shared" ca="1" si="135"/>
        <v>#REF!</v>
      </c>
      <c r="X249" s="120" t="e">
        <f t="shared" ca="1" si="135"/>
        <v>#REF!</v>
      </c>
      <c r="Y249" s="36"/>
    </row>
    <row r="250" spans="1:25" x14ac:dyDescent="0.2">
      <c r="A250" s="27" t="s">
        <v>124</v>
      </c>
      <c r="B250" s="231"/>
      <c r="D250" s="406" t="e">
        <f>#REF!</f>
        <v>#REF!</v>
      </c>
      <c r="E250" s="406" t="e">
        <f>#REF!</f>
        <v>#REF!</v>
      </c>
      <c r="F250" s="406" t="e">
        <f>#REF!</f>
        <v>#REF!</v>
      </c>
      <c r="G250" s="406" t="e">
        <f>#REF!</f>
        <v>#REF!</v>
      </c>
      <c r="H250" s="406" t="e">
        <f>#REF!</f>
        <v>#REF!</v>
      </c>
      <c r="I250" s="406" t="e">
        <f>#REF!</f>
        <v>#REF!</v>
      </c>
      <c r="J250" s="294" t="e">
        <f ca="1">IF(OR($F$1="Yes",$O$1="Yes"),OFFSET('Forecast Adjuster'!$A$45,0,J$282),#REF!)</f>
        <v>#REF!</v>
      </c>
      <c r="K250" s="294" t="e">
        <f ca="1">IF(OR($F$1="Yes",$O$1="Yes"),OFFSET('Forecast Adjuster'!$A$45,0,K$282),#REF!)</f>
        <v>#REF!</v>
      </c>
      <c r="L250" s="294" t="e">
        <f ca="1">IF(OR($F$1="Yes",$O$1="Yes"),OFFSET('Forecast Adjuster'!$A$45,0,L$282),#REF!)</f>
        <v>#REF!</v>
      </c>
      <c r="M250" s="294" t="e">
        <f ca="1">IF(OR($F$1="Yes",$O$1="Yes"),OFFSET('Forecast Adjuster'!$A$45,0,M$282),#REF!)</f>
        <v>#REF!</v>
      </c>
      <c r="N250" s="294" t="e">
        <f ca="1">IF(OR($F$1="Yes",$O$1="Yes"),OFFSET('Forecast Adjuster'!$A$45,0,N$282),#REF!)</f>
        <v>#REF!</v>
      </c>
      <c r="O250" s="407" t="e">
        <f ca="1">IF(N$250&lt;OFFSET(Scenarios!$A$10,0,$C$1),MIN(N$250+OFFSET(Scenarios!$A$22,0,$C$1),OFFSET(Scenarios!$A$10,0,$C$1)),MAX(N$250-OFFSET(Scenarios!$A$22,0,$C$1),OFFSET(Scenarios!$A$10,0,$C$1)))</f>
        <v>#REF!</v>
      </c>
      <c r="P250" s="407" t="e">
        <f ca="1">IF(O$250&lt;OFFSET(Scenarios!$A$10,0,$C$1),MIN(O$250+OFFSET(Scenarios!$A$22,0,$C$1),OFFSET(Scenarios!$A$10,0,$C$1)),MAX(O$250-OFFSET(Scenarios!$A$22,0,$C$1),OFFSET(Scenarios!$A$10,0,$C$1)))</f>
        <v>#REF!</v>
      </c>
      <c r="Q250" s="407" t="e">
        <f ca="1">IF(P$250&lt;OFFSET(Scenarios!$A$10,0,$C$1),MIN(P$250+OFFSET(Scenarios!$A$22,0,$C$1),OFFSET(Scenarios!$A$10,0,$C$1)),MAX(P$250-OFFSET(Scenarios!$A$22,0,$C$1),OFFSET(Scenarios!$A$10,0,$C$1)))</f>
        <v>#REF!</v>
      </c>
      <c r="R250" s="407" t="e">
        <f ca="1">IF(Q$250&lt;OFFSET(Scenarios!$A$10,0,$C$1),MIN(Q$250+OFFSET(Scenarios!$A$22,0,$C$1),OFFSET(Scenarios!$A$10,0,$C$1)),MAX(Q$250-OFFSET(Scenarios!$A$22,0,$C$1),OFFSET(Scenarios!$A$10,0,$C$1)))</f>
        <v>#REF!</v>
      </c>
      <c r="S250" s="407" t="e">
        <f ca="1">IF(R$250&lt;OFFSET(Scenarios!$A$10,0,$C$1),MIN(R$250+OFFSET(Scenarios!$A$22,0,$C$1),OFFSET(Scenarios!$A$10,0,$C$1)),MAX(R$250-OFFSET(Scenarios!$A$22,0,$C$1),OFFSET(Scenarios!$A$10,0,$C$1)))</f>
        <v>#REF!</v>
      </c>
      <c r="T250" s="407" t="e">
        <f ca="1">IF(S$250&lt;OFFSET(Scenarios!$A$10,0,$C$1),MIN(S$250+OFFSET(Scenarios!$A$22,0,$C$1),OFFSET(Scenarios!$A$10,0,$C$1)),MAX(S$250-OFFSET(Scenarios!$A$22,0,$C$1),OFFSET(Scenarios!$A$10,0,$C$1)))</f>
        <v>#REF!</v>
      </c>
      <c r="U250" s="407" t="e">
        <f ca="1">IF(T$250&lt;OFFSET(Scenarios!$A$10,0,$C$1),MIN(T$250+OFFSET(Scenarios!$A$22,0,$C$1),OFFSET(Scenarios!$A$10,0,$C$1)),MAX(T$250-OFFSET(Scenarios!$A$22,0,$C$1),OFFSET(Scenarios!$A$10,0,$C$1)))</f>
        <v>#REF!</v>
      </c>
      <c r="V250" s="407" t="e">
        <f ca="1">IF(U$250&lt;OFFSET(Scenarios!$A$10,0,$C$1),MIN(U$250+OFFSET(Scenarios!$A$22,0,$C$1),OFFSET(Scenarios!$A$10,0,$C$1)),MAX(U$250-OFFSET(Scenarios!$A$22,0,$C$1),OFFSET(Scenarios!$A$10,0,$C$1)))</f>
        <v>#REF!</v>
      </c>
      <c r="W250" s="407" t="e">
        <f ca="1">IF(V$250&lt;OFFSET(Scenarios!$A$10,0,$C$1),MIN(V$250+OFFSET(Scenarios!$A$22,0,$C$1),OFFSET(Scenarios!$A$10,0,$C$1)),MAX(V$250-OFFSET(Scenarios!$A$22,0,$C$1),OFFSET(Scenarios!$A$10,0,$C$1)))</f>
        <v>#REF!</v>
      </c>
      <c r="X250" s="407" t="e">
        <f ca="1">IF(W$250&lt;OFFSET(Scenarios!$A$10,0,$C$1),MIN(W$250+OFFSET(Scenarios!$A$22,0,$C$1),OFFSET(Scenarios!$A$10,0,$C$1)),MAX(W$250-OFFSET(Scenarios!$A$22,0,$C$1),OFFSET(Scenarios!$A$10,0,$C$1)))</f>
        <v>#REF!</v>
      </c>
      <c r="Y250" s="36"/>
    </row>
    <row r="251" spans="1:25" x14ac:dyDescent="0.2">
      <c r="A251" s="27" t="s">
        <v>193</v>
      </c>
      <c r="B251" s="231"/>
      <c r="D251" s="408" t="e">
        <f>#REF!</f>
        <v>#REF!</v>
      </c>
      <c r="E251" s="408" t="e">
        <f>#REF!</f>
        <v>#REF!</v>
      </c>
      <c r="F251" s="408" t="e">
        <f>#REF!</f>
        <v>#REF!</v>
      </c>
      <c r="G251" s="408" t="e">
        <f>#REF!</f>
        <v>#REF!</v>
      </c>
      <c r="H251" s="408" t="e">
        <f>#REF!</f>
        <v>#REF!</v>
      </c>
      <c r="I251" s="408" t="e">
        <f>#REF!</f>
        <v>#REF!</v>
      </c>
      <c r="J251" s="335" t="e">
        <f ca="1">IF(OR($F$1="Yes",$O$1="Yes"),OFFSET('Forecast Adjuster'!$A$47,0,J$282),#REF!)</f>
        <v>#REF!</v>
      </c>
      <c r="K251" s="335" t="e">
        <f ca="1">IF(OR($F$1="Yes",$O$1="Yes"),OFFSET('Forecast Adjuster'!$A$47,0,K$282),#REF!)</f>
        <v>#REF!</v>
      </c>
      <c r="L251" s="335" t="e">
        <f ca="1">IF(OR($F$1="Yes",$O$1="Yes"),OFFSET('Forecast Adjuster'!$A$47,0,L$282),#REF!)</f>
        <v>#REF!</v>
      </c>
      <c r="M251" s="335" t="e">
        <f ca="1">IF(OR($F$1="Yes",$O$1="Yes"),OFFSET('Forecast Adjuster'!$A$47,0,M$282),#REF!)</f>
        <v>#REF!</v>
      </c>
      <c r="N251" s="335" t="e">
        <f ca="1">IF(OR($F$1="Yes",$O$1="Yes"),OFFSET('Forecast Adjuster'!$A$47,0,N$282),#REF!)</f>
        <v>#REF!</v>
      </c>
      <c r="O251" s="325" t="e">
        <f t="shared" ref="O251:X251" ca="1" si="136">(1+O$240)*(1+O$252)-1</f>
        <v>#REF!</v>
      </c>
      <c r="P251" s="325" t="e">
        <f t="shared" ca="1" si="136"/>
        <v>#REF!</v>
      </c>
      <c r="Q251" s="325" t="e">
        <f t="shared" ca="1" si="136"/>
        <v>#REF!</v>
      </c>
      <c r="R251" s="325" t="e">
        <f t="shared" ca="1" si="136"/>
        <v>#REF!</v>
      </c>
      <c r="S251" s="325" t="e">
        <f t="shared" ca="1" si="136"/>
        <v>#REF!</v>
      </c>
      <c r="T251" s="325" t="e">
        <f t="shared" ca="1" si="136"/>
        <v>#REF!</v>
      </c>
      <c r="U251" s="325" t="e">
        <f t="shared" ca="1" si="136"/>
        <v>#REF!</v>
      </c>
      <c r="V251" s="325" t="e">
        <f t="shared" ca="1" si="136"/>
        <v>#REF!</v>
      </c>
      <c r="W251" s="325" t="e">
        <f t="shared" ca="1" si="136"/>
        <v>#REF!</v>
      </c>
      <c r="X251" s="325" t="e">
        <f t="shared" ca="1" si="136"/>
        <v>#REF!</v>
      </c>
      <c r="Y251" s="36"/>
    </row>
    <row r="252" spans="1:25" x14ac:dyDescent="0.2">
      <c r="A252" s="27" t="s">
        <v>279</v>
      </c>
      <c r="B252" s="231"/>
      <c r="D252" s="408" t="e">
        <f>#REF!</f>
        <v>#REF!</v>
      </c>
      <c r="E252" s="408" t="e">
        <f>#REF!</f>
        <v>#REF!</v>
      </c>
      <c r="F252" s="408" t="e">
        <f>#REF!</f>
        <v>#REF!</v>
      </c>
      <c r="G252" s="408" t="e">
        <f>#REF!</f>
        <v>#REF!</v>
      </c>
      <c r="H252" s="408" t="e">
        <f>#REF!</f>
        <v>#REF!</v>
      </c>
      <c r="I252" s="408" t="e">
        <f>#REF!</f>
        <v>#REF!</v>
      </c>
      <c r="J252" s="335" t="e">
        <f ca="1">IF(OR($F$1="Yes",$O$1="Yes"),OFFSET('Forecast Adjuster'!$A$46,0,J$282),#REF!)</f>
        <v>#REF!</v>
      </c>
      <c r="K252" s="335" t="e">
        <f ca="1">IF(OR($F$1="Yes",$O$1="Yes"),OFFSET('Forecast Adjuster'!$A$46,0,K$282),#REF!)</f>
        <v>#REF!</v>
      </c>
      <c r="L252" s="335" t="e">
        <f ca="1">IF(OR($F$1="Yes",$O$1="Yes"),OFFSET('Forecast Adjuster'!$A$46,0,L$282),#REF!)</f>
        <v>#REF!</v>
      </c>
      <c r="M252" s="335" t="e">
        <f ca="1">IF(OR($F$1="Yes",$O$1="Yes"),OFFSET('Forecast Adjuster'!$A$46,0,M$282),#REF!)</f>
        <v>#REF!</v>
      </c>
      <c r="N252" s="335" t="e">
        <f ca="1">IF(OR($F$1="Yes",$O$1="Yes"),OFFSET('Forecast Adjuster'!$A$46,0,N$282),#REF!)</f>
        <v>#REF!</v>
      </c>
      <c r="O252" s="325" t="e">
        <f ca="1">IF(OFFSET(Scenarios!$A$14,0,$C$1)&gt;=O$4,(O$235/N$235)/((O$244*(1-O$247)*O$250)/(N$244*(1-N$247)*N$250))-1,OFFSET(Scenarios!$A$6,0,$C$1))</f>
        <v>#N/A</v>
      </c>
      <c r="P252" s="325" t="e">
        <f ca="1">IF(OFFSET(Scenarios!$A$14,0,$C$1)&gt;=P$4,(P$235/O$235)/((P$244*(1-P$247)*P$250)/(O$244*(1-O$247)*O$250))-1,OFFSET(Scenarios!$A$6,0,$C$1))</f>
        <v>#N/A</v>
      </c>
      <c r="Q252" s="325" t="e">
        <f ca="1">IF(OFFSET(Scenarios!$A$14,0,$C$1)&gt;=Q$4,(Q$235/P$235)/((Q$244*(1-Q$247)*Q$250)/(P$244*(1-P$247)*P$250))-1,OFFSET(Scenarios!$A$6,0,$C$1))</f>
        <v>#N/A</v>
      </c>
      <c r="R252" s="325" t="e">
        <f ca="1">IF(OFFSET(Scenarios!$A$14,0,$C$1)&gt;=R$4,(R$235/Q$235)/((R$244*(1-R$247)*R$250)/(Q$244*(1-Q$247)*Q$250))-1,OFFSET(Scenarios!$A$6,0,$C$1))</f>
        <v>#N/A</v>
      </c>
      <c r="S252" s="325" t="e">
        <f ca="1">IF(OFFSET(Scenarios!$A$14,0,$C$1)&gt;=S$4,(S$235/R$235)/((S$244*(1-S$247)*S$250)/(R$244*(1-R$247)*R$250))-1,OFFSET(Scenarios!$A$6,0,$C$1))</f>
        <v>#N/A</v>
      </c>
      <c r="T252" s="325" t="e">
        <f ca="1">IF(OFFSET(Scenarios!$A$14,0,$C$1)&gt;=T$4,(T$235/S$235)/((T$244*(1-T$247)*T$250)/(S$244*(1-S$247)*S$250))-1,OFFSET(Scenarios!$A$6,0,$C$1))</f>
        <v>#N/A</v>
      </c>
      <c r="U252" s="325" t="e">
        <f ca="1">IF(OFFSET(Scenarios!$A$14,0,$C$1)&gt;=U$4,(U$235/T$235)/((U$244*(1-U$247)*U$250)/(T$244*(1-T$247)*T$250))-1,OFFSET(Scenarios!$A$6,0,$C$1))</f>
        <v>#N/A</v>
      </c>
      <c r="V252" s="325" t="e">
        <f ca="1">IF(OFFSET(Scenarios!$A$14,0,$C$1)&gt;=V$4,(V$235/U$235)/((V$244*(1-V$247)*V$250)/(U$244*(1-U$247)*U$250))-1,OFFSET(Scenarios!$A$6,0,$C$1))</f>
        <v>#N/A</v>
      </c>
      <c r="W252" s="325" t="e">
        <f ca="1">IF(OFFSET(Scenarios!$A$14,0,$C$1)&gt;=W$4,(W$235/V$235)/((W$244*(1-W$247)*W$250)/(V$244*(1-V$247)*V$250))-1,OFFSET(Scenarios!$A$6,0,$C$1))</f>
        <v>#N/A</v>
      </c>
      <c r="X252" s="325" t="e">
        <f ca="1">IF(OFFSET(Scenarios!$A$14,0,$C$1)&gt;=X$4,(X$235/W$235)/((X$244*(1-X$247)*X$250)/(W$244*(1-W$247)*W$250))-1,OFFSET(Scenarios!$A$6,0,$C$1))</f>
        <v>#N/A</v>
      </c>
      <c r="Y252" s="36"/>
    </row>
    <row r="253" spans="1:25" x14ac:dyDescent="0.2">
      <c r="D253" s="72"/>
      <c r="E253" s="72"/>
      <c r="F253" s="72"/>
      <c r="K253" s="127"/>
      <c r="Y253" s="36"/>
    </row>
    <row r="254" spans="1:25" ht="15.75" x14ac:dyDescent="0.25">
      <c r="A254" s="153" t="s">
        <v>280</v>
      </c>
      <c r="D254" s="72"/>
      <c r="E254" s="72"/>
      <c r="F254" s="72"/>
      <c r="K254" s="127"/>
      <c r="Y254" s="36"/>
    </row>
    <row r="255" spans="1:25" x14ac:dyDescent="0.2">
      <c r="A255" s="27" t="s">
        <v>250</v>
      </c>
      <c r="D255" s="72"/>
      <c r="E255" s="72"/>
      <c r="F255" s="72"/>
      <c r="K255" s="127"/>
      <c r="Y255" s="36"/>
    </row>
    <row r="256" spans="1:25" x14ac:dyDescent="0.2">
      <c r="A256" s="28" t="s">
        <v>175</v>
      </c>
      <c r="D256" s="72"/>
      <c r="E256" s="70">
        <f>Popn!E$199</f>
        <v>2.1245087429515364E-2</v>
      </c>
      <c r="F256" s="70">
        <f>Popn!F$199</f>
        <v>2.7347090537274577E-2</v>
      </c>
      <c r="G256" s="70">
        <f>Popn!G$199</f>
        <v>2.9948788476502397E-2</v>
      </c>
      <c r="H256" s="70">
        <f>Popn!H$199</f>
        <v>3.1379576920373964E-2</v>
      </c>
      <c r="I256" s="70">
        <f>Popn!I$199</f>
        <v>4.1157030424857854E-2</v>
      </c>
      <c r="J256" s="128">
        <f>Popn!J$199</f>
        <v>3.8172060604077407E-2</v>
      </c>
      <c r="K256" s="128">
        <f>Popn!K$199</f>
        <v>3.5208270949236509E-2</v>
      </c>
      <c r="L256" s="128">
        <f>Popn!L$199</f>
        <v>3.5122174012331531E-2</v>
      </c>
      <c r="M256" s="128">
        <f>Popn!M$199</f>
        <v>3.2930344746440854E-2</v>
      </c>
      <c r="N256" s="128">
        <f>Popn!N$199</f>
        <v>3.2435818940353967E-2</v>
      </c>
      <c r="O256" s="145">
        <f>Popn!O$199</f>
        <v>3.1665034685349314E-2</v>
      </c>
      <c r="P256" s="145">
        <f>Popn!P$199</f>
        <v>3.2337410600895566E-2</v>
      </c>
      <c r="Q256" s="145">
        <f>Popn!Q$199</f>
        <v>3.2295659380503494E-2</v>
      </c>
      <c r="R256" s="145">
        <f>Popn!R$199</f>
        <v>3.3141824932888531E-2</v>
      </c>
      <c r="S256" s="145">
        <f>Popn!S$199</f>
        <v>3.2722195240407981E-2</v>
      </c>
      <c r="T256" s="145">
        <f>Popn!T$199</f>
        <v>3.1873493621774163E-2</v>
      </c>
      <c r="U256" s="145">
        <f>Popn!U$199</f>
        <v>3.3201923296037217E-2</v>
      </c>
      <c r="V256" s="145">
        <f>Popn!V$199</f>
        <v>3.2300397000441183E-2</v>
      </c>
      <c r="W256" s="145">
        <f>Popn!W$199</f>
        <v>3.3041694708842106E-2</v>
      </c>
      <c r="X256" s="145">
        <f>Popn!X$199</f>
        <v>3.2295092138735493E-2</v>
      </c>
      <c r="Y256" s="36"/>
    </row>
    <row r="257" spans="1:25" x14ac:dyDescent="0.2">
      <c r="A257" s="28" t="s">
        <v>221</v>
      </c>
      <c r="D257" s="72"/>
      <c r="E257" s="70" t="e">
        <f t="shared" ref="E257:X257" si="137">E$240</f>
        <v>#REF!</v>
      </c>
      <c r="F257" s="70" t="e">
        <f t="shared" si="137"/>
        <v>#REF!</v>
      </c>
      <c r="G257" s="70" t="e">
        <f t="shared" si="137"/>
        <v>#REF!</v>
      </c>
      <c r="H257" s="70" t="e">
        <f t="shared" si="137"/>
        <v>#REF!</v>
      </c>
      <c r="I257" s="70" t="e">
        <f t="shared" si="137"/>
        <v>#REF!</v>
      </c>
      <c r="J257" s="128" t="e">
        <f t="shared" ca="1" si="137"/>
        <v>#REF!</v>
      </c>
      <c r="K257" s="128" t="e">
        <f t="shared" ca="1" si="137"/>
        <v>#REF!</v>
      </c>
      <c r="L257" s="128" t="e">
        <f t="shared" ca="1" si="137"/>
        <v>#REF!</v>
      </c>
      <c r="M257" s="128" t="e">
        <f t="shared" ca="1" si="137"/>
        <v>#REF!</v>
      </c>
      <c r="N257" s="128" t="e">
        <f t="shared" ca="1" si="137"/>
        <v>#REF!</v>
      </c>
      <c r="O257" s="145" t="e">
        <f t="shared" ca="1" si="137"/>
        <v>#REF!</v>
      </c>
      <c r="P257" s="145" t="e">
        <f t="shared" ca="1" si="137"/>
        <v>#REF!</v>
      </c>
      <c r="Q257" s="145" t="e">
        <f t="shared" ca="1" si="137"/>
        <v>#REF!</v>
      </c>
      <c r="R257" s="145" t="e">
        <f t="shared" ca="1" si="137"/>
        <v>#REF!</v>
      </c>
      <c r="S257" s="145" t="e">
        <f t="shared" ca="1" si="137"/>
        <v>#REF!</v>
      </c>
      <c r="T257" s="145" t="e">
        <f t="shared" ca="1" si="137"/>
        <v>#REF!</v>
      </c>
      <c r="U257" s="145" t="e">
        <f t="shared" ca="1" si="137"/>
        <v>#REF!</v>
      </c>
      <c r="V257" s="145" t="e">
        <f t="shared" ca="1" si="137"/>
        <v>#REF!</v>
      </c>
      <c r="W257" s="145" t="e">
        <f t="shared" ca="1" si="137"/>
        <v>#REF!</v>
      </c>
      <c r="X257" s="145" t="e">
        <f t="shared" ca="1" si="137"/>
        <v>#REF!</v>
      </c>
      <c r="Y257" s="36"/>
    </row>
    <row r="258" spans="1:25" x14ac:dyDescent="0.2">
      <c r="A258" s="28" t="s">
        <v>176</v>
      </c>
      <c r="D258" s="72"/>
      <c r="E258" s="221" t="e">
        <f t="shared" ref="E258:X258" si="138">E$75/D$75 -(1+E$256+E$257)</f>
        <v>#REF!</v>
      </c>
      <c r="F258" s="221" t="e">
        <f t="shared" si="138"/>
        <v>#REF!</v>
      </c>
      <c r="G258" s="221" t="e">
        <f t="shared" si="138"/>
        <v>#REF!</v>
      </c>
      <c r="H258" s="221" t="e">
        <f t="shared" si="138"/>
        <v>#REF!</v>
      </c>
      <c r="I258" s="221" t="e">
        <f t="shared" si="138"/>
        <v>#REF!</v>
      </c>
      <c r="J258" s="146" t="e">
        <f t="shared" ca="1" si="138"/>
        <v>#REF!</v>
      </c>
      <c r="K258" s="146" t="e">
        <f t="shared" ca="1" si="138"/>
        <v>#REF!</v>
      </c>
      <c r="L258" s="146" t="e">
        <f t="shared" ca="1" si="138"/>
        <v>#REF!</v>
      </c>
      <c r="M258" s="146" t="e">
        <f t="shared" ca="1" si="138"/>
        <v>#REF!</v>
      </c>
      <c r="N258" s="146" t="e">
        <f t="shared" ca="1" si="138"/>
        <v>#REF!</v>
      </c>
      <c r="O258" s="147" t="e">
        <f t="shared" ca="1" si="138"/>
        <v>#REF!</v>
      </c>
      <c r="P258" s="147" t="e">
        <f t="shared" ca="1" si="138"/>
        <v>#REF!</v>
      </c>
      <c r="Q258" s="147" t="e">
        <f t="shared" ca="1" si="138"/>
        <v>#REF!</v>
      </c>
      <c r="R258" s="147" t="e">
        <f t="shared" ca="1" si="138"/>
        <v>#REF!</v>
      </c>
      <c r="S258" s="147" t="e">
        <f t="shared" ca="1" si="138"/>
        <v>#REF!</v>
      </c>
      <c r="T258" s="147" t="e">
        <f t="shared" ca="1" si="138"/>
        <v>#REF!</v>
      </c>
      <c r="U258" s="147" t="e">
        <f t="shared" ca="1" si="138"/>
        <v>#REF!</v>
      </c>
      <c r="V258" s="147" t="e">
        <f t="shared" ca="1" si="138"/>
        <v>#REF!</v>
      </c>
      <c r="W258" s="147" t="e">
        <f t="shared" ca="1" si="138"/>
        <v>#REF!</v>
      </c>
      <c r="X258" s="147" t="e">
        <f t="shared" ca="1" si="138"/>
        <v>#REF!</v>
      </c>
      <c r="Y258" s="36"/>
    </row>
    <row r="259" spans="1:25" x14ac:dyDescent="0.2">
      <c r="A259" s="82" t="s">
        <v>177</v>
      </c>
      <c r="D259" s="72"/>
      <c r="E259" s="222" t="e">
        <f t="shared" ref="E259:X259" si="139">E$75/D$75 -1</f>
        <v>#REF!</v>
      </c>
      <c r="F259" s="222" t="e">
        <f t="shared" si="139"/>
        <v>#REF!</v>
      </c>
      <c r="G259" s="222" t="e">
        <f t="shared" si="139"/>
        <v>#REF!</v>
      </c>
      <c r="H259" s="222" t="e">
        <f t="shared" si="139"/>
        <v>#REF!</v>
      </c>
      <c r="I259" s="222" t="e">
        <f t="shared" si="139"/>
        <v>#REF!</v>
      </c>
      <c r="J259" s="122" t="e">
        <f t="shared" ca="1" si="139"/>
        <v>#REF!</v>
      </c>
      <c r="K259" s="122" t="e">
        <f t="shared" ca="1" si="139"/>
        <v>#REF!</v>
      </c>
      <c r="L259" s="122" t="e">
        <f t="shared" ca="1" si="139"/>
        <v>#REF!</v>
      </c>
      <c r="M259" s="122" t="e">
        <f t="shared" ca="1" si="139"/>
        <v>#REF!</v>
      </c>
      <c r="N259" s="122" t="e">
        <f t="shared" ca="1" si="139"/>
        <v>#REF!</v>
      </c>
      <c r="O259" s="121" t="e">
        <f t="shared" ca="1" si="139"/>
        <v>#REF!</v>
      </c>
      <c r="P259" s="121" t="e">
        <f t="shared" ca="1" si="139"/>
        <v>#REF!</v>
      </c>
      <c r="Q259" s="121" t="e">
        <f t="shared" ca="1" si="139"/>
        <v>#REF!</v>
      </c>
      <c r="R259" s="121" t="e">
        <f t="shared" ca="1" si="139"/>
        <v>#REF!</v>
      </c>
      <c r="S259" s="121" t="e">
        <f t="shared" ca="1" si="139"/>
        <v>#REF!</v>
      </c>
      <c r="T259" s="121" t="e">
        <f t="shared" ca="1" si="139"/>
        <v>#REF!</v>
      </c>
      <c r="U259" s="121" t="e">
        <f t="shared" ca="1" si="139"/>
        <v>#REF!</v>
      </c>
      <c r="V259" s="121" t="e">
        <f t="shared" ca="1" si="139"/>
        <v>#REF!</v>
      </c>
      <c r="W259" s="121" t="e">
        <f t="shared" ca="1" si="139"/>
        <v>#REF!</v>
      </c>
      <c r="X259" s="121" t="e">
        <f t="shared" ca="1" si="139"/>
        <v>#REF!</v>
      </c>
      <c r="Y259" s="36"/>
    </row>
    <row r="260" spans="1:25" x14ac:dyDescent="0.2">
      <c r="A260" s="27" t="s">
        <v>178</v>
      </c>
      <c r="D260" s="72"/>
      <c r="E260" s="72"/>
      <c r="F260" s="72"/>
      <c r="G260" s="72"/>
      <c r="H260" s="72"/>
      <c r="I260" s="72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 s="36"/>
    </row>
    <row r="261" spans="1:25" x14ac:dyDescent="0.2">
      <c r="A261" s="28" t="s">
        <v>175</v>
      </c>
      <c r="D261" s="72"/>
      <c r="E261" s="70" t="e">
        <f>SUM(D$76*((E$244*E$247)/(D$244*D$247)-1),D$77*(SUMPRODUCT(Popn!E$202:E$212,#REF!)+SUMPRODUCT(Popn!E$213:E$223,#REF!)),D$84*AVERAGE(Popn!E$195,Popn!E$200))/(D$86-D$75)</f>
        <v>#REF!</v>
      </c>
      <c r="F261" s="70" t="e">
        <f>SUM(E$76*((F$244*F$247)/(E$244*E$247)-1),E$77*(SUMPRODUCT(Popn!F$202:F$212,#REF!)+SUMPRODUCT(Popn!F$213:F$223,#REF!)),E$84*AVERAGE(Popn!F$195,Popn!F$200))/(E$86-E$75)</f>
        <v>#REF!</v>
      </c>
      <c r="G261" s="70" t="e">
        <f>SUM(F$76*((G$244*G$247)/(F$244*F$247)-1),F$77*(SUMPRODUCT(Popn!G$202:G$212,#REF!)+SUMPRODUCT(Popn!G$213:G$223,#REF!)),F$84*AVERAGE(Popn!G$195,Popn!G$200))/(F$86-F$75)</f>
        <v>#REF!</v>
      </c>
      <c r="H261" s="70" t="e">
        <f>SUM(G$76*((H$244*H$247)/(G$244*G$247)-1),G$77*(SUMPRODUCT(Popn!H$202:H$212,#REF!)+SUMPRODUCT(Popn!H$213:H$223,#REF!)),G$84*AVERAGE(Popn!H$195,Popn!H$200))/(G$86-G$75)</f>
        <v>#REF!</v>
      </c>
      <c r="I261" s="70" t="e">
        <f>SUM(H$76*((I$244*I$247)/(H$244*H$247)-1),H$77*(SUMPRODUCT(Popn!I$202:I$212,#REF!)+SUMPRODUCT(Popn!I$213:I$223,#REF!)),H$84*AVERAGE(Popn!I$195,Popn!I$200))/(H$86-H$75)</f>
        <v>#REF!</v>
      </c>
      <c r="J261" s="128" t="e">
        <f ca="1">SUM(I$76*((J$244*J$247)/(I$244*I$247)-1),I$77*(SUMPRODUCT(Popn!J$202:J$212,#REF!)+SUMPRODUCT(Popn!J$213:J$223,#REF!)),I$84*AVERAGE(Popn!J$195,Popn!J$200))/(I$86-I$75)</f>
        <v>#REF!</v>
      </c>
      <c r="K261" s="128" t="e">
        <f ca="1">SUM(J$76*((K$244*K$247)/(J$244*J$247)-1),J$77*(SUMPRODUCT(Popn!K$202:K$212,#REF!)+SUMPRODUCT(Popn!K$213:K$223,#REF!)),J$84*AVERAGE(Popn!K$195,Popn!K$200))/(J$86-J$75)</f>
        <v>#REF!</v>
      </c>
      <c r="L261" s="128" t="e">
        <f ca="1">SUM(K$76*((L$244*L$247)/(K$244*K$247)-1),K$77*(SUMPRODUCT(Popn!L$202:L$212,#REF!)+SUMPRODUCT(Popn!L$213:L$223,#REF!)),K$84*AVERAGE(Popn!L$195,Popn!L$200))/(K$86-K$75)</f>
        <v>#REF!</v>
      </c>
      <c r="M261" s="128" t="e">
        <f ca="1">SUM(L$76*((M$244*M$247)/(L$244*L$247)-1),L$77*(SUMPRODUCT(Popn!M$202:M$212,#REF!)+SUMPRODUCT(Popn!M$213:M$223,#REF!)),L$84*AVERAGE(Popn!M$195,Popn!M$200))/(L$86-L$75)</f>
        <v>#REF!</v>
      </c>
      <c r="N261" s="128" t="e">
        <f ca="1">SUM(M$76*((N$244*N$247)/(M$244*M$247)-1),M$77*(SUMPRODUCT(Popn!N$202:N$212,#REF!)+SUMPRODUCT(Popn!N$213:N$223,#REF!)),M$84*AVERAGE(Popn!N$195,Popn!N$200))/(M$86-M$75)</f>
        <v>#REF!</v>
      </c>
      <c r="O261" s="145" t="e">
        <f ca="1">SUM(N$76*((O$244*O$247)/(N$244*N$247)-1),N$77*(SUMPRODUCT(Popn!O$202:O$212,#REF!)+SUMPRODUCT(Popn!O$213:O$223,#REF!)),N$84*AVERAGE(Popn!O$195,Popn!O$200))/(N$86-N$75)</f>
        <v>#REF!</v>
      </c>
      <c r="P261" s="145" t="e">
        <f ca="1">SUM(O$76*((P$244*P$247)/(O$244*O$247)-1),O$77*(SUMPRODUCT(Popn!P$202:P$212,#REF!)+SUMPRODUCT(Popn!P$213:P$223,#REF!)),O$84*AVERAGE(Popn!P$195,Popn!P$200))/(O$86-O$75)</f>
        <v>#REF!</v>
      </c>
      <c r="Q261" s="145" t="e">
        <f ca="1">SUM(P$76*((Q$244*Q$247)/(P$244*P$247)-1),P$77*(SUMPRODUCT(Popn!Q$202:Q$212,#REF!)+SUMPRODUCT(Popn!Q$213:Q$223,#REF!)),P$84*AVERAGE(Popn!Q$195,Popn!Q$200))/(P$86-P$75)</f>
        <v>#REF!</v>
      </c>
      <c r="R261" s="145" t="e">
        <f ca="1">SUM(Q$76*((R$244*R$247)/(Q$244*Q$247)-1),Q$77*(SUMPRODUCT(Popn!R$202:R$212,#REF!)+SUMPRODUCT(Popn!R$213:R$223,#REF!)),Q$84*AVERAGE(Popn!R$195,Popn!R$200))/(Q$86-Q$75)</f>
        <v>#REF!</v>
      </c>
      <c r="S261" s="145" t="e">
        <f ca="1">SUM(R$76*((S$244*S$247)/(R$244*R$247)-1),R$77*(SUMPRODUCT(Popn!S$202:S$212,#REF!)+SUMPRODUCT(Popn!S$213:S$223,#REF!)),R$84*AVERAGE(Popn!S$195,Popn!S$200))/(R$86-R$75)</f>
        <v>#REF!</v>
      </c>
      <c r="T261" s="145" t="e">
        <f ca="1">SUM(S$76*((T$244*T$247)/(S$244*S$247)-1),S$77*(SUMPRODUCT(Popn!T$202:T$212,#REF!)+SUMPRODUCT(Popn!T$213:T$223,#REF!)),S$84*AVERAGE(Popn!T$195,Popn!T$200))/(S$86-S$75)</f>
        <v>#REF!</v>
      </c>
      <c r="U261" s="145" t="e">
        <f ca="1">SUM(T$76*((U$244*U$247)/(T$244*T$247)-1),T$77*(SUMPRODUCT(Popn!U$202:U$212,#REF!)+SUMPRODUCT(Popn!U$213:U$223,#REF!)),T$84*AVERAGE(Popn!U$195,Popn!U$200))/(T$86-T$75)</f>
        <v>#REF!</v>
      </c>
      <c r="V261" s="145" t="e">
        <f ca="1">SUM(U$76*((V$244*V$247)/(U$244*U$247)-1),U$77*(SUMPRODUCT(Popn!V$202:V$212,#REF!)+SUMPRODUCT(Popn!V$213:V$223,#REF!)),U$84*AVERAGE(Popn!V$195,Popn!V$200))/(U$86-U$75)</f>
        <v>#REF!</v>
      </c>
      <c r="W261" s="145" t="e">
        <f ca="1">SUM(V$76*((W$244*W$247)/(V$244*V$247)-1),V$77*(SUMPRODUCT(Popn!W$202:W$212,#REF!)+SUMPRODUCT(Popn!W$213:W$223,#REF!)),V$84*AVERAGE(Popn!W$195,Popn!W$200))/(V$86-V$75)</f>
        <v>#REF!</v>
      </c>
      <c r="X261" s="145" t="e">
        <f ca="1">SUM(W$76*((X$244*X$247)/(W$244*W$247)-1),W$77*(SUMPRODUCT(Popn!X$202:X$212,#REF!)+SUMPRODUCT(Popn!X$213:X$223,#REF!)),W$84*AVERAGE(Popn!X$195,Popn!X$200))/(W$86-W$75)</f>
        <v>#REF!</v>
      </c>
      <c r="Y261" s="36"/>
    </row>
    <row r="262" spans="1:25" x14ac:dyDescent="0.2">
      <c r="A262" s="28" t="s">
        <v>221</v>
      </c>
      <c r="D262" s="72"/>
      <c r="E262" s="70" t="e">
        <f t="shared" ref="E262:X262" si="140">E$240</f>
        <v>#REF!</v>
      </c>
      <c r="F262" s="70" t="e">
        <f t="shared" si="140"/>
        <v>#REF!</v>
      </c>
      <c r="G262" s="70" t="e">
        <f t="shared" si="140"/>
        <v>#REF!</v>
      </c>
      <c r="H262" s="70" t="e">
        <f t="shared" si="140"/>
        <v>#REF!</v>
      </c>
      <c r="I262" s="70" t="e">
        <f t="shared" si="140"/>
        <v>#REF!</v>
      </c>
      <c r="J262" s="128" t="e">
        <f t="shared" ca="1" si="140"/>
        <v>#REF!</v>
      </c>
      <c r="K262" s="128" t="e">
        <f t="shared" ca="1" si="140"/>
        <v>#REF!</v>
      </c>
      <c r="L262" s="128" t="e">
        <f t="shared" ca="1" si="140"/>
        <v>#REF!</v>
      </c>
      <c r="M262" s="128" t="e">
        <f t="shared" ca="1" si="140"/>
        <v>#REF!</v>
      </c>
      <c r="N262" s="128" t="e">
        <f t="shared" ca="1" si="140"/>
        <v>#REF!</v>
      </c>
      <c r="O262" s="145" t="e">
        <f t="shared" ca="1" si="140"/>
        <v>#REF!</v>
      </c>
      <c r="P262" s="145" t="e">
        <f t="shared" ca="1" si="140"/>
        <v>#REF!</v>
      </c>
      <c r="Q262" s="145" t="e">
        <f t="shared" ca="1" si="140"/>
        <v>#REF!</v>
      </c>
      <c r="R262" s="145" t="e">
        <f t="shared" ca="1" si="140"/>
        <v>#REF!</v>
      </c>
      <c r="S262" s="145" t="e">
        <f t="shared" ca="1" si="140"/>
        <v>#REF!</v>
      </c>
      <c r="T262" s="145" t="e">
        <f t="shared" ca="1" si="140"/>
        <v>#REF!</v>
      </c>
      <c r="U262" s="145" t="e">
        <f t="shared" ca="1" si="140"/>
        <v>#REF!</v>
      </c>
      <c r="V262" s="145" t="e">
        <f t="shared" ca="1" si="140"/>
        <v>#REF!</v>
      </c>
      <c r="W262" s="145" t="e">
        <f t="shared" ca="1" si="140"/>
        <v>#REF!</v>
      </c>
      <c r="X262" s="145" t="e">
        <f t="shared" ca="1" si="140"/>
        <v>#REF!</v>
      </c>
      <c r="Y262" s="36"/>
    </row>
    <row r="263" spans="1:25" x14ac:dyDescent="0.2">
      <c r="A263" s="28" t="s">
        <v>181</v>
      </c>
      <c r="D263" s="72"/>
      <c r="E263" s="221" t="e">
        <f t="shared" ref="E263:X263" si="141">(E$86-E$75)/(D$86-D$75) -(1+E$261+E$262)</f>
        <v>#REF!</v>
      </c>
      <c r="F263" s="221" t="e">
        <f t="shared" si="141"/>
        <v>#REF!</v>
      </c>
      <c r="G263" s="221" t="e">
        <f t="shared" si="141"/>
        <v>#REF!</v>
      </c>
      <c r="H263" s="221" t="e">
        <f t="shared" si="141"/>
        <v>#REF!</v>
      </c>
      <c r="I263" s="221" t="e">
        <f t="shared" si="141"/>
        <v>#REF!</v>
      </c>
      <c r="J263" s="146" t="e">
        <f t="shared" ca="1" si="141"/>
        <v>#REF!</v>
      </c>
      <c r="K263" s="146" t="e">
        <f t="shared" ca="1" si="141"/>
        <v>#REF!</v>
      </c>
      <c r="L263" s="146" t="e">
        <f t="shared" ca="1" si="141"/>
        <v>#REF!</v>
      </c>
      <c r="M263" s="146" t="e">
        <f t="shared" ca="1" si="141"/>
        <v>#REF!</v>
      </c>
      <c r="N263" s="146" t="e">
        <f t="shared" ca="1" si="141"/>
        <v>#REF!</v>
      </c>
      <c r="O263" s="147" t="e">
        <f t="shared" ca="1" si="141"/>
        <v>#REF!</v>
      </c>
      <c r="P263" s="147" t="e">
        <f t="shared" ca="1" si="141"/>
        <v>#REF!</v>
      </c>
      <c r="Q263" s="147" t="e">
        <f t="shared" ca="1" si="141"/>
        <v>#REF!</v>
      </c>
      <c r="R263" s="147" t="e">
        <f t="shared" ca="1" si="141"/>
        <v>#REF!</v>
      </c>
      <c r="S263" s="147" t="e">
        <f t="shared" ca="1" si="141"/>
        <v>#REF!</v>
      </c>
      <c r="T263" s="147" t="e">
        <f t="shared" ca="1" si="141"/>
        <v>#REF!</v>
      </c>
      <c r="U263" s="147" t="e">
        <f t="shared" ca="1" si="141"/>
        <v>#REF!</v>
      </c>
      <c r="V263" s="147" t="e">
        <f t="shared" ca="1" si="141"/>
        <v>#REF!</v>
      </c>
      <c r="W263" s="147" t="e">
        <f t="shared" ca="1" si="141"/>
        <v>#REF!</v>
      </c>
      <c r="X263" s="147" t="e">
        <f t="shared" ca="1" si="141"/>
        <v>#REF!</v>
      </c>
      <c r="Y263" s="36"/>
    </row>
    <row r="264" spans="1:25" x14ac:dyDescent="0.2">
      <c r="A264" s="82" t="s">
        <v>177</v>
      </c>
      <c r="D264" s="72"/>
      <c r="E264" s="222" t="e">
        <f t="shared" ref="E264:X264" si="142">(E$86-E$75)/(D$86-D$75) -1</f>
        <v>#REF!</v>
      </c>
      <c r="F264" s="222" t="e">
        <f t="shared" si="142"/>
        <v>#REF!</v>
      </c>
      <c r="G264" s="222" t="e">
        <f t="shared" si="142"/>
        <v>#REF!</v>
      </c>
      <c r="H264" s="222" t="e">
        <f t="shared" si="142"/>
        <v>#REF!</v>
      </c>
      <c r="I264" s="222" t="e">
        <f t="shared" si="142"/>
        <v>#REF!</v>
      </c>
      <c r="J264" s="122" t="e">
        <f t="shared" ca="1" si="142"/>
        <v>#REF!</v>
      </c>
      <c r="K264" s="122" t="e">
        <f t="shared" ca="1" si="142"/>
        <v>#REF!</v>
      </c>
      <c r="L264" s="122" t="e">
        <f t="shared" ca="1" si="142"/>
        <v>#REF!</v>
      </c>
      <c r="M264" s="122" t="e">
        <f t="shared" ca="1" si="142"/>
        <v>#REF!</v>
      </c>
      <c r="N264" s="122" t="e">
        <f t="shared" ca="1" si="142"/>
        <v>#REF!</v>
      </c>
      <c r="O264" s="121" t="e">
        <f t="shared" ca="1" si="142"/>
        <v>#REF!</v>
      </c>
      <c r="P264" s="121" t="e">
        <f t="shared" ca="1" si="142"/>
        <v>#REF!</v>
      </c>
      <c r="Q264" s="121" t="e">
        <f t="shared" ca="1" si="142"/>
        <v>#REF!</v>
      </c>
      <c r="R264" s="121" t="e">
        <f t="shared" ca="1" si="142"/>
        <v>#REF!</v>
      </c>
      <c r="S264" s="121" t="e">
        <f t="shared" ca="1" si="142"/>
        <v>#REF!</v>
      </c>
      <c r="T264" s="121" t="e">
        <f t="shared" ca="1" si="142"/>
        <v>#REF!</v>
      </c>
      <c r="U264" s="121" t="e">
        <f t="shared" ca="1" si="142"/>
        <v>#REF!</v>
      </c>
      <c r="V264" s="121" t="e">
        <f t="shared" ca="1" si="142"/>
        <v>#REF!</v>
      </c>
      <c r="W264" s="121" t="e">
        <f t="shared" ca="1" si="142"/>
        <v>#REF!</v>
      </c>
      <c r="X264" s="121" t="e">
        <f t="shared" ca="1" si="142"/>
        <v>#REF!</v>
      </c>
      <c r="Y264" s="36"/>
    </row>
    <row r="265" spans="1:25" x14ac:dyDescent="0.2">
      <c r="A265" s="27" t="s">
        <v>435</v>
      </c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36"/>
    </row>
    <row r="266" spans="1:25" x14ac:dyDescent="0.2">
      <c r="A266" s="28" t="s">
        <v>175</v>
      </c>
      <c r="D266" s="72"/>
      <c r="E266" s="70" t="e">
        <f t="shared" ref="E266:X266" si="143">SUM(E$104,E$105)/SUM(D$104,D$105)-1</f>
        <v>#REF!</v>
      </c>
      <c r="F266" s="70" t="e">
        <f t="shared" si="143"/>
        <v>#REF!</v>
      </c>
      <c r="G266" s="70" t="e">
        <f t="shared" si="143"/>
        <v>#REF!</v>
      </c>
      <c r="H266" s="70" t="e">
        <f t="shared" si="143"/>
        <v>#REF!</v>
      </c>
      <c r="I266" s="70" t="e">
        <f t="shared" si="143"/>
        <v>#REF!</v>
      </c>
      <c r="J266" s="128" t="e">
        <f t="shared" si="143"/>
        <v>#REF!</v>
      </c>
      <c r="K266" s="128" t="e">
        <f t="shared" si="143"/>
        <v>#REF!</v>
      </c>
      <c r="L266" s="128" t="e">
        <f t="shared" si="143"/>
        <v>#REF!</v>
      </c>
      <c r="M266" s="128" t="e">
        <f t="shared" si="143"/>
        <v>#REF!</v>
      </c>
      <c r="N266" s="128" t="e">
        <f t="shared" si="143"/>
        <v>#REF!</v>
      </c>
      <c r="O266" s="145" t="e">
        <f t="shared" si="143"/>
        <v>#REF!</v>
      </c>
      <c r="P266" s="145" t="e">
        <f t="shared" si="143"/>
        <v>#REF!</v>
      </c>
      <c r="Q266" s="145" t="e">
        <f t="shared" si="143"/>
        <v>#REF!</v>
      </c>
      <c r="R266" s="145" t="e">
        <f t="shared" si="143"/>
        <v>#REF!</v>
      </c>
      <c r="S266" s="145" t="e">
        <f t="shared" si="143"/>
        <v>#REF!</v>
      </c>
      <c r="T266" s="145" t="e">
        <f t="shared" si="143"/>
        <v>#REF!</v>
      </c>
      <c r="U266" s="145" t="e">
        <f t="shared" si="143"/>
        <v>#REF!</v>
      </c>
      <c r="V266" s="145" t="e">
        <f t="shared" si="143"/>
        <v>#REF!</v>
      </c>
      <c r="W266" s="145" t="e">
        <f t="shared" si="143"/>
        <v>#REF!</v>
      </c>
      <c r="X266" s="145" t="e">
        <f t="shared" si="143"/>
        <v>#REF!</v>
      </c>
      <c r="Y266" s="36"/>
    </row>
    <row r="267" spans="1:25" x14ac:dyDescent="0.2">
      <c r="A267" s="28" t="s">
        <v>221</v>
      </c>
      <c r="D267" s="72"/>
      <c r="E267" s="70" t="e">
        <f t="shared" ref="E267:X267" si="144">E$240</f>
        <v>#REF!</v>
      </c>
      <c r="F267" s="70" t="e">
        <f t="shared" si="144"/>
        <v>#REF!</v>
      </c>
      <c r="G267" s="70" t="e">
        <f t="shared" si="144"/>
        <v>#REF!</v>
      </c>
      <c r="H267" s="70" t="e">
        <f t="shared" si="144"/>
        <v>#REF!</v>
      </c>
      <c r="I267" s="70" t="e">
        <f t="shared" si="144"/>
        <v>#REF!</v>
      </c>
      <c r="J267" s="128" t="e">
        <f t="shared" ca="1" si="144"/>
        <v>#REF!</v>
      </c>
      <c r="K267" s="128" t="e">
        <f t="shared" ca="1" si="144"/>
        <v>#REF!</v>
      </c>
      <c r="L267" s="128" t="e">
        <f t="shared" ca="1" si="144"/>
        <v>#REF!</v>
      </c>
      <c r="M267" s="128" t="e">
        <f t="shared" ca="1" si="144"/>
        <v>#REF!</v>
      </c>
      <c r="N267" s="128" t="e">
        <f t="shared" ca="1" si="144"/>
        <v>#REF!</v>
      </c>
      <c r="O267" s="145" t="e">
        <f t="shared" ca="1" si="144"/>
        <v>#REF!</v>
      </c>
      <c r="P267" s="145" t="e">
        <f t="shared" ca="1" si="144"/>
        <v>#REF!</v>
      </c>
      <c r="Q267" s="145" t="e">
        <f t="shared" ca="1" si="144"/>
        <v>#REF!</v>
      </c>
      <c r="R267" s="145" t="e">
        <f t="shared" ca="1" si="144"/>
        <v>#REF!</v>
      </c>
      <c r="S267" s="145" t="e">
        <f t="shared" ca="1" si="144"/>
        <v>#REF!</v>
      </c>
      <c r="T267" s="145" t="e">
        <f t="shared" ca="1" si="144"/>
        <v>#REF!</v>
      </c>
      <c r="U267" s="145" t="e">
        <f t="shared" ca="1" si="144"/>
        <v>#REF!</v>
      </c>
      <c r="V267" s="145" t="e">
        <f t="shared" ca="1" si="144"/>
        <v>#REF!</v>
      </c>
      <c r="W267" s="145" t="e">
        <f t="shared" ca="1" si="144"/>
        <v>#REF!</v>
      </c>
      <c r="X267" s="145" t="e">
        <f t="shared" ca="1" si="144"/>
        <v>#REF!</v>
      </c>
      <c r="Y267" s="36"/>
    </row>
    <row r="268" spans="1:25" x14ac:dyDescent="0.2">
      <c r="A268" s="28" t="s">
        <v>183</v>
      </c>
      <c r="D268" s="72"/>
      <c r="E268" s="221" t="e">
        <f t="shared" ref="E268:X268" si="145">E$102/D$102 -(1+E$266+E$267)</f>
        <v>#REF!</v>
      </c>
      <c r="F268" s="221" t="e">
        <f t="shared" si="145"/>
        <v>#REF!</v>
      </c>
      <c r="G268" s="221" t="e">
        <f t="shared" si="145"/>
        <v>#REF!</v>
      </c>
      <c r="H268" s="221" t="e">
        <f t="shared" si="145"/>
        <v>#REF!</v>
      </c>
      <c r="I268" s="221" t="e">
        <f t="shared" si="145"/>
        <v>#REF!</v>
      </c>
      <c r="J268" s="146" t="e">
        <f t="shared" ca="1" si="145"/>
        <v>#REF!</v>
      </c>
      <c r="K268" s="146" t="e">
        <f t="shared" ca="1" si="145"/>
        <v>#REF!</v>
      </c>
      <c r="L268" s="146" t="e">
        <f t="shared" ca="1" si="145"/>
        <v>#REF!</v>
      </c>
      <c r="M268" s="146" t="e">
        <f t="shared" ca="1" si="145"/>
        <v>#REF!</v>
      </c>
      <c r="N268" s="146" t="e">
        <f t="shared" ca="1" si="145"/>
        <v>#REF!</v>
      </c>
      <c r="O268" s="147" t="e">
        <f t="shared" ca="1" si="145"/>
        <v>#REF!</v>
      </c>
      <c r="P268" s="147" t="e">
        <f t="shared" ca="1" si="145"/>
        <v>#REF!</v>
      </c>
      <c r="Q268" s="147" t="e">
        <f t="shared" ca="1" si="145"/>
        <v>#REF!</v>
      </c>
      <c r="R268" s="147" t="e">
        <f t="shared" ca="1" si="145"/>
        <v>#REF!</v>
      </c>
      <c r="S268" s="147" t="e">
        <f t="shared" ca="1" si="145"/>
        <v>#REF!</v>
      </c>
      <c r="T268" s="147" t="e">
        <f t="shared" ca="1" si="145"/>
        <v>#REF!</v>
      </c>
      <c r="U268" s="147" t="e">
        <f t="shared" ca="1" si="145"/>
        <v>#REF!</v>
      </c>
      <c r="V268" s="147" t="e">
        <f t="shared" ca="1" si="145"/>
        <v>#REF!</v>
      </c>
      <c r="W268" s="147" t="e">
        <f t="shared" ca="1" si="145"/>
        <v>#REF!</v>
      </c>
      <c r="X268" s="147" t="e">
        <f t="shared" ca="1" si="145"/>
        <v>#REF!</v>
      </c>
      <c r="Y268" s="36"/>
    </row>
    <row r="269" spans="1:25" x14ac:dyDescent="0.2">
      <c r="A269" s="82" t="s">
        <v>177</v>
      </c>
      <c r="D269" s="72"/>
      <c r="E269" s="222" t="e">
        <f t="shared" ref="E269:X269" si="146">E$102/D$102 -1</f>
        <v>#REF!</v>
      </c>
      <c r="F269" s="222" t="e">
        <f t="shared" si="146"/>
        <v>#REF!</v>
      </c>
      <c r="G269" s="222" t="e">
        <f t="shared" si="146"/>
        <v>#REF!</v>
      </c>
      <c r="H269" s="222" t="e">
        <f t="shared" si="146"/>
        <v>#REF!</v>
      </c>
      <c r="I269" s="222" t="e">
        <f t="shared" si="146"/>
        <v>#REF!</v>
      </c>
      <c r="J269" s="122" t="e">
        <f t="shared" ca="1" si="146"/>
        <v>#REF!</v>
      </c>
      <c r="K269" s="122" t="e">
        <f t="shared" ca="1" si="146"/>
        <v>#REF!</v>
      </c>
      <c r="L269" s="122" t="e">
        <f t="shared" ca="1" si="146"/>
        <v>#REF!</v>
      </c>
      <c r="M269" s="122" t="e">
        <f t="shared" ca="1" si="146"/>
        <v>#REF!</v>
      </c>
      <c r="N269" s="122" t="e">
        <f t="shared" ca="1" si="146"/>
        <v>#REF!</v>
      </c>
      <c r="O269" s="121" t="e">
        <f t="shared" ca="1" si="146"/>
        <v>#REF!</v>
      </c>
      <c r="P269" s="121" t="e">
        <f t="shared" ca="1" si="146"/>
        <v>#REF!</v>
      </c>
      <c r="Q269" s="121" t="e">
        <f t="shared" ca="1" si="146"/>
        <v>#REF!</v>
      </c>
      <c r="R269" s="121" t="e">
        <f t="shared" ca="1" si="146"/>
        <v>#REF!</v>
      </c>
      <c r="S269" s="121" t="e">
        <f t="shared" ca="1" si="146"/>
        <v>#REF!</v>
      </c>
      <c r="T269" s="121" t="e">
        <f t="shared" ca="1" si="146"/>
        <v>#REF!</v>
      </c>
      <c r="U269" s="121" t="e">
        <f t="shared" ca="1" si="146"/>
        <v>#REF!</v>
      </c>
      <c r="V269" s="121" t="e">
        <f t="shared" ca="1" si="146"/>
        <v>#REF!</v>
      </c>
      <c r="W269" s="121" t="e">
        <f t="shared" ca="1" si="146"/>
        <v>#REF!</v>
      </c>
      <c r="X269" s="121" t="e">
        <f t="shared" ca="1" si="146"/>
        <v>#REF!</v>
      </c>
      <c r="Y269" s="36"/>
    </row>
    <row r="270" spans="1:25" x14ac:dyDescent="0.2">
      <c r="A270" s="27" t="s">
        <v>533</v>
      </c>
      <c r="D270" s="72"/>
      <c r="E270" s="70"/>
      <c r="F270" s="70"/>
      <c r="G270" s="70"/>
      <c r="H270" s="70"/>
      <c r="I270" s="70"/>
      <c r="J270" s="128"/>
      <c r="K270" s="128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36"/>
    </row>
    <row r="271" spans="1:25" x14ac:dyDescent="0.2">
      <c r="A271" s="28" t="s">
        <v>175</v>
      </c>
      <c r="D271" s="72"/>
      <c r="E271" s="70">
        <f>AVERAGE(Popn!E$196:E$198)</f>
        <v>1.050387508174703E-2</v>
      </c>
      <c r="F271" s="70">
        <f>AVERAGE(Popn!F$196:F$198)</f>
        <v>1.536943655150865E-2</v>
      </c>
      <c r="G271" s="70">
        <f>AVERAGE(Popn!G$196:G$198)</f>
        <v>1.4666109437243224E-2</v>
      </c>
      <c r="H271" s="70">
        <f>AVERAGE(Popn!H$196:H$198)</f>
        <v>8.444610105723319E-3</v>
      </c>
      <c r="I271" s="70">
        <f>AVERAGE(Popn!I$196:I$198)</f>
        <v>4.9159925590402942E-4</v>
      </c>
      <c r="J271" s="128">
        <f>AVERAGE(Popn!J$196:J$198)</f>
        <v>-4.5019592189975048E-3</v>
      </c>
      <c r="K271" s="128">
        <f>AVERAGE(Popn!K$196:K$198)</f>
        <v>-3.156221619180092E-3</v>
      </c>
      <c r="L271" s="128">
        <f>AVERAGE(Popn!L$196:L$198)</f>
        <v>-4.5764379346257726E-3</v>
      </c>
      <c r="M271" s="128">
        <f>AVERAGE(Popn!M$196:M$198)</f>
        <v>-4.44389686121401E-3</v>
      </c>
      <c r="N271" s="128">
        <f>AVERAGE(Popn!N$196:N$198)</f>
        <v>-1.6966102811629691E-3</v>
      </c>
      <c r="O271" s="145">
        <f>AVERAGE(Popn!O$196:O$198)</f>
        <v>-5.0994178139588764E-4</v>
      </c>
      <c r="P271" s="145">
        <f>AVERAGE(Popn!P$196:P$198)</f>
        <v>7.4160888098158864E-5</v>
      </c>
      <c r="Q271" s="145">
        <f>AVERAGE(Popn!Q$196:Q$198)</f>
        <v>-5.7218752595777911E-4</v>
      </c>
      <c r="R271" s="145">
        <f>AVERAGE(Popn!R$196:R$198)</f>
        <v>3.5932983218286047E-4</v>
      </c>
      <c r="S271" s="145">
        <f>AVERAGE(Popn!S$196:S$198)</f>
        <v>2.2392768627520856E-3</v>
      </c>
      <c r="T271" s="145">
        <f>AVERAGE(Popn!T$196:T$198)</f>
        <v>2.1510763902641652E-3</v>
      </c>
      <c r="U271" s="145">
        <f>AVERAGE(Popn!U$196:U$198)</f>
        <v>3.2928148407012081E-3</v>
      </c>
      <c r="V271" s="145">
        <f>AVERAGE(Popn!V$196:V$198)</f>
        <v>2.6437124377133672E-3</v>
      </c>
      <c r="W271" s="145">
        <f>AVERAGE(Popn!W$196:W$198)</f>
        <v>4.220163047237639E-3</v>
      </c>
      <c r="X271" s="145">
        <f>AVERAGE(Popn!X$196:X$198)</f>
        <v>5.402380569866712E-3</v>
      </c>
      <c r="Y271" s="36"/>
    </row>
    <row r="272" spans="1:25" x14ac:dyDescent="0.2">
      <c r="A272" s="28" t="s">
        <v>221</v>
      </c>
      <c r="D272" s="72"/>
      <c r="E272" s="70" t="e">
        <f t="shared" ref="E272:X272" si="147">E$240</f>
        <v>#REF!</v>
      </c>
      <c r="F272" s="70" t="e">
        <f t="shared" si="147"/>
        <v>#REF!</v>
      </c>
      <c r="G272" s="70" t="e">
        <f t="shared" si="147"/>
        <v>#REF!</v>
      </c>
      <c r="H272" s="70" t="e">
        <f t="shared" si="147"/>
        <v>#REF!</v>
      </c>
      <c r="I272" s="70" t="e">
        <f t="shared" si="147"/>
        <v>#REF!</v>
      </c>
      <c r="J272" s="128" t="e">
        <f t="shared" ca="1" si="147"/>
        <v>#REF!</v>
      </c>
      <c r="K272" s="128" t="e">
        <f t="shared" ca="1" si="147"/>
        <v>#REF!</v>
      </c>
      <c r="L272" s="128" t="e">
        <f t="shared" ca="1" si="147"/>
        <v>#REF!</v>
      </c>
      <c r="M272" s="128" t="e">
        <f t="shared" ca="1" si="147"/>
        <v>#REF!</v>
      </c>
      <c r="N272" s="128" t="e">
        <f t="shared" ca="1" si="147"/>
        <v>#REF!</v>
      </c>
      <c r="O272" s="145" t="e">
        <f t="shared" ca="1" si="147"/>
        <v>#REF!</v>
      </c>
      <c r="P272" s="145" t="e">
        <f t="shared" ca="1" si="147"/>
        <v>#REF!</v>
      </c>
      <c r="Q272" s="145" t="e">
        <f t="shared" ca="1" si="147"/>
        <v>#REF!</v>
      </c>
      <c r="R272" s="145" t="e">
        <f t="shared" ca="1" si="147"/>
        <v>#REF!</v>
      </c>
      <c r="S272" s="145" t="e">
        <f t="shared" ca="1" si="147"/>
        <v>#REF!</v>
      </c>
      <c r="T272" s="145" t="e">
        <f t="shared" ca="1" si="147"/>
        <v>#REF!</v>
      </c>
      <c r="U272" s="145" t="e">
        <f t="shared" ca="1" si="147"/>
        <v>#REF!</v>
      </c>
      <c r="V272" s="145" t="e">
        <f t="shared" ca="1" si="147"/>
        <v>#REF!</v>
      </c>
      <c r="W272" s="145" t="e">
        <f t="shared" ca="1" si="147"/>
        <v>#REF!</v>
      </c>
      <c r="X272" s="145" t="e">
        <f t="shared" ca="1" si="147"/>
        <v>#REF!</v>
      </c>
      <c r="Y272" s="36"/>
    </row>
    <row r="273" spans="1:25" x14ac:dyDescent="0.2">
      <c r="A273" s="28" t="s">
        <v>144</v>
      </c>
      <c r="D273" s="72"/>
      <c r="E273" s="221" t="e">
        <f t="shared" ref="E273:X273" si="148">E$111/D$111 -(1+E$271+E$272)</f>
        <v>#REF!</v>
      </c>
      <c r="F273" s="221" t="e">
        <f t="shared" si="148"/>
        <v>#REF!</v>
      </c>
      <c r="G273" s="221" t="e">
        <f t="shared" si="148"/>
        <v>#REF!</v>
      </c>
      <c r="H273" s="221" t="e">
        <f t="shared" si="148"/>
        <v>#REF!</v>
      </c>
      <c r="I273" s="221" t="e">
        <f t="shared" si="148"/>
        <v>#REF!</v>
      </c>
      <c r="J273" s="146" t="e">
        <f t="shared" ca="1" si="148"/>
        <v>#REF!</v>
      </c>
      <c r="K273" s="146" t="e">
        <f t="shared" ca="1" si="148"/>
        <v>#REF!</v>
      </c>
      <c r="L273" s="146" t="e">
        <f t="shared" ca="1" si="148"/>
        <v>#REF!</v>
      </c>
      <c r="M273" s="146" t="e">
        <f t="shared" ca="1" si="148"/>
        <v>#REF!</v>
      </c>
      <c r="N273" s="146" t="e">
        <f t="shared" ca="1" si="148"/>
        <v>#REF!</v>
      </c>
      <c r="O273" s="147" t="e">
        <f t="shared" ca="1" si="148"/>
        <v>#REF!</v>
      </c>
      <c r="P273" s="147" t="e">
        <f t="shared" ca="1" si="148"/>
        <v>#REF!</v>
      </c>
      <c r="Q273" s="147" t="e">
        <f t="shared" ca="1" si="148"/>
        <v>#REF!</v>
      </c>
      <c r="R273" s="147" t="e">
        <f t="shared" ca="1" si="148"/>
        <v>#REF!</v>
      </c>
      <c r="S273" s="147" t="e">
        <f t="shared" ca="1" si="148"/>
        <v>#REF!</v>
      </c>
      <c r="T273" s="147" t="e">
        <f t="shared" ca="1" si="148"/>
        <v>#REF!</v>
      </c>
      <c r="U273" s="147" t="e">
        <f t="shared" ca="1" si="148"/>
        <v>#REF!</v>
      </c>
      <c r="V273" s="147" t="e">
        <f t="shared" ca="1" si="148"/>
        <v>#REF!</v>
      </c>
      <c r="W273" s="147" t="e">
        <f t="shared" ca="1" si="148"/>
        <v>#REF!</v>
      </c>
      <c r="X273" s="147" t="e">
        <f t="shared" ca="1" si="148"/>
        <v>#REF!</v>
      </c>
      <c r="Y273" s="36"/>
    </row>
    <row r="274" spans="1:25" x14ac:dyDescent="0.2">
      <c r="A274" s="82" t="s">
        <v>177</v>
      </c>
      <c r="D274" s="72"/>
      <c r="E274" s="222" t="e">
        <f t="shared" ref="E274:X274" si="149">E$111/D$111 -1</f>
        <v>#REF!</v>
      </c>
      <c r="F274" s="222" t="e">
        <f t="shared" si="149"/>
        <v>#REF!</v>
      </c>
      <c r="G274" s="222" t="e">
        <f t="shared" si="149"/>
        <v>#REF!</v>
      </c>
      <c r="H274" s="222" t="e">
        <f t="shared" si="149"/>
        <v>#REF!</v>
      </c>
      <c r="I274" s="222" t="e">
        <f t="shared" si="149"/>
        <v>#REF!</v>
      </c>
      <c r="J274" s="122" t="e">
        <f t="shared" ca="1" si="149"/>
        <v>#REF!</v>
      </c>
      <c r="K274" s="122" t="e">
        <f t="shared" ca="1" si="149"/>
        <v>#REF!</v>
      </c>
      <c r="L274" s="122" t="e">
        <f t="shared" ca="1" si="149"/>
        <v>#REF!</v>
      </c>
      <c r="M274" s="122" t="e">
        <f t="shared" ca="1" si="149"/>
        <v>#REF!</v>
      </c>
      <c r="N274" s="122" t="e">
        <f t="shared" ca="1" si="149"/>
        <v>#REF!</v>
      </c>
      <c r="O274" s="121" t="e">
        <f t="shared" ca="1" si="149"/>
        <v>#REF!</v>
      </c>
      <c r="P274" s="121" t="e">
        <f t="shared" ca="1" si="149"/>
        <v>#REF!</v>
      </c>
      <c r="Q274" s="121" t="e">
        <f t="shared" ca="1" si="149"/>
        <v>#REF!</v>
      </c>
      <c r="R274" s="121" t="e">
        <f t="shared" ca="1" si="149"/>
        <v>#REF!</v>
      </c>
      <c r="S274" s="121" t="e">
        <f t="shared" ca="1" si="149"/>
        <v>#REF!</v>
      </c>
      <c r="T274" s="121" t="e">
        <f t="shared" ca="1" si="149"/>
        <v>#REF!</v>
      </c>
      <c r="U274" s="121" t="e">
        <f t="shared" ca="1" si="149"/>
        <v>#REF!</v>
      </c>
      <c r="V274" s="121" t="e">
        <f t="shared" ca="1" si="149"/>
        <v>#REF!</v>
      </c>
      <c r="W274" s="121" t="e">
        <f t="shared" ca="1" si="149"/>
        <v>#REF!</v>
      </c>
      <c r="X274" s="121" t="e">
        <f t="shared" ca="1" si="149"/>
        <v>#REF!</v>
      </c>
      <c r="Y274" s="36"/>
    </row>
    <row r="275" spans="1:25" x14ac:dyDescent="0.2">
      <c r="A275" s="27" t="s">
        <v>184</v>
      </c>
      <c r="D275" s="72"/>
      <c r="E275" s="70"/>
      <c r="F275" s="70"/>
      <c r="G275" s="70"/>
      <c r="H275" s="70"/>
      <c r="I275" s="70"/>
      <c r="J275" s="128"/>
      <c r="K275" s="128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36"/>
    </row>
    <row r="276" spans="1:25" x14ac:dyDescent="0.2">
      <c r="A276" s="28" t="s">
        <v>175</v>
      </c>
      <c r="D276" s="72"/>
      <c r="E276" s="270" t="e">
        <f>E$243</f>
        <v>#REF!</v>
      </c>
      <c r="F276" s="270" t="e">
        <f>F$243</f>
        <v>#REF!</v>
      </c>
      <c r="G276" s="270" t="e">
        <f>G$243</f>
        <v>#REF!</v>
      </c>
      <c r="H276" s="270" t="e">
        <f>H$243</f>
        <v>#REF!</v>
      </c>
      <c r="I276" s="270" t="e">
        <f>I$243</f>
        <v>#REF!</v>
      </c>
      <c r="J276" s="286" t="e">
        <f t="shared" ref="J276:X276" ca="1" si="150">J$243</f>
        <v>#REF!</v>
      </c>
      <c r="K276" s="286" t="e">
        <f t="shared" ca="1" si="150"/>
        <v>#REF!</v>
      </c>
      <c r="L276" s="286" t="e">
        <f t="shared" ca="1" si="150"/>
        <v>#REF!</v>
      </c>
      <c r="M276" s="286" t="e">
        <f t="shared" ca="1" si="150"/>
        <v>#REF!</v>
      </c>
      <c r="N276" s="286" t="e">
        <f t="shared" ca="1" si="150"/>
        <v>#REF!</v>
      </c>
      <c r="O276" s="287" t="e">
        <f t="shared" ca="1" si="150"/>
        <v>#REF!</v>
      </c>
      <c r="P276" s="287" t="e">
        <f t="shared" si="150"/>
        <v>#REF!</v>
      </c>
      <c r="Q276" s="287" t="e">
        <f t="shared" si="150"/>
        <v>#REF!</v>
      </c>
      <c r="R276" s="287" t="e">
        <f t="shared" si="150"/>
        <v>#REF!</v>
      </c>
      <c r="S276" s="287" t="e">
        <f t="shared" si="150"/>
        <v>#REF!</v>
      </c>
      <c r="T276" s="287" t="e">
        <f t="shared" si="150"/>
        <v>#REF!</v>
      </c>
      <c r="U276" s="287" t="e">
        <f t="shared" si="150"/>
        <v>#REF!</v>
      </c>
      <c r="V276" s="287" t="e">
        <f t="shared" si="150"/>
        <v>#REF!</v>
      </c>
      <c r="W276" s="287" t="e">
        <f t="shared" si="150"/>
        <v>#REF!</v>
      </c>
      <c r="X276" s="287" t="e">
        <f t="shared" si="150"/>
        <v>#REF!</v>
      </c>
      <c r="Y276" s="36"/>
    </row>
    <row r="277" spans="1:25" x14ac:dyDescent="0.2">
      <c r="A277" s="28" t="s">
        <v>221</v>
      </c>
      <c r="D277" s="72"/>
      <c r="E277" s="70" t="e">
        <f t="shared" ref="E277:X277" si="151">E$240</f>
        <v>#REF!</v>
      </c>
      <c r="F277" s="70" t="e">
        <f t="shared" si="151"/>
        <v>#REF!</v>
      </c>
      <c r="G277" s="70" t="e">
        <f t="shared" si="151"/>
        <v>#REF!</v>
      </c>
      <c r="H277" s="70" t="e">
        <f t="shared" si="151"/>
        <v>#REF!</v>
      </c>
      <c r="I277" s="70" t="e">
        <f t="shared" si="151"/>
        <v>#REF!</v>
      </c>
      <c r="J277" s="128" t="e">
        <f t="shared" ca="1" si="151"/>
        <v>#REF!</v>
      </c>
      <c r="K277" s="128" t="e">
        <f t="shared" ca="1" si="151"/>
        <v>#REF!</v>
      </c>
      <c r="L277" s="128" t="e">
        <f t="shared" ca="1" si="151"/>
        <v>#REF!</v>
      </c>
      <c r="M277" s="128" t="e">
        <f t="shared" ca="1" si="151"/>
        <v>#REF!</v>
      </c>
      <c r="N277" s="128" t="e">
        <f t="shared" ca="1" si="151"/>
        <v>#REF!</v>
      </c>
      <c r="O277" s="145" t="e">
        <f t="shared" ca="1" si="151"/>
        <v>#REF!</v>
      </c>
      <c r="P277" s="145" t="e">
        <f t="shared" ca="1" si="151"/>
        <v>#REF!</v>
      </c>
      <c r="Q277" s="145" t="e">
        <f t="shared" ca="1" si="151"/>
        <v>#REF!</v>
      </c>
      <c r="R277" s="145" t="e">
        <f t="shared" ca="1" si="151"/>
        <v>#REF!</v>
      </c>
      <c r="S277" s="145" t="e">
        <f t="shared" ca="1" si="151"/>
        <v>#REF!</v>
      </c>
      <c r="T277" s="145" t="e">
        <f t="shared" ca="1" si="151"/>
        <v>#REF!</v>
      </c>
      <c r="U277" s="145" t="e">
        <f t="shared" ca="1" si="151"/>
        <v>#REF!</v>
      </c>
      <c r="V277" s="145" t="e">
        <f t="shared" ca="1" si="151"/>
        <v>#REF!</v>
      </c>
      <c r="W277" s="145" t="e">
        <f t="shared" ca="1" si="151"/>
        <v>#REF!</v>
      </c>
      <c r="X277" s="145" t="e">
        <f t="shared" ca="1" si="151"/>
        <v>#REF!</v>
      </c>
      <c r="Y277" s="36"/>
    </row>
    <row r="278" spans="1:25" x14ac:dyDescent="0.2">
      <c r="A278" s="28" t="s">
        <v>428</v>
      </c>
      <c r="D278" s="72"/>
      <c r="E278" s="221" t="e">
        <f t="shared" ref="E278:X278" si="152">E$136/D$136 -(1+E$276+E$277)</f>
        <v>#REF!</v>
      </c>
      <c r="F278" s="221" t="e">
        <f t="shared" si="152"/>
        <v>#REF!</v>
      </c>
      <c r="G278" s="221" t="e">
        <f t="shared" si="152"/>
        <v>#REF!</v>
      </c>
      <c r="H278" s="221" t="e">
        <f t="shared" si="152"/>
        <v>#REF!</v>
      </c>
      <c r="I278" s="221" t="e">
        <f t="shared" si="152"/>
        <v>#REF!</v>
      </c>
      <c r="J278" s="146" t="e">
        <f t="shared" ca="1" si="152"/>
        <v>#REF!</v>
      </c>
      <c r="K278" s="146" t="e">
        <f t="shared" ca="1" si="152"/>
        <v>#REF!</v>
      </c>
      <c r="L278" s="146" t="e">
        <f t="shared" ca="1" si="152"/>
        <v>#REF!</v>
      </c>
      <c r="M278" s="146" t="e">
        <f t="shared" ca="1" si="152"/>
        <v>#REF!</v>
      </c>
      <c r="N278" s="146" t="e">
        <f t="shared" ca="1" si="152"/>
        <v>#REF!</v>
      </c>
      <c r="O278" s="147" t="e">
        <f t="shared" ca="1" si="152"/>
        <v>#REF!</v>
      </c>
      <c r="P278" s="147" t="e">
        <f t="shared" ca="1" si="152"/>
        <v>#REF!</v>
      </c>
      <c r="Q278" s="147" t="e">
        <f t="shared" ca="1" si="152"/>
        <v>#REF!</v>
      </c>
      <c r="R278" s="147" t="e">
        <f t="shared" ca="1" si="152"/>
        <v>#REF!</v>
      </c>
      <c r="S278" s="147" t="e">
        <f t="shared" ca="1" si="152"/>
        <v>#REF!</v>
      </c>
      <c r="T278" s="147" t="e">
        <f t="shared" ca="1" si="152"/>
        <v>#REF!</v>
      </c>
      <c r="U278" s="147" t="e">
        <f t="shared" ca="1" si="152"/>
        <v>#REF!</v>
      </c>
      <c r="V278" s="147" t="e">
        <f t="shared" ca="1" si="152"/>
        <v>#REF!</v>
      </c>
      <c r="W278" s="147" t="e">
        <f t="shared" ca="1" si="152"/>
        <v>#REF!</v>
      </c>
      <c r="X278" s="147" t="e">
        <f t="shared" ca="1" si="152"/>
        <v>#REF!</v>
      </c>
      <c r="Y278" s="36"/>
    </row>
    <row r="279" spans="1:25" x14ac:dyDescent="0.2">
      <c r="A279" s="82" t="s">
        <v>177</v>
      </c>
      <c r="D279" s="72"/>
      <c r="E279" s="222" t="e">
        <f t="shared" ref="E279:X279" si="153">E$136/D$136 -1</f>
        <v>#REF!</v>
      </c>
      <c r="F279" s="222" t="e">
        <f t="shared" si="153"/>
        <v>#REF!</v>
      </c>
      <c r="G279" s="222" t="e">
        <f t="shared" si="153"/>
        <v>#REF!</v>
      </c>
      <c r="H279" s="222" t="e">
        <f t="shared" si="153"/>
        <v>#REF!</v>
      </c>
      <c r="I279" s="222" t="e">
        <f t="shared" si="153"/>
        <v>#REF!</v>
      </c>
      <c r="J279" s="122" t="e">
        <f t="shared" ca="1" si="153"/>
        <v>#REF!</v>
      </c>
      <c r="K279" s="122" t="e">
        <f t="shared" ca="1" si="153"/>
        <v>#REF!</v>
      </c>
      <c r="L279" s="122" t="e">
        <f t="shared" ca="1" si="153"/>
        <v>#REF!</v>
      </c>
      <c r="M279" s="122" t="e">
        <f t="shared" ca="1" si="153"/>
        <v>#REF!</v>
      </c>
      <c r="N279" s="122" t="e">
        <f t="shared" ca="1" si="153"/>
        <v>#REF!</v>
      </c>
      <c r="O279" s="121" t="e">
        <f t="shared" ca="1" si="153"/>
        <v>#REF!</v>
      </c>
      <c r="P279" s="121" t="e">
        <f t="shared" ca="1" si="153"/>
        <v>#REF!</v>
      </c>
      <c r="Q279" s="121" t="e">
        <f t="shared" ca="1" si="153"/>
        <v>#REF!</v>
      </c>
      <c r="R279" s="121" t="e">
        <f t="shared" ca="1" si="153"/>
        <v>#REF!</v>
      </c>
      <c r="S279" s="121" t="e">
        <f t="shared" ca="1" si="153"/>
        <v>#REF!</v>
      </c>
      <c r="T279" s="121" t="e">
        <f t="shared" ca="1" si="153"/>
        <v>#REF!</v>
      </c>
      <c r="U279" s="121" t="e">
        <f t="shared" ca="1" si="153"/>
        <v>#REF!</v>
      </c>
      <c r="V279" s="121" t="e">
        <f t="shared" ca="1" si="153"/>
        <v>#REF!</v>
      </c>
      <c r="W279" s="121" t="e">
        <f t="shared" ca="1" si="153"/>
        <v>#REF!</v>
      </c>
      <c r="X279" s="121" t="e">
        <f t="shared" ca="1" si="153"/>
        <v>#REF!</v>
      </c>
      <c r="Y279" s="36"/>
    </row>
    <row r="280" spans="1:25" x14ac:dyDescent="0.2">
      <c r="K280" s="127"/>
    </row>
    <row r="281" spans="1:25" x14ac:dyDescent="0.2">
      <c r="A281" s="27" t="s">
        <v>536</v>
      </c>
      <c r="K281" s="127"/>
    </row>
    <row r="282" spans="1:25" x14ac:dyDescent="0.2">
      <c r="A282" s="28" t="s">
        <v>537</v>
      </c>
      <c r="D282" s="202" t="str">
        <f>IF(D$4&lt;=($C$4+'Forecast Adjuster'!$F$1),"History",D$4-$C$4-'Forecast Adjuster'!$F$1+1)</f>
        <v>History</v>
      </c>
      <c r="E282" s="202" t="str">
        <f>IF(E$4&lt;=($C$4+'Forecast Adjuster'!$F$1),"History",E$4-$C$4-'Forecast Adjuster'!$F$1+1)</f>
        <v>History</v>
      </c>
      <c r="F282" s="202" t="str">
        <f>IF(F$4&lt;=($C$4+'Forecast Adjuster'!$F$1),"History",F$4-$C$4-'Forecast Adjuster'!$F$1+1)</f>
        <v>History</v>
      </c>
      <c r="G282" s="202" t="str">
        <f>IF(G$4&lt;=($C$4+'Forecast Adjuster'!$F$1),"History",G$4-$C$4-'Forecast Adjuster'!$F$1+1)</f>
        <v>History</v>
      </c>
      <c r="H282" s="202" t="str">
        <f>IF(H$4&lt;=($C$4+'Forecast Adjuster'!$F$1),"History",H$4-$C$4-'Forecast Adjuster'!$F$1+1)</f>
        <v>History</v>
      </c>
      <c r="I282" s="202" t="str">
        <f>IF(I$4&lt;=($C$4+'Forecast Adjuster'!$F$1),"History",I$4-$C$4-'Forecast Adjuster'!$F$1+1)</f>
        <v>History</v>
      </c>
      <c r="J282" s="203">
        <f>IF(J$4&lt;=($C$4+'Forecast Adjuster'!$F$1),"History",J$4-$C$4-'Forecast Adjuster'!$F$1+1)</f>
        <v>2</v>
      </c>
      <c r="K282" s="203">
        <f>IF(K$4&lt;=($C$4+'Forecast Adjuster'!$F$1),"History",K$4-$C$4-'Forecast Adjuster'!$F$1+1)</f>
        <v>3</v>
      </c>
      <c r="L282" s="203">
        <f>IF(L$4&lt;=($C$4+'Forecast Adjuster'!$F$1),"History",L$4-$C$4-'Forecast Adjuster'!$F$1+1)</f>
        <v>4</v>
      </c>
      <c r="M282" s="203">
        <f>IF(M$4&lt;=($C$4+'Forecast Adjuster'!$F$1),"History",M$4-$C$4-'Forecast Adjuster'!$F$1+1)</f>
        <v>5</v>
      </c>
      <c r="N282" s="203">
        <f>IF(N$4&lt;=($C$4+'Forecast Adjuster'!$F$1),"History",N$4-$C$4-'Forecast Adjuster'!$F$1+1)</f>
        <v>6</v>
      </c>
      <c r="O282" s="203">
        <f>IF(O$4&lt;=($C$4+'Forecast Adjuster'!$F$1),"History",O$4-$C$4-'Forecast Adjuster'!$F$1+1)</f>
        <v>7</v>
      </c>
      <c r="P282" s="203">
        <f>IF(P$4&lt;=($C$4+'Forecast Adjuster'!$F$1),"History",P$4-$C$4-'Forecast Adjuster'!$F$1+1)</f>
        <v>8</v>
      </c>
    </row>
    <row r="283" spans="1:25" x14ac:dyDescent="0.2">
      <c r="A283" s="27" t="s">
        <v>367</v>
      </c>
      <c r="K283" s="127"/>
    </row>
    <row r="284" spans="1:25" x14ac:dyDescent="0.2">
      <c r="A284" s="28" t="s">
        <v>732</v>
      </c>
      <c r="J284" s="36">
        <f ca="1">IF($I$1="Yes",OFFSET('Forecast Adjuster'!$A$9,0,J$282)/1000,0)</f>
        <v>0</v>
      </c>
      <c r="K284" s="36">
        <f ca="1">IF($I$1="Yes",OFFSET('Forecast Adjuster'!$A$9,0,K$282)/1000,0)</f>
        <v>0</v>
      </c>
      <c r="L284" s="36">
        <f ca="1">IF($I$1="Yes",OFFSET('Forecast Adjuster'!$A$9,0,L$282)/1000,0)</f>
        <v>0</v>
      </c>
      <c r="M284" s="36">
        <f ca="1">IF($I$1="Yes",OFFSET('Forecast Adjuster'!$A$9,0,M$282)/1000,0)</f>
        <v>0</v>
      </c>
      <c r="N284" s="36">
        <f ca="1">IF($I$1="Yes",OFFSET('Forecast Adjuster'!$A$9,0,N$282)/1000,0)</f>
        <v>0</v>
      </c>
    </row>
    <row r="285" spans="1:25" x14ac:dyDescent="0.2">
      <c r="A285" s="28" t="s">
        <v>733</v>
      </c>
      <c r="J285" s="36">
        <f ca="1">IF($I$1="Yes",OFFSET('Forecast Adjuster'!$A$10,0,J$282)/1000,0)</f>
        <v>0</v>
      </c>
      <c r="K285" s="36">
        <f ca="1">IF($I$1="Yes",OFFSET('Forecast Adjuster'!$A$10,0,K$282)/1000,0)</f>
        <v>0</v>
      </c>
      <c r="L285" s="36">
        <f ca="1">IF($I$1="Yes",OFFSET('Forecast Adjuster'!$A$10,0,L$282)/1000,0)</f>
        <v>0</v>
      </c>
      <c r="M285" s="36">
        <f ca="1">IF($I$1="Yes",OFFSET('Forecast Adjuster'!$A$10,0,M$282)/1000,0)</f>
        <v>0</v>
      </c>
      <c r="N285" s="36">
        <f ca="1">IF($I$1="Yes",OFFSET('Forecast Adjuster'!$A$10,0,N$282)/1000,0)</f>
        <v>0</v>
      </c>
    </row>
    <row r="286" spans="1:25" x14ac:dyDescent="0.2">
      <c r="A286" s="28" t="s">
        <v>908</v>
      </c>
      <c r="J286" s="36">
        <f ca="1">IF($I$1="Yes",OFFSET('Forecast Adjuster'!$A$11,0,J$282)/1000,0)</f>
        <v>0</v>
      </c>
      <c r="K286" s="36">
        <f ca="1">IF($I$1="Yes",OFFSET('Forecast Adjuster'!$A$11,0,K$282)/1000,0)</f>
        <v>0</v>
      </c>
      <c r="L286" s="36">
        <f ca="1">IF($I$1="Yes",OFFSET('Forecast Adjuster'!$A$11,0,L$282)/1000,0)</f>
        <v>0</v>
      </c>
      <c r="M286" s="36">
        <f ca="1">IF($I$1="Yes",OFFSET('Forecast Adjuster'!$A$11,0,M$282)/1000,0)</f>
        <v>0</v>
      </c>
      <c r="N286" s="36">
        <f ca="1">IF($I$1="Yes",OFFSET('Forecast Adjuster'!$A$11,0,N$282)/1000,0)</f>
        <v>0</v>
      </c>
    </row>
    <row r="287" spans="1:25" x14ac:dyDescent="0.2">
      <c r="A287" s="28" t="s">
        <v>909</v>
      </c>
      <c r="J287" s="36">
        <f ca="1">IF($I$1="Yes",OFFSET('Forecast Adjuster'!$A$12,0,J$282)/1000,0)</f>
        <v>0</v>
      </c>
      <c r="K287" s="36">
        <f ca="1">IF($I$1="Yes",OFFSET('Forecast Adjuster'!$A$12,0,K$282)/1000,0)</f>
        <v>0</v>
      </c>
      <c r="L287" s="36">
        <f ca="1">IF($I$1="Yes",OFFSET('Forecast Adjuster'!$A$12,0,L$282)/1000,0)</f>
        <v>0</v>
      </c>
      <c r="M287" s="36">
        <f ca="1">IF($I$1="Yes",OFFSET('Forecast Adjuster'!$A$12,0,M$282)/1000,0)</f>
        <v>0</v>
      </c>
      <c r="N287" s="36">
        <f ca="1">IF($I$1="Yes",OFFSET('Forecast Adjuster'!$A$12,0,N$282)/1000,0)</f>
        <v>0</v>
      </c>
    </row>
    <row r="288" spans="1:25" x14ac:dyDescent="0.2">
      <c r="A288" s="28" t="s">
        <v>538</v>
      </c>
      <c r="J288" s="36">
        <f>IF($I$1="Yes",J$241*SUM(I$309,J$309)/2,0)</f>
        <v>0</v>
      </c>
      <c r="K288" s="36">
        <f>IF($I$1="Yes",K$241*SUM(J$309,K$309)/2,0)</f>
        <v>0</v>
      </c>
      <c r="L288" s="36">
        <f>IF($I$1="Yes",L$241*SUM(K$309,L$309)/2,0)</f>
        <v>0</v>
      </c>
      <c r="M288" s="36">
        <f>IF($I$1="Yes",M$241*SUM(L$309,M$309)/2,0)</f>
        <v>0</v>
      </c>
      <c r="N288" s="36">
        <f>IF($I$1="Yes",N$241*SUM(M$309,N$309)/2,0)</f>
        <v>0</v>
      </c>
    </row>
    <row r="289" spans="1:14" x14ac:dyDescent="0.2">
      <c r="A289" s="28" t="s">
        <v>841</v>
      </c>
      <c r="J289" s="36">
        <f>IF($I$1="Yes",J$241*SUM(I$310,J$310)/2,0)</f>
        <v>0</v>
      </c>
      <c r="K289" s="36">
        <f>IF($I$1="Yes",K$241*SUM(J$310,K$310)/2,0)</f>
        <v>0</v>
      </c>
      <c r="L289" s="36">
        <f>IF($I$1="Yes",L$241*SUM(K$310,L$310)/2,0)</f>
        <v>0</v>
      </c>
      <c r="M289" s="36">
        <f>IF($I$1="Yes",M$241*SUM(L$310,M$310)/2,0)</f>
        <v>0</v>
      </c>
      <c r="N289" s="36">
        <f>IF($I$1="Yes",N$241*SUM(M$310,N$310)/2,0)</f>
        <v>0</v>
      </c>
    </row>
    <row r="290" spans="1:14" x14ac:dyDescent="0.2">
      <c r="A290" s="28" t="s">
        <v>745</v>
      </c>
      <c r="J290" s="36">
        <f ca="1">IF($I$1="Yes",OFFSET('Forecast Adjuster'!$A$13,0,J$282)/1000,0)</f>
        <v>0</v>
      </c>
      <c r="K290" s="36">
        <f ca="1">IF($I$1="Yes",OFFSET('Forecast Adjuster'!$A$13,0,K$282)/1000,0)</f>
        <v>0</v>
      </c>
      <c r="L290" s="36">
        <f ca="1">IF($I$1="Yes",OFFSET('Forecast Adjuster'!$A$13,0,L$282)/1000,0)</f>
        <v>0</v>
      </c>
      <c r="M290" s="36">
        <f ca="1">IF($I$1="Yes",OFFSET('Forecast Adjuster'!$A$13,0,M$282)/1000,0)</f>
        <v>0</v>
      </c>
      <c r="N290" s="36">
        <f ca="1">IF($I$1="Yes",OFFSET('Forecast Adjuster'!$A$13,0,N$282)/1000,0)</f>
        <v>0</v>
      </c>
    </row>
    <row r="291" spans="1:14" s="73" customFormat="1" x14ac:dyDescent="0.2">
      <c r="A291" s="28" t="s">
        <v>829</v>
      </c>
      <c r="B291"/>
      <c r="C291" s="72"/>
      <c r="D291" s="127"/>
      <c r="E291" s="127"/>
      <c r="F291" s="127"/>
      <c r="G291" s="127"/>
      <c r="H291" s="127"/>
      <c r="I291" s="127"/>
      <c r="J291" s="36">
        <f ca="1">IF($I$1="Yes",OFFSET('Forecast Adjuster'!$A$15,0,J$282)/1000,0)</f>
        <v>0</v>
      </c>
      <c r="K291" s="36">
        <f ca="1">IF($I$1="Yes",OFFSET('Forecast Adjuster'!$A$15,0,K$282)/1000,0)</f>
        <v>0</v>
      </c>
      <c r="L291" s="36">
        <f ca="1">IF($I$1="Yes",OFFSET('Forecast Adjuster'!$A$15,0,L$282)/1000,0)</f>
        <v>0</v>
      </c>
      <c r="M291" s="36">
        <f ca="1">IF($I$1="Yes",OFFSET('Forecast Adjuster'!$A$15,0,M$282)/1000,0)</f>
        <v>0</v>
      </c>
      <c r="N291" s="36">
        <f ca="1">IF($I$1="Yes",OFFSET('Forecast Adjuster'!$A$15,0,N$282)/1000,0)</f>
        <v>0</v>
      </c>
    </row>
    <row r="292" spans="1:14" s="73" customFormat="1" x14ac:dyDescent="0.2">
      <c r="A292" s="28" t="s">
        <v>912</v>
      </c>
      <c r="B292"/>
      <c r="C292" s="72"/>
      <c r="D292" s="127"/>
      <c r="E292" s="127"/>
      <c r="F292" s="127"/>
      <c r="G292" s="127"/>
      <c r="H292" s="127"/>
      <c r="I292" s="127"/>
      <c r="J292" s="36">
        <f ca="1">IF($I$1="Yes",OFFSET('Forecast Adjuster'!$A$16,0,J$282)/1000,0)</f>
        <v>0</v>
      </c>
      <c r="K292" s="36">
        <f ca="1">IF($I$1="Yes",OFFSET('Forecast Adjuster'!$A$16,0,K$282)/1000,0)</f>
        <v>0</v>
      </c>
      <c r="L292" s="36">
        <f ca="1">IF($I$1="Yes",OFFSET('Forecast Adjuster'!$A$16,0,L$282)/1000,0)</f>
        <v>0</v>
      </c>
      <c r="M292" s="36">
        <f ca="1">IF($I$1="Yes",OFFSET('Forecast Adjuster'!$A$16,0,M$282)/1000,0)</f>
        <v>0</v>
      </c>
      <c r="N292" s="36">
        <f ca="1">IF($I$1="Yes",OFFSET('Forecast Adjuster'!$A$16,0,N$282)/1000,0)</f>
        <v>0</v>
      </c>
    </row>
    <row r="293" spans="1:14" s="73" customFormat="1" x14ac:dyDescent="0.2">
      <c r="A293" s="28" t="s">
        <v>916</v>
      </c>
      <c r="B293"/>
      <c r="C293" s="72"/>
      <c r="D293" s="127"/>
      <c r="E293" s="127"/>
      <c r="F293" s="127"/>
      <c r="G293" s="127"/>
      <c r="H293" s="127"/>
      <c r="I293" s="127"/>
      <c r="J293" s="36">
        <f ca="1">IF($I$1="Yes",OFFSET('Forecast Adjuster'!$A$17,0,J$282)/1000,0)</f>
        <v>0</v>
      </c>
      <c r="K293" s="36">
        <f ca="1">IF($I$1="Yes",OFFSET('Forecast Adjuster'!$A$17,0,K$282)/1000,0)</f>
        <v>0</v>
      </c>
      <c r="L293" s="36">
        <f ca="1">IF($I$1="Yes",OFFSET('Forecast Adjuster'!$A$17,0,L$282)/1000,0)</f>
        <v>0</v>
      </c>
      <c r="M293" s="36">
        <f ca="1">IF($I$1="Yes",OFFSET('Forecast Adjuster'!$A$17,0,M$282)/1000,0)</f>
        <v>0</v>
      </c>
      <c r="N293" s="36">
        <f ca="1">IF($I$1="Yes",OFFSET('Forecast Adjuster'!$A$17,0,N$282)/1000,0)</f>
        <v>0</v>
      </c>
    </row>
    <row r="294" spans="1:14" s="73" customFormat="1" x14ac:dyDescent="0.2">
      <c r="A294" s="28" t="s">
        <v>917</v>
      </c>
      <c r="B294"/>
      <c r="C294" s="72"/>
      <c r="D294" s="127"/>
      <c r="E294" s="127"/>
      <c r="F294" s="127"/>
      <c r="G294" s="127"/>
      <c r="H294" s="127"/>
      <c r="I294" s="127"/>
      <c r="J294" s="36">
        <f ca="1">IF($I$1="Yes",OFFSET('Forecast Adjuster'!$A$18,0,J$282)/1000,0)</f>
        <v>0</v>
      </c>
      <c r="K294" s="36">
        <f ca="1">IF($I$1="Yes",OFFSET('Forecast Adjuster'!$A$18,0,K$282)/1000,0)</f>
        <v>0</v>
      </c>
      <c r="L294" s="36">
        <f ca="1">IF($I$1="Yes",OFFSET('Forecast Adjuster'!$A$18,0,L$282)/1000,0)</f>
        <v>0</v>
      </c>
      <c r="M294" s="36">
        <f ca="1">IF($I$1="Yes",OFFSET('Forecast Adjuster'!$A$18,0,M$282)/1000,0)</f>
        <v>0</v>
      </c>
      <c r="N294" s="36">
        <f ca="1">IF($I$1="Yes",OFFSET('Forecast Adjuster'!$A$18,0,N$282)/1000,0)</f>
        <v>0</v>
      </c>
    </row>
    <row r="295" spans="1:14" s="73" customFormat="1" x14ac:dyDescent="0.2">
      <c r="A295" s="28" t="s">
        <v>921</v>
      </c>
      <c r="B295"/>
      <c r="C295" s="72"/>
      <c r="D295" s="127"/>
      <c r="E295" s="127"/>
      <c r="F295" s="127"/>
      <c r="G295" s="127"/>
      <c r="H295" s="127"/>
      <c r="I295" s="127"/>
      <c r="J295" s="36">
        <f ca="1">IF($I$1="Yes",OFFSET('Forecast Adjuster'!$A$19,0,J$282)/1000,0)</f>
        <v>0</v>
      </c>
      <c r="K295" s="36">
        <f ca="1">IF($I$1="Yes",OFFSET('Forecast Adjuster'!$A$19,0,K$282)/1000,0)</f>
        <v>0</v>
      </c>
      <c r="L295" s="36">
        <f ca="1">IF($I$1="Yes",OFFSET('Forecast Adjuster'!$A$19,0,L$282)/1000,0)</f>
        <v>0</v>
      </c>
      <c r="M295" s="36">
        <f ca="1">IF($I$1="Yes",OFFSET('Forecast Adjuster'!$A$19,0,M$282)/1000,0)</f>
        <v>0</v>
      </c>
      <c r="N295" s="36">
        <f ca="1">IF($I$1="Yes",OFFSET('Forecast Adjuster'!$A$19,0,N$282)/1000,0)</f>
        <v>0</v>
      </c>
    </row>
    <row r="296" spans="1:14" s="73" customFormat="1" x14ac:dyDescent="0.2">
      <c r="A296" s="28" t="s">
        <v>1002</v>
      </c>
      <c r="B296"/>
      <c r="C296" s="72"/>
      <c r="D296" s="127"/>
      <c r="E296" s="127"/>
      <c r="F296" s="127"/>
      <c r="G296" s="127"/>
      <c r="H296" s="127"/>
      <c r="I296" s="127"/>
      <c r="J296" s="36">
        <f ca="1">IF($I$1="Yes",OFFSET('Forecast Adjuster'!$A$20,0,J$282)/1000,0)</f>
        <v>0</v>
      </c>
      <c r="K296" s="36">
        <f ca="1">IF($I$1="Yes",OFFSET('Forecast Adjuster'!$A$20,0,K$282)/1000,0)</f>
        <v>0</v>
      </c>
      <c r="L296" s="36">
        <f ca="1">IF($I$1="Yes",OFFSET('Forecast Adjuster'!$A$20,0,L$282)/1000,0)</f>
        <v>0</v>
      </c>
      <c r="M296" s="36">
        <f ca="1">IF($I$1="Yes",OFFSET('Forecast Adjuster'!$A$20,0,M$282)/1000,0)</f>
        <v>0</v>
      </c>
      <c r="N296" s="36">
        <f ca="1">IF($I$1="Yes",OFFSET('Forecast Adjuster'!$A$20,0,N$282)/1000,0)</f>
        <v>0</v>
      </c>
    </row>
    <row r="297" spans="1:14" s="73" customFormat="1" x14ac:dyDescent="0.2">
      <c r="A297" s="28" t="s">
        <v>1013</v>
      </c>
      <c r="B297"/>
      <c r="C297" s="72"/>
      <c r="D297" s="127"/>
      <c r="E297" s="127"/>
      <c r="F297" s="127"/>
      <c r="G297" s="127"/>
      <c r="H297" s="127"/>
      <c r="I297" s="127"/>
      <c r="J297" s="36">
        <f ca="1">IF($I$1="Yes",OFFSET('Forecast Adjuster'!$A$21,0,J$282)/1000,0)</f>
        <v>0</v>
      </c>
      <c r="K297" s="36">
        <f ca="1">IF($I$1="Yes",OFFSET('Forecast Adjuster'!$A$21,0,K$282)/1000,0)</f>
        <v>0</v>
      </c>
      <c r="L297" s="36">
        <f ca="1">IF($I$1="Yes",OFFSET('Forecast Adjuster'!$A$21,0,L$282)/1000,0)</f>
        <v>0</v>
      </c>
      <c r="M297" s="36">
        <f ca="1">IF($I$1="Yes",OFFSET('Forecast Adjuster'!$A$21,0,M$282)/1000,0)</f>
        <v>0</v>
      </c>
      <c r="N297" s="36">
        <f ca="1">IF($I$1="Yes",OFFSET('Forecast Adjuster'!$A$21,0,N$282)/1000,0)</f>
        <v>0</v>
      </c>
    </row>
    <row r="298" spans="1:14" s="73" customFormat="1" x14ac:dyDescent="0.2">
      <c r="A298" s="28" t="s">
        <v>746</v>
      </c>
      <c r="B298"/>
      <c r="C298" s="72"/>
      <c r="D298" s="127"/>
      <c r="E298" s="127"/>
      <c r="F298" s="127"/>
      <c r="G298" s="127"/>
      <c r="H298" s="127"/>
      <c r="I298" s="127"/>
      <c r="J298" s="36">
        <f ca="1">IF($I$1="Yes",OFFSET('Forecast Adjuster'!$A$22,0,J$282)/1000,0)</f>
        <v>0</v>
      </c>
      <c r="K298" s="36">
        <f ca="1">IF($I$1="Yes",OFFSET('Forecast Adjuster'!$A$22,0,K$282)/1000,0)</f>
        <v>0</v>
      </c>
      <c r="L298" s="36">
        <f ca="1">IF($I$1="Yes",OFFSET('Forecast Adjuster'!$A$22,0,L$282)/1000,0)</f>
        <v>0</v>
      </c>
      <c r="M298" s="36">
        <f ca="1">IF($I$1="Yes",OFFSET('Forecast Adjuster'!$A$22,0,M$282)/1000,0)</f>
        <v>0</v>
      </c>
      <c r="N298" s="36">
        <f ca="1">IF($I$1="Yes",OFFSET('Forecast Adjuster'!$A$22,0,N$282)/1000,0)</f>
        <v>0</v>
      </c>
    </row>
    <row r="299" spans="1:14" s="73" customFormat="1" x14ac:dyDescent="0.2">
      <c r="A299" s="28" t="s">
        <v>843</v>
      </c>
      <c r="B299"/>
      <c r="C299" s="72"/>
      <c r="D299" s="127"/>
      <c r="E299" s="127"/>
      <c r="F299" s="127"/>
      <c r="G299" s="127"/>
      <c r="H299" s="127"/>
      <c r="I299" s="127"/>
      <c r="J299" s="36">
        <f ca="1">IF($I$1="Yes",OFFSET('Forecast Adjuster'!$A$23,0,J$282)/1000,0)</f>
        <v>0</v>
      </c>
      <c r="K299" s="36">
        <f ca="1">IF($I$1="Yes",OFFSET('Forecast Adjuster'!$A$23,0,K$282)/1000,0)</f>
        <v>0</v>
      </c>
      <c r="L299" s="36">
        <f ca="1">IF($I$1="Yes",OFFSET('Forecast Adjuster'!$A$23,0,L$282)/1000,0)</f>
        <v>0</v>
      </c>
      <c r="M299" s="36">
        <f ca="1">IF($I$1="Yes",OFFSET('Forecast Adjuster'!$A$23,0,M$282)/1000,0)</f>
        <v>0</v>
      </c>
      <c r="N299" s="36">
        <f ca="1">IF($I$1="Yes",OFFSET('Forecast Adjuster'!$A$23,0,N$282)/1000,0)</f>
        <v>0</v>
      </c>
    </row>
    <row r="300" spans="1:14" s="73" customFormat="1" x14ac:dyDescent="0.2">
      <c r="A300" s="28" t="s">
        <v>1008</v>
      </c>
      <c r="B300" s="50"/>
      <c r="C300" s="72"/>
      <c r="D300" s="127"/>
      <c r="E300" s="127"/>
      <c r="F300" s="127"/>
      <c r="G300" s="127"/>
      <c r="H300" s="127"/>
      <c r="I300" s="127"/>
      <c r="J300" s="36">
        <f ca="1">IF($I$1="Yes",OFFSET('Forecast Adjuster'!$A$24,0,J$282)/1000,0)</f>
        <v>0</v>
      </c>
      <c r="K300" s="36">
        <f ca="1">IF($I$1="Yes",OFFSET('Forecast Adjuster'!$A$24,0,K$282)/1000,0)</f>
        <v>0</v>
      </c>
      <c r="L300" s="36">
        <f ca="1">IF($I$1="Yes",OFFSET('Forecast Adjuster'!$A$24,0,L$282)/1000,0)</f>
        <v>0</v>
      </c>
      <c r="M300" s="36">
        <f ca="1">IF($I$1="Yes",OFFSET('Forecast Adjuster'!$A$24,0,M$282)/1000,0)</f>
        <v>0</v>
      </c>
      <c r="N300" s="36">
        <f ca="1">IF($I$1="Yes",OFFSET('Forecast Adjuster'!$A$24,0,N$282)/1000,0)</f>
        <v>0</v>
      </c>
    </row>
    <row r="301" spans="1:14" s="73" customFormat="1" x14ac:dyDescent="0.2">
      <c r="A301" s="28" t="s">
        <v>1009</v>
      </c>
      <c r="B301" s="50"/>
      <c r="C301" s="72"/>
      <c r="D301" s="127"/>
      <c r="E301" s="127"/>
      <c r="F301" s="127"/>
      <c r="G301" s="127"/>
      <c r="H301" s="127"/>
      <c r="I301" s="127"/>
      <c r="J301" s="36">
        <f ca="1">IF($I$1="Yes",OFFSET('Forecast Adjuster'!$A$25,0,J$282)/1000,0)</f>
        <v>0</v>
      </c>
      <c r="K301" s="36">
        <f ca="1">IF($I$1="Yes",OFFSET('Forecast Adjuster'!$A$25,0,K$282)/1000,0)</f>
        <v>0</v>
      </c>
      <c r="L301" s="36">
        <f ca="1">IF($I$1="Yes",OFFSET('Forecast Adjuster'!$A$25,0,L$282)/1000,0)</f>
        <v>0</v>
      </c>
      <c r="M301" s="36">
        <f ca="1">IF($I$1="Yes",OFFSET('Forecast Adjuster'!$A$25,0,M$282)/1000,0)</f>
        <v>0</v>
      </c>
      <c r="N301" s="36">
        <f ca="1">IF($I$1="Yes",OFFSET('Forecast Adjuster'!$A$25,0,N$282)/1000,0)</f>
        <v>0</v>
      </c>
    </row>
    <row r="302" spans="1:14" s="73" customFormat="1" x14ac:dyDescent="0.2">
      <c r="A302" s="28" t="s">
        <v>828</v>
      </c>
      <c r="B302"/>
      <c r="C302" s="72"/>
      <c r="D302" s="127"/>
      <c r="E302" s="127"/>
      <c r="F302" s="127"/>
      <c r="G302" s="127"/>
      <c r="H302" s="127"/>
      <c r="I302" s="127"/>
      <c r="J302" s="36">
        <f ca="1">IF($I$1="Yes",OFFSET('Forecast Adjuster'!$A$26,0,J$282)/1000,0)</f>
        <v>0</v>
      </c>
      <c r="K302" s="36">
        <f ca="1">IF($I$1="Yes",OFFSET('Forecast Adjuster'!$A$26,0,K$282)/1000,0)</f>
        <v>0</v>
      </c>
      <c r="L302" s="36">
        <f ca="1">IF($I$1="Yes",OFFSET('Forecast Adjuster'!$A$26,0,L$282)/1000,0)</f>
        <v>0</v>
      </c>
      <c r="M302" s="36">
        <f ca="1">IF($I$1="Yes",OFFSET('Forecast Adjuster'!$A$26,0,M$282)/1000,0)</f>
        <v>0</v>
      </c>
      <c r="N302" s="36">
        <f ca="1">IF($I$1="Yes",OFFSET('Forecast Adjuster'!$A$26,0,N$282)/1000,0)</f>
        <v>0</v>
      </c>
    </row>
    <row r="303" spans="1:14" s="73" customFormat="1" x14ac:dyDescent="0.2">
      <c r="A303" s="28" t="s">
        <v>836</v>
      </c>
      <c r="B303"/>
      <c r="C303" s="72"/>
      <c r="D303" s="127"/>
      <c r="E303" s="127"/>
      <c r="F303" s="127"/>
      <c r="G303" s="127"/>
      <c r="H303" s="127"/>
      <c r="I303" s="127"/>
      <c r="J303" s="36">
        <f ca="1">IF($I$1="Yes",OFFSET('Forecast Adjuster'!$A$27,0,J$282)/1000,0)</f>
        <v>0</v>
      </c>
      <c r="K303" s="36">
        <f ca="1">IF($I$1="Yes",OFFSET('Forecast Adjuster'!$A$27,0,K$282)/1000,0)</f>
        <v>0</v>
      </c>
      <c r="L303" s="36">
        <f ca="1">IF($I$1="Yes",OFFSET('Forecast Adjuster'!$A$27,0,L$282)/1000,0)</f>
        <v>0</v>
      </c>
      <c r="M303" s="36">
        <f ca="1">IF($I$1="Yes",OFFSET('Forecast Adjuster'!$A$27,0,M$282)/1000,0)</f>
        <v>0</v>
      </c>
      <c r="N303" s="36">
        <f ca="1">IF($I$1="Yes",OFFSET('Forecast Adjuster'!$A$27,0,N$282)/1000,0)</f>
        <v>0</v>
      </c>
    </row>
    <row r="304" spans="1:14" s="73" customFormat="1" x14ac:dyDescent="0.2">
      <c r="A304" s="28" t="s">
        <v>539</v>
      </c>
      <c r="B304"/>
      <c r="C304" s="72"/>
      <c r="D304" s="127"/>
      <c r="E304" s="127"/>
      <c r="F304" s="127"/>
      <c r="G304" s="127"/>
      <c r="H304" s="127"/>
      <c r="I304" s="127"/>
      <c r="J304" s="36">
        <f ca="1">IF($I$1="Yes",SUM(OFFSET('Forecast Adjuster'!$A$29,0,J$282)/1000,I$304),0)</f>
        <v>0</v>
      </c>
      <c r="K304" s="36">
        <f ca="1">IF($I$1="Yes",SUM(OFFSET('Forecast Adjuster'!$A$29,0,K$282)/1000,J$304),0)</f>
        <v>0</v>
      </c>
      <c r="L304" s="36">
        <f ca="1">IF($I$1="Yes",SUM(OFFSET('Forecast Adjuster'!$A$29,0,L$282)/1000,K$304),0)</f>
        <v>0</v>
      </c>
      <c r="M304" s="36">
        <f ca="1">IF($I$1="Yes",SUM(OFFSET('Forecast Adjuster'!$A$29,0,M$282)/1000,L$304),0)</f>
        <v>0</v>
      </c>
      <c r="N304" s="36">
        <f ca="1">IF($I$1="Yes",SUM(OFFSET('Forecast Adjuster'!$A$29,0,N$282)/1000,M$304),0)</f>
        <v>0</v>
      </c>
    </row>
    <row r="305" spans="1:14" s="73" customFormat="1" x14ac:dyDescent="0.2">
      <c r="A305" s="28" t="s">
        <v>786</v>
      </c>
      <c r="B305"/>
      <c r="C305" s="72"/>
      <c r="D305" s="127"/>
      <c r="E305" s="127"/>
      <c r="F305" s="127"/>
      <c r="G305" s="127"/>
      <c r="H305" s="127"/>
      <c r="I305" s="127"/>
      <c r="J305" s="36" t="e">
        <f ca="1">J$241*J$314/2</f>
        <v>#REF!</v>
      </c>
      <c r="K305" s="36" t="e">
        <f ca="1">K$241*K$314/2</f>
        <v>#REF!</v>
      </c>
      <c r="L305" s="36" t="e">
        <f ca="1">L$241*L$314/2</f>
        <v>#REF!</v>
      </c>
      <c r="M305" s="36" t="e">
        <f ca="1">M$241*M$314/2</f>
        <v>#REF!</v>
      </c>
      <c r="N305" s="36" t="e">
        <f ca="1">N$241*N$314/2</f>
        <v>#REF!</v>
      </c>
    </row>
    <row r="306" spans="1:14" s="73" customFormat="1" x14ac:dyDescent="0.2">
      <c r="A306" s="28" t="s">
        <v>787</v>
      </c>
      <c r="B306"/>
      <c r="C306" s="72"/>
      <c r="D306" s="127"/>
      <c r="E306" s="127"/>
      <c r="F306" s="127"/>
      <c r="G306" s="127"/>
      <c r="H306" s="127"/>
      <c r="I306" s="127"/>
      <c r="J306" s="36" t="e">
        <f ca="1">J$241*J$305/2</f>
        <v>#REF!</v>
      </c>
      <c r="K306" s="36" t="e">
        <f ca="1">K$241*K$305/2</f>
        <v>#REF!</v>
      </c>
      <c r="L306" s="36" t="e">
        <f ca="1">L$241*L$305/2</f>
        <v>#REF!</v>
      </c>
      <c r="M306" s="36" t="e">
        <f ca="1">M$241*M$305/2</f>
        <v>#REF!</v>
      </c>
      <c r="N306" s="36" t="e">
        <f ca="1">N$241*N$305/2</f>
        <v>#REF!</v>
      </c>
    </row>
    <row r="307" spans="1:14" s="73" customFormat="1" x14ac:dyDescent="0.2">
      <c r="A307" s="28" t="s">
        <v>788</v>
      </c>
      <c r="B307"/>
      <c r="C307" s="72"/>
      <c r="D307" s="127"/>
      <c r="E307" s="127"/>
      <c r="F307" s="127"/>
      <c r="G307" s="127"/>
      <c r="H307" s="127"/>
      <c r="I307" s="127"/>
      <c r="J307" s="36" t="e">
        <f ca="1">J$241*SUM($E$316:I$316)</f>
        <v>#REF!</v>
      </c>
      <c r="K307" s="36" t="e">
        <f ca="1">K$241*SUM($E$316:J$316)</f>
        <v>#REF!</v>
      </c>
      <c r="L307" s="36" t="e">
        <f ca="1">L$241*SUM($E$316:K$316)</f>
        <v>#REF!</v>
      </c>
      <c r="M307" s="36" t="e">
        <f ca="1">M$241*SUM($E$316:L$316)</f>
        <v>#REF!</v>
      </c>
      <c r="N307" s="36" t="e">
        <f ca="1">N$241*SUM($E$316:M$316)</f>
        <v>#REF!</v>
      </c>
    </row>
    <row r="308" spans="1:14" s="73" customFormat="1" x14ac:dyDescent="0.2">
      <c r="A308" s="200" t="s">
        <v>734</v>
      </c>
      <c r="B308"/>
      <c r="C308" s="72"/>
      <c r="D308" s="127"/>
      <c r="E308" s="127"/>
      <c r="F308" s="127"/>
      <c r="G308" s="127"/>
      <c r="H308" s="127"/>
      <c r="I308" s="127"/>
      <c r="J308" s="42" t="e">
        <f ca="1">SUM(J$284:J$288)-SUM(J$290:J$307)</f>
        <v>#REF!</v>
      </c>
      <c r="K308" s="42" t="e">
        <f ca="1">SUM(K$284:K$288)-SUM(K$290:K$307)</f>
        <v>#REF!</v>
      </c>
      <c r="L308" s="42" t="e">
        <f ca="1">SUM(L$284:L$288)-SUM(L$290:L$307)</f>
        <v>#REF!</v>
      </c>
      <c r="M308" s="42" t="e">
        <f ca="1">SUM(M$284:M$288)-SUM(M$290:M$307)</f>
        <v>#REF!</v>
      </c>
      <c r="N308" s="42" t="e">
        <f ca="1">SUM(N$284:N$288)-SUM(N$290:N$307)</f>
        <v>#REF!</v>
      </c>
    </row>
    <row r="309" spans="1:14" s="73" customFormat="1" x14ac:dyDescent="0.2">
      <c r="A309" s="28" t="s">
        <v>541</v>
      </c>
      <c r="B309"/>
      <c r="C309" s="72"/>
      <c r="D309" s="127"/>
      <c r="E309" s="127"/>
      <c r="F309" s="127"/>
      <c r="G309" s="127"/>
      <c r="H309" s="127"/>
      <c r="I309" s="127"/>
      <c r="J309" s="36">
        <f ca="1">IF($I$1="Yes",SUM(OFFSET('Forecast Adjuster'!$A$31,0,J$282)/1000,I$309),0)</f>
        <v>0</v>
      </c>
      <c r="K309" s="36">
        <f ca="1">IF($I$1="Yes",SUM(OFFSET('Forecast Adjuster'!$A$31,0,K$282)/1000,J$309),0)</f>
        <v>0</v>
      </c>
      <c r="L309" s="36">
        <f ca="1">IF($I$1="Yes",SUM(OFFSET('Forecast Adjuster'!$A$31,0,L$282)/1000,K$309),0)</f>
        <v>0</v>
      </c>
      <c r="M309" s="36">
        <f ca="1">IF($I$1="Yes",SUM(OFFSET('Forecast Adjuster'!$A$31,0,M$282)/1000,L$309),0)</f>
        <v>0</v>
      </c>
      <c r="N309" s="36">
        <f ca="1">IF($I$1="Yes",SUM(OFFSET('Forecast Adjuster'!$A$31,0,N$282)/1000,M$309),0)</f>
        <v>0</v>
      </c>
    </row>
    <row r="310" spans="1:14" s="73" customFormat="1" x14ac:dyDescent="0.2">
      <c r="A310" s="28" t="s">
        <v>840</v>
      </c>
      <c r="B310"/>
      <c r="C310" s="72"/>
      <c r="D310" s="127"/>
      <c r="E310" s="127"/>
      <c r="F310" s="127"/>
      <c r="G310" s="127"/>
      <c r="H310" s="127"/>
      <c r="I310" s="127"/>
      <c r="J310" s="36">
        <f ca="1">IF($I$1="Yes",SUM(OFFSET('Forecast Adjuster'!$A$32,0,J$282)/1000,I$310),0)</f>
        <v>0</v>
      </c>
      <c r="K310" s="36">
        <f ca="1">IF($I$1="Yes",SUM(OFFSET('Forecast Adjuster'!$A$32,0,K$282)/1000,J$310),0)</f>
        <v>0</v>
      </c>
      <c r="L310" s="36">
        <f ca="1">IF($I$1="Yes",SUM(OFFSET('Forecast Adjuster'!$A$32,0,L$282)/1000,K$310),0)</f>
        <v>0</v>
      </c>
      <c r="M310" s="36">
        <f ca="1">IF($I$1="Yes",SUM(OFFSET('Forecast Adjuster'!$A$32,0,M$282)/1000,L$310),0)</f>
        <v>0</v>
      </c>
      <c r="N310" s="36">
        <f ca="1">IF($I$1="Yes",SUM(OFFSET('Forecast Adjuster'!$A$32,0,N$282)/1000,M$310),0)</f>
        <v>0</v>
      </c>
    </row>
    <row r="311" spans="1:14" s="73" customFormat="1" x14ac:dyDescent="0.2">
      <c r="A311" s="28" t="s">
        <v>542</v>
      </c>
      <c r="B311"/>
      <c r="C311" s="72"/>
      <c r="D311" s="127"/>
      <c r="E311" s="127"/>
      <c r="F311" s="127"/>
      <c r="G311" s="127"/>
      <c r="H311" s="127"/>
      <c r="I311" s="127"/>
      <c r="J311" s="36">
        <f ca="1">IF($I$1="Yes",SUM(OFFSET('Forecast Adjuster'!$A$34,0,J$282)/1000,I$311),0)</f>
        <v>0</v>
      </c>
      <c r="K311" s="36">
        <f ca="1">IF($I$1="Yes",SUM(OFFSET('Forecast Adjuster'!$A$34,0,K$282)/1000,J$311),0)</f>
        <v>0</v>
      </c>
      <c r="L311" s="36">
        <f ca="1">IF($I$1="Yes",SUM(OFFSET('Forecast Adjuster'!$A$34,0,L$282)/1000,K$311),0)</f>
        <v>0</v>
      </c>
      <c r="M311" s="36">
        <f ca="1">IF($I$1="Yes",SUM(OFFSET('Forecast Adjuster'!$A$34,0,M$282)/1000,L$311),0)</f>
        <v>0</v>
      </c>
      <c r="N311" s="36">
        <f ca="1">IF($I$1="Yes",SUM(OFFSET('Forecast Adjuster'!$A$34,0,N$282)/1000,M$311),0)</f>
        <v>0</v>
      </c>
    </row>
    <row r="312" spans="1:14" s="73" customFormat="1" x14ac:dyDescent="0.2">
      <c r="A312" s="28" t="s">
        <v>543</v>
      </c>
      <c r="B312"/>
      <c r="C312" s="72"/>
      <c r="D312" s="127"/>
      <c r="E312" s="127"/>
      <c r="F312" s="127"/>
      <c r="G312" s="127"/>
      <c r="H312" s="127"/>
      <c r="I312" s="127"/>
      <c r="J312" s="36">
        <f ca="1">IF($I$1="Yes",SUM(OFFSET('Forecast Adjuster'!$A$35,0,J$282)/1000,I$312),0)</f>
        <v>0</v>
      </c>
      <c r="K312" s="36">
        <f ca="1">IF($I$1="Yes",SUM(OFFSET('Forecast Adjuster'!$A$35,0,K$282)/1000,J$312),0)</f>
        <v>0</v>
      </c>
      <c r="L312" s="36">
        <f ca="1">IF($I$1="Yes",SUM(OFFSET('Forecast Adjuster'!$A$35,0,L$282)/1000,K$312),0)</f>
        <v>0</v>
      </c>
      <c r="M312" s="36">
        <f ca="1">IF($I$1="Yes",SUM(OFFSET('Forecast Adjuster'!$A$35,0,M$282)/1000,L$312),0)</f>
        <v>0</v>
      </c>
      <c r="N312" s="36">
        <f ca="1">IF($I$1="Yes",SUM(OFFSET('Forecast Adjuster'!$A$35,0,N$282)/1000,M$312),0)</f>
        <v>0</v>
      </c>
    </row>
    <row r="313" spans="1:14" s="73" customFormat="1" x14ac:dyDescent="0.2">
      <c r="A313" s="200" t="s">
        <v>0</v>
      </c>
      <c r="B313"/>
      <c r="C313" s="72"/>
      <c r="D313" s="127"/>
      <c r="E313" s="127"/>
      <c r="F313" s="127"/>
      <c r="G313" s="127"/>
      <c r="H313" s="127"/>
      <c r="I313" s="127"/>
      <c r="J313" s="42" t="e">
        <f ca="1">SUM(J$309,J$311)-SUM(J$312,J$317)</f>
        <v>#REF!</v>
      </c>
      <c r="K313" s="42" t="e">
        <f ca="1">SUM(K$309,K$311)-SUM(K$312,K$317)</f>
        <v>#REF!</v>
      </c>
      <c r="L313" s="42" t="e">
        <f ca="1">SUM(L$309,L$311)-SUM(L$312,L$317)</f>
        <v>#REF!</v>
      </c>
      <c r="M313" s="42" t="e">
        <f ca="1">SUM(M$309,M$311)-SUM(M$312,M$317)</f>
        <v>#REF!</v>
      </c>
      <c r="N313" s="42" t="e">
        <f ca="1">SUM(N$309,N$311)-SUM(N$312,N$317)</f>
        <v>#REF!</v>
      </c>
    </row>
    <row r="314" spans="1:14" s="73" customFormat="1" x14ac:dyDescent="0.2">
      <c r="A314" s="28" t="s">
        <v>735</v>
      </c>
      <c r="B314"/>
      <c r="C314" s="72"/>
      <c r="D314" s="127"/>
      <c r="E314" s="127"/>
      <c r="F314" s="127"/>
      <c r="G314" s="127"/>
      <c r="H314" s="127"/>
      <c r="I314" s="127"/>
      <c r="J314" s="242">
        <f ca="1">SUM(J$309,J$310,J$311)-SUM(I$309,I$310,I$311)-(J$312-I$312)-(SUM(J$284:J$288)-SUM(J$290:J$304))</f>
        <v>0</v>
      </c>
      <c r="K314" s="242">
        <f ca="1">SUM(K$309,K$310,K$311)-SUM(J$309,J$310,J$311)-(K$312-J$312)-(SUM(K$284:K$288)-SUM(K$290:K$304))</f>
        <v>0</v>
      </c>
      <c r="L314" s="242">
        <f ca="1">SUM(L$309,L$310,L$311)-SUM(K$309,K$310,K$311)-(L$312-K$312)-(SUM(L$284:L$288)-SUM(L$290:L$304))</f>
        <v>0</v>
      </c>
      <c r="M314" s="242">
        <f ca="1">SUM(M$309,M$310,M$311)-SUM(L$309,L$310,L$311)-(M$312-L$312)-(SUM(M$284:M$288)-SUM(M$290:M$304))</f>
        <v>0</v>
      </c>
      <c r="N314" s="242">
        <f ca="1">SUM(N$309,N$310,N$311)-SUM(M$309,M$310,M$311)-(N$312-M$312)-(SUM(N$284:N$288)-SUM(N$290:N$304))</f>
        <v>0</v>
      </c>
    </row>
    <row r="315" spans="1:14" s="73" customFormat="1" x14ac:dyDescent="0.2">
      <c r="A315" s="28" t="s">
        <v>951</v>
      </c>
      <c r="B315"/>
      <c r="C315" s="72"/>
      <c r="D315" s="127"/>
      <c r="E315" s="127"/>
      <c r="F315" s="127"/>
      <c r="G315" s="127"/>
      <c r="H315" s="127"/>
      <c r="I315" s="127"/>
      <c r="J315" s="36">
        <f ca="1">IF($I$1="Yes",SUM(OFFSET('Forecast Adjuster'!$A$36,0,J$282)/1000),0)</f>
        <v>0</v>
      </c>
      <c r="K315" s="36">
        <f ca="1">IF($I$1="Yes",SUM(OFFSET('Forecast Adjuster'!$A$36,0,K$282)/1000),0)</f>
        <v>0</v>
      </c>
      <c r="L315" s="36">
        <f ca="1">IF($I$1="Yes",SUM(OFFSET('Forecast Adjuster'!$A$36,0,L$282)/1000),0)</f>
        <v>0</v>
      </c>
      <c r="M315" s="36">
        <f ca="1">IF($I$1="Yes",SUM(OFFSET('Forecast Adjuster'!$A$36,0,M$282)/1000),0)</f>
        <v>0</v>
      </c>
      <c r="N315" s="36">
        <f ca="1">IF($I$1="Yes",SUM(OFFSET('Forecast Adjuster'!$A$36,0,N$282)/1000),0)</f>
        <v>0</v>
      </c>
    </row>
    <row r="316" spans="1:14" s="73" customFormat="1" x14ac:dyDescent="0.2">
      <c r="A316" s="28" t="s">
        <v>540</v>
      </c>
      <c r="B316"/>
      <c r="C316" s="72"/>
      <c r="D316" s="127"/>
      <c r="E316" s="127"/>
      <c r="F316" s="127"/>
      <c r="G316" s="127"/>
      <c r="H316" s="127"/>
      <c r="I316" s="127"/>
      <c r="J316" s="242" t="e">
        <f ca="1">SUM(J$314,J$315,J$305:J$307)</f>
        <v>#REF!</v>
      </c>
      <c r="K316" s="242" t="e">
        <f ca="1">SUM(K$314,K$315,K$305:K$307)</f>
        <v>#REF!</v>
      </c>
      <c r="L316" s="242" t="e">
        <f ca="1">SUM(L$314,L$315,L$305:L$307)</f>
        <v>#REF!</v>
      </c>
      <c r="M316" s="242" t="e">
        <f ca="1">SUM(M$314,M$315,M$305:M$307)</f>
        <v>#REF!</v>
      </c>
      <c r="N316" s="242" t="e">
        <f ca="1">SUM(N$314,N$315,N$305:N$307)</f>
        <v>#REF!</v>
      </c>
    </row>
    <row r="317" spans="1:14" s="73" customFormat="1" x14ac:dyDescent="0.2">
      <c r="A317" s="200" t="s">
        <v>736</v>
      </c>
      <c r="B317"/>
      <c r="C317" s="72"/>
      <c r="D317" s="127"/>
      <c r="E317" s="127"/>
      <c r="F317" s="127"/>
      <c r="G317" s="127"/>
      <c r="H317" s="127"/>
      <c r="I317" s="127"/>
      <c r="J317" s="42" t="e">
        <f ca="1">SUM($E$316:J$316)</f>
        <v>#REF!</v>
      </c>
      <c r="K317" s="42" t="e">
        <f ca="1">SUM($E$316:K$316)</f>
        <v>#REF!</v>
      </c>
      <c r="L317" s="42" t="e">
        <f ca="1">SUM($E$316:L$316)</f>
        <v>#REF!</v>
      </c>
      <c r="M317" s="42" t="e">
        <f ca="1">SUM($E$316:M$316)</f>
        <v>#REF!</v>
      </c>
      <c r="N317" s="42" t="e">
        <f ca="1">SUM($E$316:N$316)</f>
        <v>#REF!</v>
      </c>
    </row>
    <row r="318" spans="1:14" s="73" customFormat="1" x14ac:dyDescent="0.2">
      <c r="A318" s="200" t="s">
        <v>755</v>
      </c>
      <c r="B318"/>
      <c r="C318" s="72"/>
      <c r="D318" s="127"/>
      <c r="E318" s="127"/>
      <c r="F318" s="127"/>
      <c r="G318" s="127"/>
      <c r="H318" s="127"/>
      <c r="I318" s="127"/>
      <c r="J318" s="42" t="e">
        <f ca="1">J$317-J$309</f>
        <v>#REF!</v>
      </c>
      <c r="K318" s="42" t="e">
        <f ca="1">K$317-K$309</f>
        <v>#REF!</v>
      </c>
      <c r="L318" s="42" t="e">
        <f ca="1">L$317-L$309</f>
        <v>#REF!</v>
      </c>
      <c r="M318" s="42" t="e">
        <f ca="1">M$317-M$309</f>
        <v>#REF!</v>
      </c>
      <c r="N318" s="42" t="e">
        <f ca="1">N$317-N$309</f>
        <v>#REF!</v>
      </c>
    </row>
    <row r="319" spans="1:14" s="73" customFormat="1" x14ac:dyDescent="0.2">
      <c r="A319" s="27" t="s">
        <v>222</v>
      </c>
      <c r="B319"/>
      <c r="C319" s="72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</row>
    <row r="320" spans="1:14" s="73" customFormat="1" x14ac:dyDescent="0.2">
      <c r="A320" s="28" t="s">
        <v>1</v>
      </c>
      <c r="B320"/>
      <c r="C320" s="72"/>
      <c r="D320" s="127"/>
      <c r="E320" s="127"/>
      <c r="F320" s="127"/>
      <c r="G320" s="127"/>
      <c r="H320" s="127"/>
      <c r="I320" s="127"/>
      <c r="J320" s="36">
        <f ca="1">IF($F$1="Yes",SUM(SUM(#REF!)*(OFFSET('Forecast Adjuster'!$A$58,0,J$282)-1),SUM(#REF!,#REF!,#REF!)*(OFFSET('Forecast Adjuster'!$A$60,0,J$282)-1),#REF!*(OFFSET('Forecast Adjuster'!$A$61,0,J$282)-1) ),0)</f>
        <v>0</v>
      </c>
      <c r="K320" s="36">
        <f ca="1">IF($F$1="Yes",SUM(SUM(#REF!)*(OFFSET('Forecast Adjuster'!$A$58,0,K$282)-1),SUM(#REF!,#REF!,#REF!)*(OFFSET('Forecast Adjuster'!$A$60,0,K$282)-1),#REF!*(OFFSET('Forecast Adjuster'!$A$61,0,K$282)-1) ),0)</f>
        <v>0</v>
      </c>
      <c r="L320" s="36">
        <f ca="1">IF($F$1="Yes",SUM(SUM(#REF!)*(OFFSET('Forecast Adjuster'!$A$58,0,L$282)-1),SUM(#REF!,#REF!,#REF!)*(OFFSET('Forecast Adjuster'!$A$60,0,L$282)-1),#REF!*(OFFSET('Forecast Adjuster'!$A$61,0,L$282)-1) ),0)</f>
        <v>0</v>
      </c>
      <c r="M320" s="36">
        <f ca="1">IF($F$1="Yes",SUM(SUM(#REF!)*(OFFSET('Forecast Adjuster'!$A$58,0,M$282)-1),SUM(#REF!,#REF!,#REF!)*(OFFSET('Forecast Adjuster'!$A$60,0,M$282)-1),#REF!*(OFFSET('Forecast Adjuster'!$A$61,0,M$282)-1) ),0)</f>
        <v>0</v>
      </c>
      <c r="N320" s="36">
        <f ca="1">IF($F$1="Yes",SUM(SUM(#REF!)*(OFFSET('Forecast Adjuster'!$A$58,0,N$282)-1),SUM(#REF!,#REF!,#REF!)*(OFFSET('Forecast Adjuster'!$A$60,0,N$282)-1),#REF!*(OFFSET('Forecast Adjuster'!$A$61,0,N$282)-1) ),0)</f>
        <v>0</v>
      </c>
    </row>
    <row r="321" spans="1:14" s="73" customFormat="1" x14ac:dyDescent="0.2">
      <c r="A321" s="28" t="s">
        <v>113</v>
      </c>
      <c r="B321"/>
      <c r="C321" s="72"/>
      <c r="D321" s="127"/>
      <c r="E321" s="127"/>
      <c r="F321" s="127"/>
      <c r="G321" s="127"/>
      <c r="H321" s="127"/>
      <c r="I321" s="127"/>
      <c r="J321" s="36">
        <f ca="1">IF($F$1="Yes",SUM((#REF!-SUM(#REF!,#REF!))*(OFFSET('Forecast Adjuster'!$A$60,0,J$282)-1),(SUM(#REF!,#REF!)-SUM(J$131:J$131))*(OFFSET('Forecast Adjuster'!$A$60,0,J$282)*OFFSET('Forecast Adjuster'!$A$63,0,J$282)-1),#REF!*(OFFSET('Forecast Adjuster'!$A$65,0,J$282)-1),#REF!*(OFFSET('Forecast Adjuster'!$A$60,0,J$282)*OFFSET('Forecast Adjuster'!$A$66,0,J$282)-1)),0)</f>
        <v>0</v>
      </c>
      <c r="K321" s="36">
        <f ca="1">IF($F$1="Yes",SUM((#REF!-SUM(#REF!,#REF!))*(OFFSET('Forecast Adjuster'!$A$60,0,K$282)-1),(SUM(#REF!,#REF!)-SUM(K$131:K$131))*(OFFSET('Forecast Adjuster'!$A$60,0,K$282)*OFFSET('Forecast Adjuster'!$A$63,0,K$282)-1),#REF!*(OFFSET('Forecast Adjuster'!$A$65,0,K$282)-1),#REF!*(OFFSET('Forecast Adjuster'!$A$60,0,K$282)*OFFSET('Forecast Adjuster'!$A$66,0,K$282)-1)),0)</f>
        <v>0</v>
      </c>
      <c r="L321" s="36">
        <f ca="1">IF($F$1="Yes",SUM((#REF!-SUM(#REF!,#REF!))*(OFFSET('Forecast Adjuster'!$A$60,0,L$282)-1),(SUM(#REF!,#REF!)-SUM(L$131:L$131))*(OFFSET('Forecast Adjuster'!$A$60,0,L$282)*OFFSET('Forecast Adjuster'!$A$63,0,L$282)-1),#REF!*(OFFSET('Forecast Adjuster'!$A$65,0,L$282)-1),#REF!*(OFFSET('Forecast Adjuster'!$A$60,0,L$282)*OFFSET('Forecast Adjuster'!$A$66,0,L$282)-1)),0)</f>
        <v>0</v>
      </c>
      <c r="M321" s="36">
        <f ca="1">IF($F$1="Yes",SUM((#REF!-SUM(#REF!,#REF!))*(OFFSET('Forecast Adjuster'!$A$60,0,M$282)-1),(SUM(#REF!,#REF!)-SUM(M$131:M$131))*(OFFSET('Forecast Adjuster'!$A$60,0,M$282)*OFFSET('Forecast Adjuster'!$A$63,0,M$282)-1),#REF!*(OFFSET('Forecast Adjuster'!$A$65,0,M$282)-1),#REF!*(OFFSET('Forecast Adjuster'!$A$60,0,M$282)*OFFSET('Forecast Adjuster'!$A$66,0,M$282)-1)),0)</f>
        <v>0</v>
      </c>
      <c r="N321" s="36">
        <f ca="1">IF($F$1="Yes",SUM((#REF!-SUM(#REF!,#REF!))*(OFFSET('Forecast Adjuster'!$A$60,0,N$282)-1),(SUM(#REF!,#REF!)-SUM(N$131:N$131))*(OFFSET('Forecast Adjuster'!$A$60,0,N$282)*OFFSET('Forecast Adjuster'!$A$63,0,N$282)-1),#REF!*(OFFSET('Forecast Adjuster'!$A$65,0,N$282)-1),#REF!*(OFFSET('Forecast Adjuster'!$A$60,0,N$282)*OFFSET('Forecast Adjuster'!$A$66,0,N$282)-1)),0)</f>
        <v>0</v>
      </c>
    </row>
    <row r="322" spans="1:14" s="73" customFormat="1" x14ac:dyDescent="0.2">
      <c r="A322" s="28" t="s">
        <v>825</v>
      </c>
      <c r="B322"/>
      <c r="C322" s="72"/>
      <c r="D322" s="127"/>
      <c r="E322" s="127"/>
      <c r="F322" s="127"/>
      <c r="G322" s="127"/>
      <c r="H322" s="127"/>
      <c r="I322" s="127"/>
      <c r="J322" s="36">
        <f ca="1">IF($F$1="Yes",#REF!*(OFFSET('Forecast Adjuster'!$A$61,0,J$282)-1),0)</f>
        <v>0</v>
      </c>
      <c r="K322" s="36">
        <f ca="1">IF($F$1="Yes",#REF!*(OFFSET('Forecast Adjuster'!$A$61,0,K$282)-1),0)</f>
        <v>0</v>
      </c>
      <c r="L322" s="36">
        <f ca="1">IF($F$1="Yes",#REF!*(OFFSET('Forecast Adjuster'!$A$61,0,L$282)-1),0)</f>
        <v>0</v>
      </c>
      <c r="M322" s="36">
        <f ca="1">IF($F$1="Yes",#REF!*(OFFSET('Forecast Adjuster'!$A$61,0,M$282)-1),0)</f>
        <v>0</v>
      </c>
      <c r="N322" s="36">
        <f ca="1">IF($F$1="Yes",#REF!*(OFFSET('Forecast Adjuster'!$A$61,0,N$282)-1),0)</f>
        <v>0</v>
      </c>
    </row>
    <row r="323" spans="1:14" s="73" customFormat="1" x14ac:dyDescent="0.2">
      <c r="A323" s="28" t="s">
        <v>789</v>
      </c>
      <c r="B323"/>
      <c r="C323" s="72"/>
      <c r="D323" s="127"/>
      <c r="E323" s="127"/>
      <c r="F323" s="127"/>
      <c r="G323" s="127"/>
      <c r="H323" s="127"/>
      <c r="I323" s="127"/>
      <c r="J323" s="36" t="e">
        <f ca="1">J$241*J$328/2</f>
        <v>#REF!</v>
      </c>
      <c r="K323" s="36" t="e">
        <f ca="1">K$241*K$328/2</f>
        <v>#REF!</v>
      </c>
      <c r="L323" s="36" t="e">
        <f ca="1">L$241*L$328/2</f>
        <v>#REF!</v>
      </c>
      <c r="M323" s="36" t="e">
        <f ca="1">M$241*M$328/2</f>
        <v>#REF!</v>
      </c>
      <c r="N323" s="36" t="e">
        <f ca="1">N$241*N$328/2</f>
        <v>#REF!</v>
      </c>
    </row>
    <row r="324" spans="1:14" s="73" customFormat="1" x14ac:dyDescent="0.2">
      <c r="A324" s="28" t="s">
        <v>790</v>
      </c>
      <c r="B324"/>
      <c r="C324" s="72"/>
      <c r="D324" s="127"/>
      <c r="E324" s="127"/>
      <c r="F324" s="127"/>
      <c r="G324" s="127"/>
      <c r="H324" s="127"/>
      <c r="I324" s="127"/>
      <c r="J324" s="36" t="e">
        <f ca="1">J$241*J$323/2</f>
        <v>#REF!</v>
      </c>
      <c r="K324" s="36" t="e">
        <f ca="1">K$241*K$323/2</f>
        <v>#REF!</v>
      </c>
      <c r="L324" s="36" t="e">
        <f ca="1">L$241*L$323/2</f>
        <v>#REF!</v>
      </c>
      <c r="M324" s="36" t="e">
        <f ca="1">M$241*M$323/2</f>
        <v>#REF!</v>
      </c>
      <c r="N324" s="36" t="e">
        <f ca="1">N$241*N$323/2</f>
        <v>#REF!</v>
      </c>
    </row>
    <row r="325" spans="1:14" s="73" customFormat="1" x14ac:dyDescent="0.2">
      <c r="A325" s="28" t="s">
        <v>791</v>
      </c>
      <c r="B325"/>
      <c r="C325" s="72"/>
      <c r="D325" s="127"/>
      <c r="E325" s="127"/>
      <c r="F325" s="127"/>
      <c r="G325" s="127"/>
      <c r="H325" s="127"/>
      <c r="I325" s="127"/>
      <c r="J325" s="36" t="e">
        <f ca="1">J$241*SUM($E$329:I$329)</f>
        <v>#REF!</v>
      </c>
      <c r="K325" s="36" t="e">
        <f ca="1">K$241*SUM($E$329:J$329)</f>
        <v>#REF!</v>
      </c>
      <c r="L325" s="36" t="e">
        <f ca="1">L$241*SUM($E$329:K$329)</f>
        <v>#REF!</v>
      </c>
      <c r="M325" s="36" t="e">
        <f ca="1">M$241*SUM($E$329:L$329)</f>
        <v>#REF!</v>
      </c>
      <c r="N325" s="36" t="e">
        <f ca="1">N$241*SUM($E$329:M$329)</f>
        <v>#REF!</v>
      </c>
    </row>
    <row r="326" spans="1:14" s="73" customFormat="1" x14ac:dyDescent="0.2">
      <c r="A326" s="200" t="s">
        <v>737</v>
      </c>
      <c r="B326"/>
      <c r="C326" s="72"/>
      <c r="D326" s="127"/>
      <c r="E326" s="127"/>
      <c r="F326" s="127"/>
      <c r="G326" s="127"/>
      <c r="H326" s="127"/>
      <c r="I326" s="127"/>
      <c r="J326" s="42" t="e">
        <f ca="1">J$320-SUM(J$321:J$325)</f>
        <v>#REF!</v>
      </c>
      <c r="K326" s="42" t="e">
        <f ca="1">K$320-SUM(K$321:K$325)</f>
        <v>#REF!</v>
      </c>
      <c r="L326" s="42" t="e">
        <f ca="1">L$320-SUM(L$321:L$325)</f>
        <v>#REF!</v>
      </c>
      <c r="M326" s="42" t="e">
        <f ca="1">M$320-SUM(M$321:M$325)</f>
        <v>#REF!</v>
      </c>
      <c r="N326" s="42" t="e">
        <f ca="1">N$320-SUM(N$321:N$325)</f>
        <v>#REF!</v>
      </c>
    </row>
    <row r="327" spans="1:14" s="73" customFormat="1" x14ac:dyDescent="0.2">
      <c r="A327" s="200" t="s">
        <v>798</v>
      </c>
      <c r="B327"/>
      <c r="C327" s="72"/>
      <c r="D327" s="127"/>
      <c r="E327" s="127"/>
      <c r="F327" s="127"/>
      <c r="G327" s="127"/>
      <c r="H327" s="127"/>
      <c r="I327" s="127"/>
      <c r="J327" s="42" t="e">
        <f ca="1">-J$330</f>
        <v>#REF!</v>
      </c>
      <c r="K327" s="42" t="e">
        <f ca="1">-K$330</f>
        <v>#REF!</v>
      </c>
      <c r="L327" s="42" t="e">
        <f ca="1">-L$330</f>
        <v>#REF!</v>
      </c>
      <c r="M327" s="42" t="e">
        <f ca="1">-M$330</f>
        <v>#REF!</v>
      </c>
      <c r="N327" s="42" t="e">
        <f ca="1">-N$330</f>
        <v>#REF!</v>
      </c>
    </row>
    <row r="328" spans="1:14" s="73" customFormat="1" x14ac:dyDescent="0.2">
      <c r="A328" s="28" t="s">
        <v>795</v>
      </c>
      <c r="B328"/>
      <c r="C328" s="72"/>
      <c r="D328" s="127"/>
      <c r="E328" s="127"/>
      <c r="F328" s="127"/>
      <c r="G328" s="127"/>
      <c r="H328" s="127"/>
      <c r="I328" s="127"/>
      <c r="J328" s="242">
        <f ca="1">-(J$320-J$321)</f>
        <v>0</v>
      </c>
      <c r="K328" s="242">
        <f ca="1">-(K$320-K$321)</f>
        <v>0</v>
      </c>
      <c r="L328" s="242">
        <f ca="1">-(L$320-L$321)</f>
        <v>0</v>
      </c>
      <c r="M328" s="242">
        <f ca="1">-(M$320-M$321)</f>
        <v>0</v>
      </c>
      <c r="N328" s="242">
        <f ca="1">-(N$320-N$321)</f>
        <v>0</v>
      </c>
    </row>
    <row r="329" spans="1:14" s="73" customFormat="1" x14ac:dyDescent="0.2">
      <c r="A329" s="28" t="s">
        <v>114</v>
      </c>
      <c r="B329"/>
      <c r="C329" s="72"/>
      <c r="D329" s="127"/>
      <c r="E329" s="127"/>
      <c r="F329" s="127"/>
      <c r="G329" s="127"/>
      <c r="H329" s="127"/>
      <c r="I329" s="127"/>
      <c r="J329" s="242" t="e">
        <f ca="1">SUM(J$328,J$322:J$325)</f>
        <v>#REF!</v>
      </c>
      <c r="K329" s="242" t="e">
        <f ca="1">SUM(K$328,K$322:K$325)</f>
        <v>#REF!</v>
      </c>
      <c r="L329" s="242" t="e">
        <f ca="1">SUM(L$328,L$322:L$325)</f>
        <v>#REF!</v>
      </c>
      <c r="M329" s="242" t="e">
        <f ca="1">SUM(M$328,M$322:M$325)</f>
        <v>#REF!</v>
      </c>
      <c r="N329" s="242" t="e">
        <f ca="1">SUM(N$328,N$322:N$325)</f>
        <v>#REF!</v>
      </c>
    </row>
    <row r="330" spans="1:14" s="73" customFormat="1" x14ac:dyDescent="0.2">
      <c r="A330" s="200" t="s">
        <v>796</v>
      </c>
      <c r="B330"/>
      <c r="C330" s="72"/>
      <c r="D330" s="127"/>
      <c r="E330" s="127"/>
      <c r="F330" s="127"/>
      <c r="G330" s="127"/>
      <c r="H330" s="127"/>
      <c r="I330" s="127"/>
      <c r="J330" s="42" t="e">
        <f ca="1">SUM($E$329:J$329)</f>
        <v>#REF!</v>
      </c>
      <c r="K330" s="42" t="e">
        <f ca="1">SUM($E$329:K$329)</f>
        <v>#REF!</v>
      </c>
      <c r="L330" s="42" t="e">
        <f ca="1">SUM($E$329:L$329)</f>
        <v>#REF!</v>
      </c>
      <c r="M330" s="42" t="e">
        <f ca="1">SUM($E$329:M$329)</f>
        <v>#REF!</v>
      </c>
      <c r="N330" s="42" t="e">
        <f ca="1">SUM($E$329:N$329)</f>
        <v>#REF!</v>
      </c>
    </row>
    <row r="331" spans="1:14" s="73" customFormat="1" x14ac:dyDescent="0.2">
      <c r="A331" s="200" t="s">
        <v>797</v>
      </c>
      <c r="B331"/>
      <c r="C331" s="72"/>
      <c r="D331" s="127"/>
      <c r="E331" s="127"/>
      <c r="F331" s="127"/>
      <c r="G331" s="127"/>
      <c r="H331" s="127"/>
      <c r="I331" s="127"/>
      <c r="J331" s="42" t="e">
        <f ca="1">J$330</f>
        <v>#REF!</v>
      </c>
      <c r="K331" s="42" t="e">
        <f ca="1">K$330</f>
        <v>#REF!</v>
      </c>
      <c r="L331" s="42" t="e">
        <f ca="1">L$330</f>
        <v>#REF!</v>
      </c>
      <c r="M331" s="42" t="e">
        <f ca="1">M$330</f>
        <v>#REF!</v>
      </c>
      <c r="N331" s="42" t="e">
        <f ca="1">N$330</f>
        <v>#REF!</v>
      </c>
    </row>
    <row r="332" spans="1:14" s="73" customFormat="1" x14ac:dyDescent="0.2">
      <c r="A332" s="27" t="s">
        <v>749</v>
      </c>
      <c r="B332"/>
      <c r="C332" s="72"/>
      <c r="D332" s="127"/>
      <c r="E332" s="127"/>
      <c r="F332" s="127"/>
      <c r="G332" s="127"/>
      <c r="H332" s="127"/>
      <c r="I332" s="127"/>
      <c r="J332" s="42"/>
      <c r="K332" s="42"/>
      <c r="L332" s="42"/>
      <c r="M332" s="42"/>
      <c r="N332" s="42"/>
    </row>
    <row r="333" spans="1:14" s="73" customFormat="1" x14ac:dyDescent="0.2">
      <c r="A333" s="30" t="s">
        <v>751</v>
      </c>
      <c r="B333"/>
      <c r="C333" s="72"/>
      <c r="D333" s="127"/>
      <c r="E333" s="127"/>
      <c r="F333" s="127"/>
      <c r="G333" s="127"/>
      <c r="H333" s="127"/>
      <c r="I333" s="127"/>
      <c r="J333" s="36">
        <f ca="1">IF($L$1="Yes",IF(OFFSET(#REF!,0,J$282)=0,OFFSET('Forecast Adjuster'!$L$74,0,J$282),#REF!*(OFFSET('Forecast Adjuster'!$L$74,0,J$282)/OFFSET(#REF!,0,J$282)-1)),0)</f>
        <v>0</v>
      </c>
      <c r="K333" s="36">
        <f ca="1">IF($L$1="Yes",IF(OFFSET(#REF!,0,K$282)=0,OFFSET('Forecast Adjuster'!$L$74,0,K$282),#REF!*(OFFSET('Forecast Adjuster'!$L$74,0,K$282)/OFFSET(#REF!,0,K$282)-1)),0)</f>
        <v>0</v>
      </c>
      <c r="L333" s="36">
        <f ca="1">IF($L$1="Yes",IF(OFFSET(#REF!,0,L$282)=0,OFFSET('Forecast Adjuster'!$L$74,0,L$282),#REF!*(OFFSET('Forecast Adjuster'!$L$74,0,L$282)/OFFSET(#REF!,0,L$282)-1)),0)</f>
        <v>0</v>
      </c>
      <c r="M333" s="36">
        <f ca="1">IF($L$1="Yes",IF(OFFSET(#REF!,0,M$282)=0,OFFSET('Forecast Adjuster'!$L$74,0,M$282),#REF!*(OFFSET('Forecast Adjuster'!$L$74,0,M$282)/OFFSET(#REF!,0,M$282)-1)),0)</f>
        <v>0</v>
      </c>
      <c r="N333" s="36">
        <f ca="1">IF($L$1="Yes",IF(OFFSET(#REF!,0,N$282)=0,OFFSET('Forecast Adjuster'!$L$74,0,N$282),#REF!*(OFFSET('Forecast Adjuster'!$L$74,0,N$282)/OFFSET(#REF!,0,N$282)-1)),0)</f>
        <v>0</v>
      </c>
    </row>
    <row r="334" spans="1:14" s="73" customFormat="1" x14ac:dyDescent="0.2">
      <c r="A334" s="28" t="s">
        <v>740</v>
      </c>
      <c r="B334"/>
      <c r="C334" s="72"/>
      <c r="D334" s="127"/>
      <c r="E334" s="127"/>
      <c r="F334" s="127"/>
      <c r="G334" s="127"/>
      <c r="H334" s="127"/>
      <c r="I334" s="127"/>
      <c r="J334" s="36">
        <f ca="1">IF($L$1="Yes",IF(OFFSET(#REF!,0,J$282)=0,(#REF!/SUM(#REF!,#REF!))*OFFSET('Forecast Adjuster'!$L$73,0,J$282),#REF!*(OFFSET('Forecast Adjuster'!$L$73,0,J$282)/OFFSET(#REF!,0,J$282)-1)),0)</f>
        <v>0</v>
      </c>
      <c r="K334" s="36">
        <f ca="1">IF($L$1="Yes",IF(OFFSET(#REF!,0,K$282)=0,(#REF!/SUM(#REF!,#REF!))*OFFSET('Forecast Adjuster'!$L$73,0,K$282),#REF!*(OFFSET('Forecast Adjuster'!$L$73,0,K$282)/OFFSET(#REF!,0,K$282)-1)),0)</f>
        <v>0</v>
      </c>
      <c r="L334" s="36">
        <f ca="1">IF($L$1="Yes",IF(OFFSET(#REF!,0,L$282)=0,(#REF!/SUM(#REF!,#REF!))*OFFSET('Forecast Adjuster'!$L$73,0,L$282),#REF!*(OFFSET('Forecast Adjuster'!$L$73,0,L$282)/OFFSET(#REF!,0,L$282)-1)),0)</f>
        <v>0</v>
      </c>
      <c r="M334" s="36">
        <f ca="1">IF($L$1="Yes",IF(OFFSET(#REF!,0,M$282)=0,(#REF!/SUM(#REF!,#REF!))*OFFSET('Forecast Adjuster'!$L$73,0,M$282),#REF!*(OFFSET('Forecast Adjuster'!$L$73,0,M$282)/OFFSET(#REF!,0,M$282)-1)),0)</f>
        <v>0</v>
      </c>
      <c r="N334" s="36">
        <f ca="1">IF($L$1="Yes",IF(OFFSET(#REF!,0,N$282)=0,(#REF!/SUM(#REF!,#REF!))*OFFSET('Forecast Adjuster'!$L$73,0,N$282),#REF!*(OFFSET('Forecast Adjuster'!$L$73,0,N$282)/OFFSET(#REF!,0,N$282)-1)),0)</f>
        <v>0</v>
      </c>
    </row>
    <row r="335" spans="1:14" s="73" customFormat="1" x14ac:dyDescent="0.2">
      <c r="A335" s="28" t="s">
        <v>741</v>
      </c>
      <c r="B335"/>
      <c r="C335" s="72"/>
      <c r="D335" s="127"/>
      <c r="E335" s="127"/>
      <c r="F335" s="127"/>
      <c r="G335" s="127"/>
      <c r="H335" s="127"/>
      <c r="I335" s="127"/>
      <c r="J335" s="36">
        <f ca="1">IF($L$1="Yes",IF(OFFSET(#REF!,0,J$282)=0,(#REF!/SUM(#REF!,#REF!))*OFFSET('Forecast Adjuster'!$L$73,0,J$282),#REF!*(OFFSET('Forecast Adjuster'!$L$73,0,J$282)/OFFSET(#REF!,0,J$282)-1)),0)</f>
        <v>0</v>
      </c>
      <c r="K335" s="36">
        <f ca="1">IF($L$1="Yes",IF(OFFSET(#REF!,0,K$282)=0,(#REF!/SUM(#REF!,#REF!))*OFFSET('Forecast Adjuster'!$L$73,0,K$282),#REF!*(OFFSET('Forecast Adjuster'!$L$73,0,K$282)/OFFSET(#REF!,0,K$282)-1)),0)</f>
        <v>0</v>
      </c>
      <c r="L335" s="36">
        <f ca="1">IF($L$1="Yes",IF(OFFSET(#REF!,0,L$282)=0,(#REF!/SUM(#REF!,#REF!))*OFFSET('Forecast Adjuster'!$L$73,0,L$282),#REF!*(OFFSET('Forecast Adjuster'!$L$73,0,L$282)/OFFSET(#REF!,0,L$282)-1)),0)</f>
        <v>0</v>
      </c>
      <c r="M335" s="36">
        <f ca="1">IF($L$1="Yes",IF(OFFSET(#REF!,0,M$282)=0,(#REF!/SUM(#REF!,#REF!))*OFFSET('Forecast Adjuster'!$L$73,0,M$282),#REF!*(OFFSET('Forecast Adjuster'!$L$73,0,M$282)/OFFSET(#REF!,0,M$282)-1)),0)</f>
        <v>0</v>
      </c>
      <c r="N335" s="36">
        <f ca="1">IF($L$1="Yes",IF(OFFSET(#REF!,0,N$282)=0,(#REF!/SUM(#REF!,#REF!))*OFFSET('Forecast Adjuster'!$L$73,0,N$282),#REF!*(OFFSET('Forecast Adjuster'!$L$73,0,N$282)/OFFSET(#REF!,0,N$282)-1)),0)</f>
        <v>0</v>
      </c>
    </row>
    <row r="336" spans="1:14" s="73" customFormat="1" x14ac:dyDescent="0.2">
      <c r="A336" s="30" t="s">
        <v>957</v>
      </c>
      <c r="B336"/>
      <c r="C336" s="72"/>
      <c r="D336" s="127"/>
      <c r="E336" s="127"/>
      <c r="F336" s="127"/>
      <c r="G336" s="127"/>
      <c r="H336" s="127"/>
      <c r="I336" s="127"/>
      <c r="J336" s="36">
        <f ca="1">IF($L$1="Yes",IF(OFFSET(#REF!,0,J$282)=0,0,#REF!*(OFFSET('Forecast Adjuster'!$L$73,0,J$282)/OFFSET(#REF!,0,J$282)-1)),0)</f>
        <v>0</v>
      </c>
      <c r="K336" s="36">
        <f ca="1">IF($L$1="Yes",IF(OFFSET(#REF!,0,K$282)=0,0,#REF!*(OFFSET('Forecast Adjuster'!$L$73,0,K$282)/OFFSET(#REF!,0,K$282)-1)),0)</f>
        <v>0</v>
      </c>
      <c r="L336" s="36">
        <f ca="1">IF($L$1="Yes",IF(OFFSET(#REF!,0,L$282)=0,0,#REF!*(OFFSET('Forecast Adjuster'!$L$73,0,L$282)/OFFSET(#REF!,0,L$282)-1)),0)</f>
        <v>0</v>
      </c>
      <c r="M336" s="36">
        <f ca="1">IF($L$1="Yes",IF(OFFSET(#REF!,0,M$282)=0,0,#REF!*(OFFSET('Forecast Adjuster'!$L$73,0,M$282)/OFFSET(#REF!,0,M$282)-1)),0)</f>
        <v>0</v>
      </c>
      <c r="N336" s="36">
        <f ca="1">IF($L$1="Yes",IF(OFFSET(#REF!,0,N$282)=0,0,#REF!*(OFFSET('Forecast Adjuster'!$L$73,0,N$282)/OFFSET(#REF!,0,N$282)-1)),0)</f>
        <v>0</v>
      </c>
    </row>
    <row r="337" spans="1:14" s="73" customFormat="1" x14ac:dyDescent="0.2">
      <c r="A337" s="28" t="s">
        <v>792</v>
      </c>
      <c r="B337"/>
      <c r="C337" s="72"/>
      <c r="D337" s="127"/>
      <c r="E337" s="127"/>
      <c r="F337" s="127"/>
      <c r="G337" s="127"/>
      <c r="H337" s="127"/>
      <c r="I337" s="127"/>
      <c r="J337" s="36" t="e">
        <f ca="1">J$241*J$346/2</f>
        <v>#REF!</v>
      </c>
      <c r="K337" s="36" t="e">
        <f ca="1">K$241*K$346/2</f>
        <v>#REF!</v>
      </c>
      <c r="L337" s="36" t="e">
        <f ca="1">L$241*L$346/2</f>
        <v>#REF!</v>
      </c>
      <c r="M337" s="36" t="e">
        <f ca="1">M$241*M$346/2</f>
        <v>#REF!</v>
      </c>
      <c r="N337" s="36" t="e">
        <f ca="1">N$241*N$346/2</f>
        <v>#REF!</v>
      </c>
    </row>
    <row r="338" spans="1:14" s="73" customFormat="1" x14ac:dyDescent="0.2">
      <c r="A338" s="28" t="s">
        <v>793</v>
      </c>
      <c r="B338"/>
      <c r="C338" s="72"/>
      <c r="D338" s="127"/>
      <c r="E338" s="127"/>
      <c r="F338" s="127"/>
      <c r="G338" s="127"/>
      <c r="H338" s="127"/>
      <c r="I338" s="127"/>
      <c r="J338" s="36" t="e">
        <f ca="1">J$241*J$337/2</f>
        <v>#REF!</v>
      </c>
      <c r="K338" s="36" t="e">
        <f ca="1">K$241*K$337/2</f>
        <v>#REF!</v>
      </c>
      <c r="L338" s="36" t="e">
        <f ca="1">L$241*L$337/2</f>
        <v>#REF!</v>
      </c>
      <c r="M338" s="36" t="e">
        <f ca="1">M$241*M$337/2</f>
        <v>#REF!</v>
      </c>
      <c r="N338" s="36" t="e">
        <f ca="1">N$241*N$337/2</f>
        <v>#REF!</v>
      </c>
    </row>
    <row r="339" spans="1:14" s="73" customFormat="1" x14ac:dyDescent="0.2">
      <c r="A339" s="28" t="s">
        <v>794</v>
      </c>
      <c r="B339"/>
      <c r="C339" s="72"/>
      <c r="D339" s="127"/>
      <c r="E339" s="127"/>
      <c r="F339" s="127"/>
      <c r="G339" s="127"/>
      <c r="H339" s="127"/>
      <c r="I339" s="127"/>
      <c r="J339" s="36" t="e">
        <f ca="1">J$241*SUM($E$347:I$347)</f>
        <v>#REF!</v>
      </c>
      <c r="K339" s="36" t="e">
        <f ca="1">K$241*SUM($E$347:J$347)</f>
        <v>#REF!</v>
      </c>
      <c r="L339" s="36" t="e">
        <f ca="1">L$241*SUM($E$347:K$347)</f>
        <v>#REF!</v>
      </c>
      <c r="M339" s="36" t="e">
        <f ca="1">M$241*SUM($E$347:L$347)</f>
        <v>#REF!</v>
      </c>
      <c r="N339" s="36" t="e">
        <f ca="1">N$241*SUM($E$347:M$347)</f>
        <v>#REF!</v>
      </c>
    </row>
    <row r="340" spans="1:14" s="73" customFormat="1" x14ac:dyDescent="0.2">
      <c r="A340" s="200" t="s">
        <v>742</v>
      </c>
      <c r="B340"/>
      <c r="C340" s="72"/>
      <c r="D340" s="127"/>
      <c r="E340" s="127"/>
      <c r="F340" s="127"/>
      <c r="G340" s="127"/>
      <c r="H340" s="127"/>
      <c r="I340" s="127"/>
      <c r="J340" s="42" t="e">
        <f ca="1">SUM(J$334,J$335)-SUM(J$337:J$339)</f>
        <v>#REF!</v>
      </c>
      <c r="K340" s="42" t="e">
        <f ca="1">SUM(K$334,K$335)-SUM(K$337:K$339)</f>
        <v>#REF!</v>
      </c>
      <c r="L340" s="42" t="e">
        <f ca="1">SUM(L$334,L$335)-SUM(L$337:L$339)</f>
        <v>#REF!</v>
      </c>
      <c r="M340" s="42" t="e">
        <f ca="1">SUM(M$334,M$335)-SUM(M$337:M$339)</f>
        <v>#REF!</v>
      </c>
      <c r="N340" s="42" t="e">
        <f ca="1">SUM(N$334,N$335)-SUM(N$337:N$339)</f>
        <v>#REF!</v>
      </c>
    </row>
    <row r="341" spans="1:14" s="73" customFormat="1" x14ac:dyDescent="0.2">
      <c r="A341" s="30" t="s">
        <v>752</v>
      </c>
      <c r="B341"/>
      <c r="C341" s="72"/>
      <c r="D341" s="127"/>
      <c r="E341" s="127"/>
      <c r="F341" s="127"/>
      <c r="G341" s="127"/>
      <c r="H341" s="127"/>
      <c r="I341" s="127"/>
      <c r="J341" s="36">
        <f ca="1">IF($L$1="Yes",IF(OFFSET(#REF!,0,J$282)=0,OFFSET('Forecast Adjuster'!$L$72,0,J$282),#REF!*(OFFSET('Forecast Adjuster'!$L$72,0,J$282)/OFFSET(#REF!,0,J$282)-1)),0)</f>
        <v>0</v>
      </c>
      <c r="K341" s="36">
        <f ca="1">IF($L$1="Yes",IF(OFFSET(#REF!,0,K$282)=0,OFFSET('Forecast Adjuster'!$L$72,0,K$282),#REF!*(OFFSET('Forecast Adjuster'!$L$72,0,K$282)/OFFSET(#REF!,0,K$282)-1)),0)</f>
        <v>0</v>
      </c>
      <c r="L341" s="36">
        <f ca="1">IF($L$1="Yes",IF(OFFSET(#REF!,0,L$282)=0,OFFSET('Forecast Adjuster'!$L$72,0,L$282),#REF!*(OFFSET('Forecast Adjuster'!$L$72,0,L$282)/OFFSET(#REF!,0,L$282)-1)),0)</f>
        <v>0</v>
      </c>
      <c r="M341" s="36">
        <f ca="1">IF($L$1="Yes",IF(OFFSET(#REF!,0,M$282)=0,OFFSET('Forecast Adjuster'!$L$72,0,M$282),#REF!*(OFFSET('Forecast Adjuster'!$L$72,0,M$282)/OFFSET(#REF!,0,M$282)-1)),0)</f>
        <v>0</v>
      </c>
      <c r="N341" s="36">
        <f ca="1">IF($L$1="Yes",IF(OFFSET(#REF!,0,N$282)=0,OFFSET('Forecast Adjuster'!$L$72,0,N$282),#REF!*(OFFSET('Forecast Adjuster'!$L$72,0,N$282)/OFFSET(#REF!,0,N$282)-1)),0)</f>
        <v>0</v>
      </c>
    </row>
    <row r="342" spans="1:14" s="73" customFormat="1" x14ac:dyDescent="0.2">
      <c r="A342" s="30" t="s">
        <v>758</v>
      </c>
      <c r="B342"/>
      <c r="C342" s="72"/>
      <c r="D342" s="127"/>
      <c r="E342" s="127"/>
      <c r="F342" s="127"/>
      <c r="G342" s="127"/>
      <c r="H342" s="127"/>
      <c r="I342" s="127"/>
      <c r="J342" s="36">
        <f ca="1">IF($L$1="Yes",IF(OFFSET(#REF!,0,J$282)=0,0,#REF!*(OFFSET('Forecast Adjuster'!$L$75,0,J$282)/OFFSET(#REF!,0,J$282)-1)),0)</f>
        <v>0</v>
      </c>
      <c r="K342" s="36">
        <f ca="1">IF($L$1="Yes",IF(OFFSET(#REF!,0,K$282)=0,0,#REF!*(OFFSET('Forecast Adjuster'!$L$75,0,K$282)/OFFSET(#REF!,0,K$282)-1)),0)</f>
        <v>0</v>
      </c>
      <c r="L342" s="36">
        <f ca="1">IF($L$1="Yes",IF(OFFSET(#REF!,0,L$282)=0,0,#REF!*(OFFSET('Forecast Adjuster'!$L$75,0,L$282)/OFFSET(#REF!,0,L$282)-1)),0)</f>
        <v>0</v>
      </c>
      <c r="M342" s="36">
        <f ca="1">IF($L$1="Yes",IF(OFFSET(#REF!,0,M$282)=0,0,#REF!*(OFFSET('Forecast Adjuster'!$L$75,0,M$282)/OFFSET(#REF!,0,M$282)-1)),0)</f>
        <v>0</v>
      </c>
      <c r="N342" s="36">
        <f ca="1">IF($L$1="Yes",IF(OFFSET(#REF!,0,N$282)=0,0,#REF!*(OFFSET('Forecast Adjuster'!$L$75,0,N$282)/OFFSET(#REF!,0,N$282)-1)),0)</f>
        <v>0</v>
      </c>
    </row>
    <row r="343" spans="1:14" s="73" customFormat="1" x14ac:dyDescent="0.2">
      <c r="A343" s="28" t="s">
        <v>753</v>
      </c>
      <c r="B343"/>
      <c r="C343" s="72"/>
      <c r="D343" s="127"/>
      <c r="E343" s="127"/>
      <c r="F343" s="127"/>
      <c r="G343" s="127"/>
      <c r="H343" s="127"/>
      <c r="I343" s="127"/>
      <c r="J343" s="36">
        <f ca="1">IF($L$1="Yes",IF(OFFSET(#REF!,0,J$282)=0,(#REF!/#REF!)*OFFSET('Forecast Adjuster'!$L$76,0,J$282),#REF!*(OFFSET('Forecast Adjuster'!$L$76,0,J$282)/OFFSET(#REF!,0,J$282)-1)),0)</f>
        <v>0</v>
      </c>
      <c r="K343" s="36">
        <f ca="1">IF($L$1="Yes",IF(OFFSET(#REF!,0,K$282)=0,(#REF!/#REF!)*OFFSET('Forecast Adjuster'!$L$76,0,K$282),#REF!*(OFFSET('Forecast Adjuster'!$L$76,0,K$282)/OFFSET(#REF!,0,K$282)-1)),0)</f>
        <v>0</v>
      </c>
      <c r="L343" s="36">
        <f ca="1">IF($L$1="Yes",IF(OFFSET(#REF!,0,L$282)=0,(#REF!/#REF!)*OFFSET('Forecast Adjuster'!$L$76,0,L$282),#REF!*(OFFSET('Forecast Adjuster'!$L$76,0,L$282)/OFFSET(#REF!,0,L$282)-1)),0)</f>
        <v>0</v>
      </c>
      <c r="M343" s="36">
        <f ca="1">IF($L$1="Yes",IF(OFFSET(#REF!,0,M$282)=0,(#REF!/#REF!)*OFFSET('Forecast Adjuster'!$L$76,0,M$282),#REF!*(OFFSET('Forecast Adjuster'!$L$76,0,M$282)/OFFSET(#REF!,0,M$282)-1)),0)</f>
        <v>0</v>
      </c>
      <c r="N343" s="36">
        <f ca="1">IF($L$1="Yes",IF(OFFSET(#REF!,0,N$282)=0,(#REF!/#REF!)*OFFSET('Forecast Adjuster'!$L$76,0,N$282),#REF!*(OFFSET('Forecast Adjuster'!$L$76,0,N$282)/OFFSET(#REF!,0,N$282)-1)),0)</f>
        <v>0</v>
      </c>
    </row>
    <row r="344" spans="1:14" s="73" customFormat="1" x14ac:dyDescent="0.2">
      <c r="A344" s="28" t="s">
        <v>754</v>
      </c>
      <c r="B344"/>
      <c r="C344" s="72"/>
      <c r="D344" s="127"/>
      <c r="E344" s="127"/>
      <c r="F344" s="127"/>
      <c r="G344" s="127"/>
      <c r="H344" s="127"/>
      <c r="I344" s="127"/>
      <c r="J344" s="36">
        <f ca="1">IF($L$1="Yes",IF(OFFSET(#REF!,0,J$282)=0,(1-#REF!/#REF!)*OFFSET('Forecast Adjuster'!$L$76,0,J$282),(#REF!-#REF!)*(OFFSET('Forecast Adjuster'!$L$76,0,J$282)/OFFSET(#REF!,0,J$282)-1)),0)</f>
        <v>0</v>
      </c>
      <c r="K344" s="36">
        <f ca="1">IF($L$1="Yes",IF(OFFSET(#REF!,0,K$282)=0,(1-#REF!/#REF!)*OFFSET('Forecast Adjuster'!$L$76,0,K$282),(#REF!-#REF!)*(OFFSET('Forecast Adjuster'!$L$76,0,K$282)/OFFSET(#REF!,0,K$282)-1)),0)</f>
        <v>0</v>
      </c>
      <c r="L344" s="36">
        <f ca="1">IF($L$1="Yes",IF(OFFSET(#REF!,0,L$282)=0,(1-#REF!/#REF!)*OFFSET('Forecast Adjuster'!$L$76,0,L$282),(#REF!-#REF!)*(OFFSET('Forecast Adjuster'!$L$76,0,L$282)/OFFSET(#REF!,0,L$282)-1)),0)</f>
        <v>0</v>
      </c>
      <c r="M344" s="36">
        <f ca="1">IF($L$1="Yes",IF(OFFSET(#REF!,0,M$282)=0,(1-#REF!/#REF!)*OFFSET('Forecast Adjuster'!$L$76,0,M$282),(#REF!-#REF!)*(OFFSET('Forecast Adjuster'!$L$76,0,M$282)/OFFSET(#REF!,0,M$282)-1)),0)</f>
        <v>0</v>
      </c>
      <c r="N344" s="36">
        <f ca="1">IF($L$1="Yes",IF(OFFSET(#REF!,0,N$282)=0,(1-#REF!/#REF!)*OFFSET('Forecast Adjuster'!$L$76,0,N$282),(#REF!-#REF!)*(OFFSET('Forecast Adjuster'!$L$76,0,N$282)/OFFSET(#REF!,0,N$282)-1)),0)</f>
        <v>0</v>
      </c>
    </row>
    <row r="345" spans="1:14" s="73" customFormat="1" x14ac:dyDescent="0.2">
      <c r="A345" s="200" t="s">
        <v>744</v>
      </c>
      <c r="B345"/>
      <c r="C345" s="72"/>
      <c r="D345" s="127"/>
      <c r="E345" s="127"/>
      <c r="F345" s="127"/>
      <c r="G345" s="127"/>
      <c r="H345" s="127"/>
      <c r="I345" s="127"/>
      <c r="J345" s="42" t="e">
        <f ca="1">SUM(J$343,J$344)-J$348</f>
        <v>#REF!</v>
      </c>
      <c r="K345" s="42" t="e">
        <f ca="1">SUM(K$343,K$344)-K$348</f>
        <v>#REF!</v>
      </c>
      <c r="L345" s="42" t="e">
        <f ca="1">SUM(L$343,L$344)-L$348</f>
        <v>#REF!</v>
      </c>
      <c r="M345" s="42" t="e">
        <f ca="1">SUM(M$343,M$344)-M$348</f>
        <v>#REF!</v>
      </c>
      <c r="N345" s="42" t="e">
        <f ca="1">SUM(N$343,N$344)-N$348</f>
        <v>#REF!</v>
      </c>
    </row>
    <row r="346" spans="1:14" s="73" customFormat="1" x14ac:dyDescent="0.2">
      <c r="A346" s="28" t="s">
        <v>759</v>
      </c>
      <c r="B346"/>
      <c r="C346" s="72"/>
      <c r="D346" s="127"/>
      <c r="E346" s="127"/>
      <c r="F346" s="127"/>
      <c r="G346" s="127"/>
      <c r="H346" s="127"/>
      <c r="I346" s="127"/>
      <c r="J346" s="242">
        <f ca="1">SUM(J$343,J$344)-SUM(I$343,I$344)-SUM(J$334,J$335,-J$336)</f>
        <v>0</v>
      </c>
      <c r="K346" s="242">
        <f ca="1">SUM(K$343,K$344)-SUM(J$343,J$344)-SUM(K$334,K$335,-K$336)</f>
        <v>0</v>
      </c>
      <c r="L346" s="242">
        <f ca="1">SUM(L$343,L$344)-SUM(K$343,K$344)-SUM(L$334,L$335,-L$336)</f>
        <v>0</v>
      </c>
      <c r="M346" s="242">
        <f ca="1">SUM(M$343,M$344)-SUM(L$343,L$344)-SUM(M$334,M$335,-M$336)</f>
        <v>0</v>
      </c>
      <c r="N346" s="242">
        <f ca="1">SUM(N$343,N$344)-SUM(M$343,M$344)-SUM(N$334,N$335,-N$336)</f>
        <v>0</v>
      </c>
    </row>
    <row r="347" spans="1:14" s="73" customFormat="1" x14ac:dyDescent="0.2">
      <c r="A347" s="28" t="s">
        <v>760</v>
      </c>
      <c r="B347"/>
      <c r="C347" s="72"/>
      <c r="D347" s="127"/>
      <c r="E347" s="127"/>
      <c r="F347" s="127"/>
      <c r="G347" s="127"/>
      <c r="H347" s="127"/>
      <c r="I347" s="127"/>
      <c r="J347" s="242" t="e">
        <f ca="1">SUM(J$346,J$337:J$339)</f>
        <v>#REF!</v>
      </c>
      <c r="K347" s="242" t="e">
        <f ca="1">SUM(K$346,K$337:K$339)</f>
        <v>#REF!</v>
      </c>
      <c r="L347" s="242" t="e">
        <f ca="1">SUM(L$346,L$337:L$339)</f>
        <v>#REF!</v>
      </c>
      <c r="M347" s="242" t="e">
        <f ca="1">SUM(M$346,M$337:M$339)</f>
        <v>#REF!</v>
      </c>
      <c r="N347" s="242" t="e">
        <f ca="1">SUM(N$346,N$337:N$339)</f>
        <v>#REF!</v>
      </c>
    </row>
    <row r="348" spans="1:14" s="73" customFormat="1" x14ac:dyDescent="0.2">
      <c r="A348" s="200" t="s">
        <v>743</v>
      </c>
      <c r="B348"/>
      <c r="C348" s="72"/>
      <c r="D348" s="127"/>
      <c r="E348" s="127"/>
      <c r="F348" s="127"/>
      <c r="G348" s="127"/>
      <c r="H348" s="127"/>
      <c r="I348" s="127"/>
      <c r="J348" s="42" t="e">
        <f ca="1">SUM($E$347:J$347)</f>
        <v>#REF!</v>
      </c>
      <c r="K348" s="42" t="e">
        <f ca="1">SUM($E$347:K$347)</f>
        <v>#REF!</v>
      </c>
      <c r="L348" s="42" t="e">
        <f ca="1">SUM($E$347:L$347)</f>
        <v>#REF!</v>
      </c>
      <c r="M348" s="42" t="e">
        <f ca="1">SUM($E$347:M$347)</f>
        <v>#REF!</v>
      </c>
      <c r="N348" s="42" t="e">
        <f ca="1">SUM($E$347:N$347)</f>
        <v>#REF!</v>
      </c>
    </row>
    <row r="349" spans="1:14" s="73" customFormat="1" x14ac:dyDescent="0.2">
      <c r="A349" s="200" t="s">
        <v>756</v>
      </c>
      <c r="B349"/>
      <c r="C349" s="72"/>
      <c r="D349" s="127"/>
      <c r="E349" s="127"/>
      <c r="F349" s="127"/>
      <c r="G349" s="127"/>
      <c r="H349" s="127"/>
      <c r="I349" s="127"/>
      <c r="J349" s="42" t="e">
        <f ca="1">J$348-J$343</f>
        <v>#REF!</v>
      </c>
      <c r="K349" s="42" t="e">
        <f ca="1">K$348-K$343</f>
        <v>#REF!</v>
      </c>
      <c r="L349" s="42" t="e">
        <f ca="1">L$348-L$343</f>
        <v>#REF!</v>
      </c>
      <c r="M349" s="42" t="e">
        <f ca="1">M$348-M$343</f>
        <v>#REF!</v>
      </c>
      <c r="N349" s="42" t="e">
        <f ca="1">N$348-N$343</f>
        <v>#REF!</v>
      </c>
    </row>
    <row r="350" spans="1:14" s="73" customFormat="1" ht="13.5" x14ac:dyDescent="0.25">
      <c r="A350" s="201"/>
      <c r="B350"/>
      <c r="C350" s="72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</row>
    <row r="351" spans="1:14" s="73" customFormat="1" x14ac:dyDescent="0.2">
      <c r="A351" s="200" t="s">
        <v>738</v>
      </c>
      <c r="B351"/>
      <c r="C351" s="72"/>
      <c r="D351" s="127"/>
      <c r="E351" s="127"/>
      <c r="F351" s="127"/>
      <c r="G351" s="127"/>
      <c r="H351" s="127"/>
      <c r="I351" s="127"/>
      <c r="J351" s="42" t="e">
        <f ca="1">SUM(J$289,J$308,J$326,J$340)</f>
        <v>#REF!</v>
      </c>
      <c r="K351" s="42" t="e">
        <f ca="1">SUM(K$289,K$308,K$326,K$340)</f>
        <v>#REF!</v>
      </c>
      <c r="L351" s="42" t="e">
        <f ca="1">SUM(L$289,L$308,L$326,L$340)</f>
        <v>#REF!</v>
      </c>
      <c r="M351" s="42" t="e">
        <f ca="1">SUM(M$289,M$308,M$326,M$340)</f>
        <v>#REF!</v>
      </c>
      <c r="N351" s="42" t="e">
        <f ca="1">SUM(N$289,N$308,N$326,N$340)</f>
        <v>#REF!</v>
      </c>
    </row>
    <row r="352" spans="1:14" s="73" customFormat="1" ht="13.5" x14ac:dyDescent="0.25">
      <c r="A352" s="201" t="s">
        <v>115</v>
      </c>
      <c r="B352"/>
      <c r="C352" s="72"/>
      <c r="D352" s="127"/>
      <c r="E352" s="127"/>
      <c r="F352" s="127"/>
      <c r="G352" s="127"/>
      <c r="H352" s="127"/>
      <c r="I352" s="127"/>
      <c r="J352" s="132" t="e">
        <f ca="1">IF(ROUND(#REF!-(J$15-J$351),3)=0,"OK","ERROR")</f>
        <v>#REF!</v>
      </c>
      <c r="K352" s="132" t="e">
        <f ca="1">IF(ROUND(#REF!-(K$15-K$351),3)=0,"OK","ERROR")</f>
        <v>#REF!</v>
      </c>
      <c r="L352" s="132" t="e">
        <f ca="1">IF(ROUND(#REF!-(L$15-L$351),3)=0,"OK","ERROR")</f>
        <v>#REF!</v>
      </c>
      <c r="M352" s="132" t="e">
        <f ca="1">IF(ROUND(#REF!-(M$15-M$351),3)=0,"OK","ERROR")</f>
        <v>#REF!</v>
      </c>
      <c r="N352" s="132" t="e">
        <f ca="1">IF(ROUND(#REF!-(N$15-N$351),3)=0,"OK","ERROR")</f>
        <v>#REF!</v>
      </c>
    </row>
    <row r="353" spans="1:14" s="73" customFormat="1" x14ac:dyDescent="0.2">
      <c r="A353" s="200" t="s">
        <v>739</v>
      </c>
      <c r="B353"/>
      <c r="C353" s="72"/>
      <c r="D353" s="127"/>
      <c r="E353" s="127"/>
      <c r="F353" s="127"/>
      <c r="G353" s="127"/>
      <c r="H353" s="127"/>
      <c r="I353" s="127"/>
      <c r="J353" s="42" t="e">
        <f ca="1">SUM(J$317,J$330,J$348)</f>
        <v>#REF!</v>
      </c>
      <c r="K353" s="42" t="e">
        <f ca="1">SUM(K$317,K$330,K$348)</f>
        <v>#REF!</v>
      </c>
      <c r="L353" s="42" t="e">
        <f ca="1">SUM(L$317,L$330,L$348)</f>
        <v>#REF!</v>
      </c>
      <c r="M353" s="42" t="e">
        <f ca="1">SUM(M$317,M$330,M$348)</f>
        <v>#REF!</v>
      </c>
      <c r="N353" s="42" t="e">
        <f ca="1">SUM(N$317,N$330,N$348)</f>
        <v>#REF!</v>
      </c>
    </row>
    <row r="354" spans="1:14" s="73" customFormat="1" ht="13.5" x14ac:dyDescent="0.25">
      <c r="A354" s="201" t="s">
        <v>115</v>
      </c>
      <c r="B354"/>
      <c r="C354" s="72"/>
      <c r="D354" s="127"/>
      <c r="E354" s="127"/>
      <c r="F354" s="127"/>
      <c r="G354" s="127"/>
      <c r="H354" s="127"/>
      <c r="I354" s="127"/>
      <c r="J354" s="132" t="e">
        <f ca="1">IF(ROUND(#REF!-(J$29-J$353),3)=0,"OK","ERROR")</f>
        <v>#REF!</v>
      </c>
      <c r="K354" s="132" t="e">
        <f ca="1">IF(ROUND(#REF!-(K$29-K$353),3)=0,"OK","ERROR")</f>
        <v>#REF!</v>
      </c>
      <c r="L354" s="132" t="e">
        <f ca="1">IF(ROUND(#REF!-(L$29-L$353),3)=0,"OK","ERROR")</f>
        <v>#REF!</v>
      </c>
      <c r="M354" s="132" t="e">
        <f ca="1">IF(ROUND(#REF!-(M$29-M$353),3)=0,"OK","ERROR")</f>
        <v>#REF!</v>
      </c>
      <c r="N354" s="132" t="e">
        <f ca="1">IF(ROUND(#REF!-(N$29-N$353),3)=0,"OK","ERROR")</f>
        <v>#REF!</v>
      </c>
    </row>
    <row r="355" spans="1:14" s="73" customFormat="1" x14ac:dyDescent="0.2">
      <c r="A355" s="200" t="s">
        <v>116</v>
      </c>
      <c r="B355"/>
      <c r="C355" s="72"/>
      <c r="D355" s="127"/>
      <c r="E355" s="127"/>
      <c r="F355" s="127"/>
      <c r="G355" s="127"/>
      <c r="H355" s="127"/>
      <c r="I355" s="127"/>
      <c r="J355" s="42" t="e">
        <f ca="1">SUM(J$310,J$313,J$327,J$345)</f>
        <v>#REF!</v>
      </c>
      <c r="K355" s="42" t="e">
        <f ca="1">SUM(K$310,K$313,K$327,K$345)</f>
        <v>#REF!</v>
      </c>
      <c r="L355" s="42" t="e">
        <f ca="1">SUM(L$310,L$313,L$327,L$345)</f>
        <v>#REF!</v>
      </c>
      <c r="M355" s="42" t="e">
        <f ca="1">SUM(M$310,M$313,M$327,M$345)</f>
        <v>#REF!</v>
      </c>
      <c r="N355" s="42" t="e">
        <f ca="1">SUM(N$310,N$313,N$327,N$345)</f>
        <v>#REF!</v>
      </c>
    </row>
    <row r="356" spans="1:14" s="73" customFormat="1" ht="13.5" x14ac:dyDescent="0.25">
      <c r="A356" s="201" t="s">
        <v>115</v>
      </c>
      <c r="B356"/>
      <c r="C356" s="72"/>
      <c r="D356" s="127"/>
      <c r="E356" s="127"/>
      <c r="F356" s="127"/>
      <c r="G356" s="127"/>
      <c r="H356" s="127"/>
      <c r="I356" s="127"/>
      <c r="J356" s="132" t="e">
        <f ca="1">IF(ROUND(#REF!-(J$31-J$355),3)=0,"OK","ERROR")</f>
        <v>#REF!</v>
      </c>
      <c r="K356" s="132" t="e">
        <f ca="1">IF(ROUND(#REF!-(K$31-K$355),3)=0,"OK","ERROR")</f>
        <v>#REF!</v>
      </c>
      <c r="L356" s="132" t="e">
        <f ca="1">IF(ROUND(#REF!-(L$31-L$355),3)=0,"OK","ERROR")</f>
        <v>#REF!</v>
      </c>
      <c r="M356" s="132" t="e">
        <f ca="1">IF(ROUND(#REF!-(M$31-M$355),3)=0,"OK","ERROR")</f>
        <v>#REF!</v>
      </c>
      <c r="N356" s="132" t="e">
        <f ca="1">IF(ROUND(#REF!-(N$31-N$355),3)=0,"OK","ERROR")</f>
        <v>#REF!</v>
      </c>
    </row>
    <row r="357" spans="1:14" s="73" customFormat="1" x14ac:dyDescent="0.2">
      <c r="A357" s="200" t="s">
        <v>757</v>
      </c>
      <c r="B357"/>
      <c r="C357" s="72"/>
      <c r="D357" s="127"/>
      <c r="E357" s="127"/>
      <c r="F357" s="127"/>
      <c r="G357" s="127"/>
      <c r="H357" s="127"/>
      <c r="I357" s="127"/>
      <c r="J357" s="42" t="e">
        <f ca="1">SUM(J$318,J$331,J$349,J$343)</f>
        <v>#REF!</v>
      </c>
      <c r="K357" s="42" t="e">
        <f ca="1">SUM(K$318,K$331,K$349,K$343)</f>
        <v>#REF!</v>
      </c>
      <c r="L357" s="42" t="e">
        <f ca="1">SUM(L$318,L$331,L$349,L$343)</f>
        <v>#REF!</v>
      </c>
      <c r="M357" s="42" t="e">
        <f ca="1">SUM(M$318,M$331,M$349,M$343)</f>
        <v>#REF!</v>
      </c>
      <c r="N357" s="42" t="e">
        <f ca="1">SUM(N$318,N$331,N$349,N$343)</f>
        <v>#REF!</v>
      </c>
    </row>
    <row r="358" spans="1:14" s="73" customFormat="1" ht="13.5" x14ac:dyDescent="0.25">
      <c r="A358" s="201" t="s">
        <v>115</v>
      </c>
      <c r="B358"/>
      <c r="C358" s="72"/>
      <c r="D358" s="127"/>
      <c r="E358" s="127"/>
      <c r="F358" s="127"/>
      <c r="G358" s="127"/>
      <c r="H358" s="127"/>
      <c r="I358" s="127"/>
      <c r="J358" s="132" t="e">
        <f ca="1">IF(ROUND(#REF!-(J$38-J$357),3)=0,"OK","ERROR")</f>
        <v>#REF!</v>
      </c>
      <c r="K358" s="132" t="e">
        <f ca="1">IF(ROUND(#REF!-(K$38-K$357),3)=0,"OK","ERROR")</f>
        <v>#REF!</v>
      </c>
      <c r="L358" s="132" t="e">
        <f ca="1">IF(ROUND(#REF!-(L$38-L$357),3)=0,"OK","ERROR")</f>
        <v>#REF!</v>
      </c>
      <c r="M358" s="132" t="e">
        <f ca="1">IF(ROUND(#REF!-(M$38-M$357),3)=0,"OK","ERROR")</f>
        <v>#REF!</v>
      </c>
      <c r="N358" s="132" t="e">
        <f ca="1">IF(ROUND(#REF!-(N$38-N$357),3)=0,"OK","ERROR")</f>
        <v>#REF!</v>
      </c>
    </row>
    <row r="359" spans="1:14" s="73" customFormat="1" x14ac:dyDescent="0.2">
      <c r="A359" s="124"/>
      <c r="B359"/>
      <c r="C359" s="72"/>
      <c r="D359" s="127"/>
      <c r="E359" s="127"/>
      <c r="F359" s="127"/>
      <c r="G359" s="127"/>
      <c r="H359" s="127"/>
      <c r="I359" s="127"/>
      <c r="J359" s="127"/>
      <c r="K359" s="127"/>
      <c r="L359" s="127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81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4</xdr:row>
                    <xdr:rowOff>0</xdr:rowOff>
                  </from>
                  <to>
                    <xdr:col>0</xdr:col>
                    <xdr:colOff>4714875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2.75" x14ac:dyDescent="0.2"/>
  <cols>
    <col min="1" max="1" width="36.7109375" style="309" customWidth="1"/>
    <col min="2" max="16384" width="9.140625" style="306"/>
  </cols>
  <sheetData>
    <row r="1" spans="1:12" ht="21.95" customHeight="1" x14ac:dyDescent="0.35">
      <c r="A1" s="303" t="s">
        <v>993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/>
    </row>
    <row r="2" spans="1:12" x14ac:dyDescent="0.2">
      <c r="A2" s="307" t="s">
        <v>278</v>
      </c>
      <c r="B2" s="305" t="s">
        <v>994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x14ac:dyDescent="0.2">
      <c r="A3" s="305" t="s">
        <v>508</v>
      </c>
      <c r="B3" s="305" t="s">
        <v>995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2" x14ac:dyDescent="0.2">
      <c r="A4" s="305" t="s">
        <v>509</v>
      </c>
      <c r="B4" s="305" t="s">
        <v>995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x14ac:dyDescent="0.2">
      <c r="A5" s="305" t="s">
        <v>976</v>
      </c>
      <c r="B5" s="305" t="s">
        <v>980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spans="1:12" x14ac:dyDescent="0.2">
      <c r="A6" s="305"/>
      <c r="B6" s="305" t="s">
        <v>981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</row>
    <row r="7" spans="1:12" x14ac:dyDescent="0.2">
      <c r="A7" s="305" t="s">
        <v>977</v>
      </c>
      <c r="B7" s="305" t="s">
        <v>996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8" spans="1:12" x14ac:dyDescent="0.2">
      <c r="A8" s="305" t="s">
        <v>978</v>
      </c>
      <c r="B8" s="305" t="s">
        <v>979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</row>
    <row r="9" spans="1:12" x14ac:dyDescent="0.2">
      <c r="A9" s="305"/>
      <c r="B9" s="305" t="s">
        <v>982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</row>
    <row r="10" spans="1:12" x14ac:dyDescent="0.2">
      <c r="A10" s="305" t="s">
        <v>510</v>
      </c>
      <c r="B10" s="305" t="s">
        <v>997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</row>
    <row r="11" spans="1:12" x14ac:dyDescent="0.2">
      <c r="A11" s="305"/>
      <c r="B11" s="305" t="s">
        <v>809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</row>
    <row r="12" spans="1:12" x14ac:dyDescent="0.2">
      <c r="A12" s="305" t="s">
        <v>511</v>
      </c>
      <c r="B12" s="305" t="s">
        <v>998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1:12" x14ac:dyDescent="0.2">
      <c r="A13" s="305"/>
      <c r="B13" s="305" t="s">
        <v>810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</row>
    <row r="14" spans="1:12" x14ac:dyDescent="0.2">
      <c r="A14" s="305" t="s">
        <v>512</v>
      </c>
      <c r="B14" s="305" t="s">
        <v>1051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</row>
    <row r="15" spans="1:12" x14ac:dyDescent="0.2">
      <c r="A15" s="305" t="s">
        <v>513</v>
      </c>
      <c r="B15" s="305" t="s">
        <v>1050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</row>
    <row r="16" spans="1:12" x14ac:dyDescent="0.2">
      <c r="A16" s="305" t="s">
        <v>165</v>
      </c>
      <c r="B16" s="305" t="s">
        <v>1052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</row>
    <row r="17" spans="1:12" x14ac:dyDescent="0.2">
      <c r="A17" s="305" t="s">
        <v>403</v>
      </c>
      <c r="B17" s="305" t="s">
        <v>817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</row>
    <row r="18" spans="1:12" x14ac:dyDescent="0.2">
      <c r="A18" s="305" t="s">
        <v>514</v>
      </c>
      <c r="B18" s="305" t="s">
        <v>898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</row>
    <row r="19" spans="1:12" x14ac:dyDescent="0.2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</row>
    <row r="20" spans="1:12" x14ac:dyDescent="0.2">
      <c r="A20" s="305" t="s">
        <v>217</v>
      </c>
      <c r="B20" s="305" t="s">
        <v>999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</row>
    <row r="21" spans="1:12" x14ac:dyDescent="0.2">
      <c r="A21" s="305" t="s">
        <v>218</v>
      </c>
      <c r="B21" s="305" t="s">
        <v>1000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</row>
    <row r="22" spans="1:12" x14ac:dyDescent="0.2">
      <c r="A22" s="305" t="s">
        <v>219</v>
      </c>
      <c r="B22" s="305" t="s">
        <v>110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</row>
    <row r="23" spans="1:12" x14ac:dyDescent="0.2">
      <c r="A23" s="305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</row>
    <row r="24" spans="1:12" x14ac:dyDescent="0.2">
      <c r="A24" s="307" t="s">
        <v>164</v>
      </c>
      <c r="B24" s="308" t="str">
        <f>CONCATENATE("Values below are for initial projected fiscal year, ",$B$22,". All can be altered using the Scenarios worksheet.")</f>
        <v>Values below are for initial projected fiscal year, 2017/18. All can be altered using the Scenarios worksheet.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</row>
    <row r="25" spans="1:12" x14ac:dyDescent="0.2">
      <c r="A25" s="305" t="s">
        <v>362</v>
      </c>
      <c r="B25" s="305" t="s">
        <v>1053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</row>
    <row r="26" spans="1:12" x14ac:dyDescent="0.2">
      <c r="A26" s="305" t="s">
        <v>156</v>
      </c>
      <c r="B26" s="305" t="s">
        <v>1054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</row>
    <row r="27" spans="1:12" x14ac:dyDescent="0.2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</row>
    <row r="28" spans="1:12" x14ac:dyDescent="0.2">
      <c r="A28" s="305" t="s">
        <v>811</v>
      </c>
      <c r="B28" s="305" t="s">
        <v>812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3"/>
  <sheetViews>
    <sheetView workbookViewId="0">
      <pane xSplit="2" ySplit="2" topLeftCell="C3" activePane="bottomRight" state="frozen"/>
      <selection activeCell="G3" sqref="G3"/>
      <selection pane="topRight" activeCell="G3" sqref="G3"/>
      <selection pane="bottomLeft" activeCell="G3" sqref="G3"/>
      <selection pane="bottomRight" activeCell="C194" sqref="C194"/>
    </sheetView>
  </sheetViews>
  <sheetFormatPr defaultColWidth="8.85546875" defaultRowHeight="12.75" x14ac:dyDescent="0.2"/>
  <cols>
    <col min="1" max="1" width="40.7109375" style="268" customWidth="1"/>
    <col min="2" max="2" width="10.7109375" style="268" customWidth="1"/>
    <col min="3" max="58" width="8.7109375" style="268" customWidth="1"/>
    <col min="59" max="16384" width="8.85546875" style="268"/>
  </cols>
  <sheetData>
    <row r="1" spans="1:58" ht="18.75" x14ac:dyDescent="0.3">
      <c r="A1" s="310" t="s">
        <v>1048</v>
      </c>
    </row>
    <row r="2" spans="1:58" ht="15.75" x14ac:dyDescent="0.25">
      <c r="A2" s="419"/>
      <c r="B2" s="420" t="s">
        <v>1049</v>
      </c>
      <c r="C2" s="311" t="s">
        <v>444</v>
      </c>
      <c r="D2" s="311" t="s">
        <v>445</v>
      </c>
      <c r="E2" s="311" t="s">
        <v>446</v>
      </c>
      <c r="F2" s="311" t="s">
        <v>447</v>
      </c>
      <c r="G2" s="311" t="s">
        <v>448</v>
      </c>
      <c r="H2" s="311" t="s">
        <v>449</v>
      </c>
      <c r="I2" s="311" t="s">
        <v>450</v>
      </c>
      <c r="J2" s="311" t="s">
        <v>451</v>
      </c>
      <c r="K2" s="311" t="s">
        <v>452</v>
      </c>
      <c r="L2" s="311" t="s">
        <v>453</v>
      </c>
      <c r="M2" s="311" t="s">
        <v>454</v>
      </c>
      <c r="N2" s="311" t="s">
        <v>455</v>
      </c>
      <c r="O2" s="311" t="s">
        <v>456</v>
      </c>
      <c r="P2" s="311" t="s">
        <v>457</v>
      </c>
      <c r="Q2" s="311" t="s">
        <v>458</v>
      </c>
      <c r="R2" s="311" t="s">
        <v>459</v>
      </c>
      <c r="S2" s="311" t="s">
        <v>460</v>
      </c>
      <c r="T2" s="311" t="s">
        <v>461</v>
      </c>
      <c r="U2" s="311" t="s">
        <v>462</v>
      </c>
      <c r="V2" s="311" t="s">
        <v>463</v>
      </c>
      <c r="W2" s="311" t="s">
        <v>464</v>
      </c>
      <c r="X2" s="311" t="s">
        <v>465</v>
      </c>
      <c r="Y2" s="311" t="s">
        <v>466</v>
      </c>
      <c r="Z2" s="311" t="s">
        <v>467</v>
      </c>
      <c r="AA2" s="311" t="s">
        <v>468</v>
      </c>
      <c r="AB2" s="311" t="s">
        <v>469</v>
      </c>
      <c r="AC2" s="311" t="s">
        <v>470</v>
      </c>
      <c r="AD2" s="311" t="s">
        <v>471</v>
      </c>
      <c r="AE2" s="311" t="s">
        <v>472</v>
      </c>
      <c r="AF2" s="311" t="s">
        <v>473</v>
      </c>
      <c r="AG2" s="311" t="s">
        <v>474</v>
      </c>
      <c r="AH2" s="311" t="s">
        <v>475</v>
      </c>
      <c r="AI2" s="311" t="s">
        <v>476</v>
      </c>
      <c r="AJ2" s="311" t="s">
        <v>477</v>
      </c>
      <c r="AK2" s="311" t="s">
        <v>478</v>
      </c>
      <c r="AL2" s="311" t="s">
        <v>479</v>
      </c>
      <c r="AM2" s="311" t="s">
        <v>480</v>
      </c>
      <c r="AN2" s="311" t="s">
        <v>481</v>
      </c>
      <c r="AO2" s="311" t="s">
        <v>482</v>
      </c>
      <c r="AP2" s="311" t="s">
        <v>483</v>
      </c>
      <c r="AQ2" s="311" t="s">
        <v>484</v>
      </c>
      <c r="AR2" s="311" t="s">
        <v>485</v>
      </c>
      <c r="AS2" s="311" t="s">
        <v>486</v>
      </c>
      <c r="AT2" s="311" t="s">
        <v>487</v>
      </c>
      <c r="AU2" s="311" t="s">
        <v>488</v>
      </c>
      <c r="AV2" s="311" t="s">
        <v>489</v>
      </c>
      <c r="AW2" s="311" t="s">
        <v>490</v>
      </c>
      <c r="AX2" s="311" t="s">
        <v>491</v>
      </c>
      <c r="AY2" s="311" t="s">
        <v>492</v>
      </c>
      <c r="AZ2" s="311" t="s">
        <v>494</v>
      </c>
      <c r="BA2" s="311" t="s">
        <v>495</v>
      </c>
      <c r="BB2" s="311" t="s">
        <v>496</v>
      </c>
      <c r="BC2" s="311" t="s">
        <v>497</v>
      </c>
      <c r="BD2" s="311" t="s">
        <v>498</v>
      </c>
      <c r="BE2" s="311" t="s">
        <v>499</v>
      </c>
      <c r="BF2" s="311" t="s">
        <v>500</v>
      </c>
    </row>
    <row r="3" spans="1:58" ht="15.75" x14ac:dyDescent="0.25">
      <c r="A3" s="312" t="s">
        <v>974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</row>
    <row r="4" spans="1:58" x14ac:dyDescent="0.2">
      <c r="A4" s="314" t="s">
        <v>99</v>
      </c>
      <c r="B4" s="315"/>
      <c r="C4" s="316">
        <f t="shared" ref="C4:BF4" si="0">SUM(C$7:C$97,C$101:C$191)/1000000</f>
        <v>4.1846300000000003</v>
      </c>
      <c r="D4" s="316">
        <f t="shared" si="0"/>
        <v>4.2282799999999998</v>
      </c>
      <c r="E4" s="316">
        <f t="shared" si="0"/>
        <v>4.2688800000000002</v>
      </c>
      <c r="F4" s="316">
        <f t="shared" si="0"/>
        <v>4.3157899999999998</v>
      </c>
      <c r="G4" s="316">
        <f t="shared" si="0"/>
        <v>4.36782</v>
      </c>
      <c r="H4" s="316">
        <f t="shared" si="0"/>
        <v>4.4050799999999999</v>
      </c>
      <c r="I4" s="316">
        <f t="shared" si="0"/>
        <v>4.4333299999999998</v>
      </c>
      <c r="J4" s="316">
        <f t="shared" si="0"/>
        <v>4.4640599999999999</v>
      </c>
      <c r="K4" s="316">
        <f t="shared" si="0"/>
        <v>4.5015000000000001</v>
      </c>
      <c r="L4" s="316">
        <f t="shared" si="0"/>
        <v>4.5438900000000002</v>
      </c>
      <c r="M4" s="316">
        <f t="shared" si="0"/>
        <v>4.5861900000000002</v>
      </c>
      <c r="N4" s="316">
        <f t="shared" si="0"/>
        <v>4.6284999999999998</v>
      </c>
      <c r="O4" s="316">
        <f t="shared" si="0"/>
        <v>4.6709899999999998</v>
      </c>
      <c r="P4" s="316">
        <f t="shared" si="0"/>
        <v>4.7134499999999999</v>
      </c>
      <c r="Q4" s="316">
        <f t="shared" si="0"/>
        <v>4.7558100000000003</v>
      </c>
      <c r="R4" s="316">
        <f t="shared" si="0"/>
        <v>4.7980099999999997</v>
      </c>
      <c r="S4" s="316">
        <f t="shared" si="0"/>
        <v>4.8400299999999996</v>
      </c>
      <c r="T4" s="316">
        <f t="shared" si="0"/>
        <v>4.8817899999999996</v>
      </c>
      <c r="U4" s="316">
        <f t="shared" si="0"/>
        <v>4.9232300000000002</v>
      </c>
      <c r="V4" s="316">
        <f t="shared" si="0"/>
        <v>4.9640899999999997</v>
      </c>
      <c r="W4" s="316">
        <f t="shared" si="0"/>
        <v>5.0044500000000003</v>
      </c>
      <c r="X4" s="417">
        <f t="shared" si="0"/>
        <v>5.0441099999999999</v>
      </c>
      <c r="Y4" s="316">
        <f t="shared" si="0"/>
        <v>5.0830099999999998</v>
      </c>
      <c r="Z4" s="316">
        <f t="shared" si="0"/>
        <v>5.1210699999999996</v>
      </c>
      <c r="AA4" s="316">
        <f t="shared" si="0"/>
        <v>5.1583399999999999</v>
      </c>
      <c r="AB4" s="316">
        <f t="shared" si="0"/>
        <v>5.1945399999999999</v>
      </c>
      <c r="AC4" s="316">
        <f t="shared" si="0"/>
        <v>5.2298400000000003</v>
      </c>
      <c r="AD4" s="316">
        <f t="shared" si="0"/>
        <v>5.2641900000000001</v>
      </c>
      <c r="AE4" s="316">
        <f t="shared" si="0"/>
        <v>5.2977600000000002</v>
      </c>
      <c r="AF4" s="316">
        <f t="shared" si="0"/>
        <v>5.3303399999999996</v>
      </c>
      <c r="AG4" s="316">
        <f t="shared" si="0"/>
        <v>5.3621600000000003</v>
      </c>
      <c r="AH4" s="316">
        <f t="shared" si="0"/>
        <v>5.3933099999999996</v>
      </c>
      <c r="AI4" s="316">
        <f t="shared" si="0"/>
        <v>5.4237599999999997</v>
      </c>
      <c r="AJ4" s="316">
        <f t="shared" si="0"/>
        <v>5.4535299999999998</v>
      </c>
      <c r="AK4" s="316">
        <f t="shared" si="0"/>
        <v>5.48271</v>
      </c>
      <c r="AL4" s="316">
        <f t="shared" si="0"/>
        <v>5.5113399999999997</v>
      </c>
      <c r="AM4" s="316">
        <f t="shared" si="0"/>
        <v>5.5393400000000002</v>
      </c>
      <c r="AN4" s="316">
        <f t="shared" si="0"/>
        <v>5.5668499999999996</v>
      </c>
      <c r="AO4" s="316">
        <f t="shared" si="0"/>
        <v>5.59368</v>
      </c>
      <c r="AP4" s="316">
        <f t="shared" si="0"/>
        <v>5.6200599999999996</v>
      </c>
      <c r="AQ4" s="316">
        <f t="shared" si="0"/>
        <v>5.6458000000000004</v>
      </c>
      <c r="AR4" s="316">
        <f t="shared" si="0"/>
        <v>5.6710799999999999</v>
      </c>
      <c r="AS4" s="316">
        <f t="shared" si="0"/>
        <v>5.6957300000000002</v>
      </c>
      <c r="AT4" s="316">
        <f t="shared" si="0"/>
        <v>5.7200499999999996</v>
      </c>
      <c r="AU4" s="316">
        <f t="shared" si="0"/>
        <v>5.7439</v>
      </c>
      <c r="AV4" s="316">
        <f t="shared" si="0"/>
        <v>5.7674099999999999</v>
      </c>
      <c r="AW4" s="316">
        <f t="shared" si="0"/>
        <v>5.7906399999999998</v>
      </c>
      <c r="AX4" s="316">
        <f t="shared" si="0"/>
        <v>5.8135500000000002</v>
      </c>
      <c r="AY4" s="316">
        <f t="shared" si="0"/>
        <v>5.8362800000000004</v>
      </c>
      <c r="AZ4" s="316">
        <f t="shared" si="0"/>
        <v>5.8589599999999997</v>
      </c>
      <c r="BA4" s="316">
        <f t="shared" si="0"/>
        <v>5.8815600000000003</v>
      </c>
      <c r="BB4" s="316">
        <f t="shared" si="0"/>
        <v>5.9040499999999998</v>
      </c>
      <c r="BC4" s="316">
        <f t="shared" si="0"/>
        <v>5.9266899999999998</v>
      </c>
      <c r="BD4" s="316">
        <f t="shared" si="0"/>
        <v>5.9492599999999998</v>
      </c>
      <c r="BE4" s="316">
        <f t="shared" si="0"/>
        <v>5.9720300000000002</v>
      </c>
      <c r="BF4" s="316">
        <f t="shared" si="0"/>
        <v>5.9948600000000001</v>
      </c>
    </row>
    <row r="5" spans="1:58" x14ac:dyDescent="0.2">
      <c r="A5" s="314"/>
      <c r="B5" s="315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</row>
    <row r="6" spans="1:58" x14ac:dyDescent="0.2">
      <c r="A6" s="314" t="s">
        <v>4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</row>
    <row r="7" spans="1:58" x14ac:dyDescent="0.2">
      <c r="A7" s="318" t="s">
        <v>5</v>
      </c>
      <c r="B7" s="315"/>
      <c r="C7" s="317">
        <v>30150</v>
      </c>
      <c r="D7" s="317">
        <v>31680</v>
      </c>
      <c r="E7" s="317">
        <v>32930</v>
      </c>
      <c r="F7" s="317">
        <v>32630</v>
      </c>
      <c r="G7" s="317">
        <v>32590</v>
      </c>
      <c r="H7" s="317">
        <v>32000</v>
      </c>
      <c r="I7" s="317">
        <v>31120</v>
      </c>
      <c r="J7" s="317">
        <v>31040</v>
      </c>
      <c r="K7" s="317">
        <v>31090</v>
      </c>
      <c r="L7" s="317">
        <v>31230</v>
      </c>
      <c r="M7" s="317">
        <v>31410</v>
      </c>
      <c r="N7" s="317">
        <v>31610</v>
      </c>
      <c r="O7" s="317">
        <v>31800</v>
      </c>
      <c r="P7" s="317">
        <v>31990</v>
      </c>
      <c r="Q7" s="317">
        <v>32160</v>
      </c>
      <c r="R7" s="317">
        <v>32310</v>
      </c>
      <c r="S7" s="317">
        <v>32420</v>
      </c>
      <c r="T7" s="317">
        <v>32510</v>
      </c>
      <c r="U7" s="317">
        <v>32570</v>
      </c>
      <c r="V7" s="317">
        <v>32590</v>
      </c>
      <c r="W7" s="317">
        <v>32590</v>
      </c>
      <c r="X7" s="317">
        <v>32560</v>
      </c>
      <c r="Y7" s="317">
        <v>32510</v>
      </c>
      <c r="Z7" s="317">
        <v>32440</v>
      </c>
      <c r="AA7" s="317">
        <v>32350</v>
      </c>
      <c r="AB7" s="317">
        <v>32260</v>
      </c>
      <c r="AC7" s="317">
        <v>32180</v>
      </c>
      <c r="AD7" s="317">
        <v>32120</v>
      </c>
      <c r="AE7" s="317">
        <v>32070</v>
      </c>
      <c r="AF7" s="317">
        <v>32070</v>
      </c>
      <c r="AG7" s="317">
        <v>32100</v>
      </c>
      <c r="AH7" s="317">
        <v>32160</v>
      </c>
      <c r="AI7" s="317">
        <v>32250</v>
      </c>
      <c r="AJ7" s="317">
        <v>32340</v>
      </c>
      <c r="AK7" s="317">
        <v>32450</v>
      </c>
      <c r="AL7" s="317">
        <v>32550</v>
      </c>
      <c r="AM7" s="317">
        <v>32650</v>
      </c>
      <c r="AN7" s="317">
        <v>32730</v>
      </c>
      <c r="AO7" s="317">
        <v>32810</v>
      </c>
      <c r="AP7" s="317">
        <v>32890</v>
      </c>
      <c r="AQ7" s="317">
        <v>32950</v>
      </c>
      <c r="AR7" s="317">
        <v>33020</v>
      </c>
      <c r="AS7" s="317">
        <v>33080</v>
      </c>
      <c r="AT7" s="317">
        <v>33140</v>
      </c>
      <c r="AU7" s="317">
        <v>33200</v>
      </c>
      <c r="AV7" s="317">
        <v>33260</v>
      </c>
      <c r="AW7" s="317">
        <v>33310</v>
      </c>
      <c r="AX7" s="317">
        <v>33370</v>
      </c>
      <c r="AY7" s="317">
        <v>33420</v>
      </c>
      <c r="AZ7" s="317">
        <v>33460</v>
      </c>
      <c r="BA7" s="317">
        <v>33510</v>
      </c>
      <c r="BB7" s="317">
        <v>33540</v>
      </c>
      <c r="BC7" s="317">
        <v>33570</v>
      </c>
      <c r="BD7" s="317">
        <v>33590</v>
      </c>
      <c r="BE7" s="317">
        <v>33610</v>
      </c>
      <c r="BF7" s="317">
        <v>33620</v>
      </c>
    </row>
    <row r="8" spans="1:58" x14ac:dyDescent="0.2">
      <c r="A8" s="318" t="s">
        <v>6</v>
      </c>
      <c r="B8" s="315"/>
      <c r="C8" s="317">
        <v>29380</v>
      </c>
      <c r="D8" s="317">
        <v>30130</v>
      </c>
      <c r="E8" s="317">
        <v>31570</v>
      </c>
      <c r="F8" s="317">
        <v>32860</v>
      </c>
      <c r="G8" s="317">
        <v>32650</v>
      </c>
      <c r="H8" s="317">
        <v>32460</v>
      </c>
      <c r="I8" s="317">
        <v>31800</v>
      </c>
      <c r="J8" s="317">
        <v>30940</v>
      </c>
      <c r="K8" s="317">
        <v>30920</v>
      </c>
      <c r="L8" s="317">
        <v>31000</v>
      </c>
      <c r="M8" s="317">
        <v>31140</v>
      </c>
      <c r="N8" s="317">
        <v>31320</v>
      </c>
      <c r="O8" s="317">
        <v>31520</v>
      </c>
      <c r="P8" s="317">
        <v>31710</v>
      </c>
      <c r="Q8" s="317">
        <v>31900</v>
      </c>
      <c r="R8" s="317">
        <v>32070</v>
      </c>
      <c r="S8" s="317">
        <v>32220</v>
      </c>
      <c r="T8" s="317">
        <v>32340</v>
      </c>
      <c r="U8" s="317">
        <v>32430</v>
      </c>
      <c r="V8" s="317">
        <v>32480</v>
      </c>
      <c r="W8" s="317">
        <v>32510</v>
      </c>
      <c r="X8" s="317">
        <v>32510</v>
      </c>
      <c r="Y8" s="317">
        <v>32480</v>
      </c>
      <c r="Z8" s="317">
        <v>32430</v>
      </c>
      <c r="AA8" s="317">
        <v>32350</v>
      </c>
      <c r="AB8" s="317">
        <v>32270</v>
      </c>
      <c r="AC8" s="317">
        <v>32180</v>
      </c>
      <c r="AD8" s="317">
        <v>32100</v>
      </c>
      <c r="AE8" s="317">
        <v>32030</v>
      </c>
      <c r="AF8" s="317">
        <v>31990</v>
      </c>
      <c r="AG8" s="317">
        <v>31990</v>
      </c>
      <c r="AH8" s="317">
        <v>32020</v>
      </c>
      <c r="AI8" s="317">
        <v>32080</v>
      </c>
      <c r="AJ8" s="317">
        <v>32170</v>
      </c>
      <c r="AK8" s="317">
        <v>32260</v>
      </c>
      <c r="AL8" s="317">
        <v>32370</v>
      </c>
      <c r="AM8" s="317">
        <v>32470</v>
      </c>
      <c r="AN8" s="317">
        <v>32570</v>
      </c>
      <c r="AO8" s="317">
        <v>32660</v>
      </c>
      <c r="AP8" s="317">
        <v>32740</v>
      </c>
      <c r="AQ8" s="317">
        <v>32810</v>
      </c>
      <c r="AR8" s="317">
        <v>32880</v>
      </c>
      <c r="AS8" s="317">
        <v>32940</v>
      </c>
      <c r="AT8" s="317">
        <v>33000</v>
      </c>
      <c r="AU8" s="317">
        <v>33060</v>
      </c>
      <c r="AV8" s="317">
        <v>33120</v>
      </c>
      <c r="AW8" s="317">
        <v>33180</v>
      </c>
      <c r="AX8" s="317">
        <v>33240</v>
      </c>
      <c r="AY8" s="317">
        <v>33290</v>
      </c>
      <c r="AZ8" s="317">
        <v>33340</v>
      </c>
      <c r="BA8" s="317">
        <v>33390</v>
      </c>
      <c r="BB8" s="317">
        <v>33430</v>
      </c>
      <c r="BC8" s="317">
        <v>33470</v>
      </c>
      <c r="BD8" s="317">
        <v>33500</v>
      </c>
      <c r="BE8" s="317">
        <v>33520</v>
      </c>
      <c r="BF8" s="317">
        <v>33530</v>
      </c>
    </row>
    <row r="9" spans="1:58" x14ac:dyDescent="0.2">
      <c r="A9" s="318" t="s">
        <v>7</v>
      </c>
      <c r="B9" s="315"/>
      <c r="C9" s="317">
        <v>29510</v>
      </c>
      <c r="D9" s="317">
        <v>29470</v>
      </c>
      <c r="E9" s="317">
        <v>30140</v>
      </c>
      <c r="F9" s="317">
        <v>31580</v>
      </c>
      <c r="G9" s="317">
        <v>32910</v>
      </c>
      <c r="H9" s="317">
        <v>32550</v>
      </c>
      <c r="I9" s="317">
        <v>32290</v>
      </c>
      <c r="J9" s="317">
        <v>31650</v>
      </c>
      <c r="K9" s="317">
        <v>30840</v>
      </c>
      <c r="L9" s="317">
        <v>30850</v>
      </c>
      <c r="M9" s="317">
        <v>30940</v>
      </c>
      <c r="N9" s="317">
        <v>31080</v>
      </c>
      <c r="O9" s="317">
        <v>31260</v>
      </c>
      <c r="P9" s="317">
        <v>31450</v>
      </c>
      <c r="Q9" s="317">
        <v>31650</v>
      </c>
      <c r="R9" s="317">
        <v>31840</v>
      </c>
      <c r="S9" s="317">
        <v>32010</v>
      </c>
      <c r="T9" s="317">
        <v>32160</v>
      </c>
      <c r="U9" s="317">
        <v>32280</v>
      </c>
      <c r="V9" s="317">
        <v>32360</v>
      </c>
      <c r="W9" s="317">
        <v>32420</v>
      </c>
      <c r="X9" s="317">
        <v>32450</v>
      </c>
      <c r="Y9" s="317">
        <v>32450</v>
      </c>
      <c r="Z9" s="317">
        <v>32420</v>
      </c>
      <c r="AA9" s="317">
        <v>32370</v>
      </c>
      <c r="AB9" s="317">
        <v>32290</v>
      </c>
      <c r="AC9" s="317">
        <v>32210</v>
      </c>
      <c r="AD9" s="317">
        <v>32120</v>
      </c>
      <c r="AE9" s="317">
        <v>32040</v>
      </c>
      <c r="AF9" s="317">
        <v>31980</v>
      </c>
      <c r="AG9" s="317">
        <v>31940</v>
      </c>
      <c r="AH9" s="317">
        <v>31930</v>
      </c>
      <c r="AI9" s="317">
        <v>31960</v>
      </c>
      <c r="AJ9" s="317">
        <v>32020</v>
      </c>
      <c r="AK9" s="317">
        <v>32110</v>
      </c>
      <c r="AL9" s="317">
        <v>32210</v>
      </c>
      <c r="AM9" s="317">
        <v>32310</v>
      </c>
      <c r="AN9" s="317">
        <v>32410</v>
      </c>
      <c r="AO9" s="317">
        <v>32510</v>
      </c>
      <c r="AP9" s="317">
        <v>32600</v>
      </c>
      <c r="AQ9" s="317">
        <v>32680</v>
      </c>
      <c r="AR9" s="317">
        <v>32750</v>
      </c>
      <c r="AS9" s="317">
        <v>32820</v>
      </c>
      <c r="AT9" s="317">
        <v>32880</v>
      </c>
      <c r="AU9" s="317">
        <v>32950</v>
      </c>
      <c r="AV9" s="317">
        <v>33010</v>
      </c>
      <c r="AW9" s="317">
        <v>33070</v>
      </c>
      <c r="AX9" s="317">
        <v>33120</v>
      </c>
      <c r="AY9" s="317">
        <v>33180</v>
      </c>
      <c r="AZ9" s="317">
        <v>33240</v>
      </c>
      <c r="BA9" s="317">
        <v>33290</v>
      </c>
      <c r="BB9" s="317">
        <v>33330</v>
      </c>
      <c r="BC9" s="317">
        <v>33380</v>
      </c>
      <c r="BD9" s="317">
        <v>33410</v>
      </c>
      <c r="BE9" s="317">
        <v>33440</v>
      </c>
      <c r="BF9" s="317">
        <v>33460</v>
      </c>
    </row>
    <row r="10" spans="1:58" x14ac:dyDescent="0.2">
      <c r="A10" s="318" t="s">
        <v>8</v>
      </c>
      <c r="B10" s="315"/>
      <c r="C10" s="317">
        <v>28800</v>
      </c>
      <c r="D10" s="317">
        <v>29640</v>
      </c>
      <c r="E10" s="317">
        <v>29490</v>
      </c>
      <c r="F10" s="317">
        <v>30230</v>
      </c>
      <c r="G10" s="317">
        <v>31630</v>
      </c>
      <c r="H10" s="317">
        <v>32790</v>
      </c>
      <c r="I10" s="317">
        <v>32390</v>
      </c>
      <c r="J10" s="317">
        <v>32160</v>
      </c>
      <c r="K10" s="317">
        <v>31570</v>
      </c>
      <c r="L10" s="317">
        <v>30790</v>
      </c>
      <c r="M10" s="317">
        <v>30800</v>
      </c>
      <c r="N10" s="317">
        <v>30890</v>
      </c>
      <c r="O10" s="317">
        <v>31030</v>
      </c>
      <c r="P10" s="317">
        <v>31210</v>
      </c>
      <c r="Q10" s="317">
        <v>31400</v>
      </c>
      <c r="R10" s="317">
        <v>31600</v>
      </c>
      <c r="S10" s="317">
        <v>31790</v>
      </c>
      <c r="T10" s="317">
        <v>31960</v>
      </c>
      <c r="U10" s="317">
        <v>32110</v>
      </c>
      <c r="V10" s="317">
        <v>32230</v>
      </c>
      <c r="W10" s="317">
        <v>32320</v>
      </c>
      <c r="X10" s="317">
        <v>32370</v>
      </c>
      <c r="Y10" s="317">
        <v>32400</v>
      </c>
      <c r="Z10" s="317">
        <v>32400</v>
      </c>
      <c r="AA10" s="317">
        <v>32370</v>
      </c>
      <c r="AB10" s="317">
        <v>32320</v>
      </c>
      <c r="AC10" s="317">
        <v>32250</v>
      </c>
      <c r="AD10" s="317">
        <v>32160</v>
      </c>
      <c r="AE10" s="317">
        <v>32070</v>
      </c>
      <c r="AF10" s="317">
        <v>31990</v>
      </c>
      <c r="AG10" s="317">
        <v>31930</v>
      </c>
      <c r="AH10" s="317">
        <v>31890</v>
      </c>
      <c r="AI10" s="317">
        <v>31880</v>
      </c>
      <c r="AJ10" s="317">
        <v>31910</v>
      </c>
      <c r="AK10" s="317">
        <v>31980</v>
      </c>
      <c r="AL10" s="317">
        <v>32060</v>
      </c>
      <c r="AM10" s="317">
        <v>32160</v>
      </c>
      <c r="AN10" s="317">
        <v>32260</v>
      </c>
      <c r="AO10" s="317">
        <v>32370</v>
      </c>
      <c r="AP10" s="317">
        <v>32460</v>
      </c>
      <c r="AQ10" s="317">
        <v>32550</v>
      </c>
      <c r="AR10" s="317">
        <v>32630</v>
      </c>
      <c r="AS10" s="317">
        <v>32700</v>
      </c>
      <c r="AT10" s="317">
        <v>32770</v>
      </c>
      <c r="AU10" s="317">
        <v>32840</v>
      </c>
      <c r="AV10" s="317">
        <v>32900</v>
      </c>
      <c r="AW10" s="317">
        <v>32960</v>
      </c>
      <c r="AX10" s="317">
        <v>33020</v>
      </c>
      <c r="AY10" s="317">
        <v>33080</v>
      </c>
      <c r="AZ10" s="317">
        <v>33130</v>
      </c>
      <c r="BA10" s="317">
        <v>33190</v>
      </c>
      <c r="BB10" s="317">
        <v>33240</v>
      </c>
      <c r="BC10" s="317">
        <v>33290</v>
      </c>
      <c r="BD10" s="317">
        <v>33330</v>
      </c>
      <c r="BE10" s="317">
        <v>33370</v>
      </c>
      <c r="BF10" s="317">
        <v>33390</v>
      </c>
    </row>
    <row r="11" spans="1:58" x14ac:dyDescent="0.2">
      <c r="A11" s="318" t="s">
        <v>9</v>
      </c>
      <c r="B11" s="315"/>
      <c r="C11" s="317">
        <v>28370</v>
      </c>
      <c r="D11" s="317">
        <v>28890</v>
      </c>
      <c r="E11" s="317">
        <v>29670</v>
      </c>
      <c r="F11" s="317">
        <v>29600</v>
      </c>
      <c r="G11" s="317">
        <v>30240</v>
      </c>
      <c r="H11" s="317">
        <v>31550</v>
      </c>
      <c r="I11" s="317">
        <v>32650</v>
      </c>
      <c r="J11" s="317">
        <v>32270</v>
      </c>
      <c r="K11" s="317">
        <v>32080</v>
      </c>
      <c r="L11" s="317">
        <v>31520</v>
      </c>
      <c r="M11" s="317">
        <v>30740</v>
      </c>
      <c r="N11" s="317">
        <v>30750</v>
      </c>
      <c r="O11" s="317">
        <v>30840</v>
      </c>
      <c r="P11" s="317">
        <v>30980</v>
      </c>
      <c r="Q11" s="317">
        <v>31160</v>
      </c>
      <c r="R11" s="317">
        <v>31360</v>
      </c>
      <c r="S11" s="317">
        <v>31550</v>
      </c>
      <c r="T11" s="317">
        <v>31740</v>
      </c>
      <c r="U11" s="317">
        <v>31910</v>
      </c>
      <c r="V11" s="317">
        <v>32060</v>
      </c>
      <c r="W11" s="317">
        <v>32180</v>
      </c>
      <c r="X11" s="317">
        <v>32270</v>
      </c>
      <c r="Y11" s="317">
        <v>32320</v>
      </c>
      <c r="Z11" s="317">
        <v>32350</v>
      </c>
      <c r="AA11" s="317">
        <v>32350</v>
      </c>
      <c r="AB11" s="317">
        <v>32320</v>
      </c>
      <c r="AC11" s="317">
        <v>32270</v>
      </c>
      <c r="AD11" s="317">
        <v>32200</v>
      </c>
      <c r="AE11" s="317">
        <v>32110</v>
      </c>
      <c r="AF11" s="317">
        <v>32030</v>
      </c>
      <c r="AG11" s="317">
        <v>31950</v>
      </c>
      <c r="AH11" s="317">
        <v>31880</v>
      </c>
      <c r="AI11" s="317">
        <v>31840</v>
      </c>
      <c r="AJ11" s="317">
        <v>31840</v>
      </c>
      <c r="AK11" s="317">
        <v>31870</v>
      </c>
      <c r="AL11" s="317">
        <v>31930</v>
      </c>
      <c r="AM11" s="317">
        <v>32010</v>
      </c>
      <c r="AN11" s="317">
        <v>32110</v>
      </c>
      <c r="AO11" s="317">
        <v>32220</v>
      </c>
      <c r="AP11" s="317">
        <v>32320</v>
      </c>
      <c r="AQ11" s="317">
        <v>32420</v>
      </c>
      <c r="AR11" s="317">
        <v>32510</v>
      </c>
      <c r="AS11" s="317">
        <v>32590</v>
      </c>
      <c r="AT11" s="317">
        <v>32660</v>
      </c>
      <c r="AU11" s="317">
        <v>32730</v>
      </c>
      <c r="AV11" s="317">
        <v>32790</v>
      </c>
      <c r="AW11" s="317">
        <v>32850</v>
      </c>
      <c r="AX11" s="317">
        <v>32910</v>
      </c>
      <c r="AY11" s="317">
        <v>32970</v>
      </c>
      <c r="AZ11" s="317">
        <v>33030</v>
      </c>
      <c r="BA11" s="317">
        <v>33090</v>
      </c>
      <c r="BB11" s="317">
        <v>33140</v>
      </c>
      <c r="BC11" s="317">
        <v>33190</v>
      </c>
      <c r="BD11" s="317">
        <v>33240</v>
      </c>
      <c r="BE11" s="317">
        <v>33280</v>
      </c>
      <c r="BF11" s="317">
        <v>33320</v>
      </c>
    </row>
    <row r="12" spans="1:58" x14ac:dyDescent="0.2">
      <c r="A12" s="318" t="s">
        <v>10</v>
      </c>
      <c r="B12" s="315"/>
      <c r="C12" s="317">
        <v>29670</v>
      </c>
      <c r="D12" s="317">
        <v>28450</v>
      </c>
      <c r="E12" s="317">
        <v>28930</v>
      </c>
      <c r="F12" s="317">
        <v>29750</v>
      </c>
      <c r="G12" s="317">
        <v>29640</v>
      </c>
      <c r="H12" s="317">
        <v>30170</v>
      </c>
      <c r="I12" s="317">
        <v>31410</v>
      </c>
      <c r="J12" s="317">
        <v>32520</v>
      </c>
      <c r="K12" s="317">
        <v>32180</v>
      </c>
      <c r="L12" s="317">
        <v>32030</v>
      </c>
      <c r="M12" s="317">
        <v>31470</v>
      </c>
      <c r="N12" s="317">
        <v>30690</v>
      </c>
      <c r="O12" s="317">
        <v>30700</v>
      </c>
      <c r="P12" s="317">
        <v>30790</v>
      </c>
      <c r="Q12" s="317">
        <v>30930</v>
      </c>
      <c r="R12" s="317">
        <v>31110</v>
      </c>
      <c r="S12" s="317">
        <v>31300</v>
      </c>
      <c r="T12" s="317">
        <v>31500</v>
      </c>
      <c r="U12" s="317">
        <v>31690</v>
      </c>
      <c r="V12" s="317">
        <v>31860</v>
      </c>
      <c r="W12" s="317">
        <v>32010</v>
      </c>
      <c r="X12" s="317">
        <v>32130</v>
      </c>
      <c r="Y12" s="317">
        <v>32220</v>
      </c>
      <c r="Z12" s="317">
        <v>32280</v>
      </c>
      <c r="AA12" s="317">
        <v>32300</v>
      </c>
      <c r="AB12" s="317">
        <v>32300</v>
      </c>
      <c r="AC12" s="317">
        <v>32270</v>
      </c>
      <c r="AD12" s="317">
        <v>32220</v>
      </c>
      <c r="AE12" s="317">
        <v>32150</v>
      </c>
      <c r="AF12" s="317">
        <v>32060</v>
      </c>
      <c r="AG12" s="317">
        <v>31980</v>
      </c>
      <c r="AH12" s="317">
        <v>31900</v>
      </c>
      <c r="AI12" s="317">
        <v>31830</v>
      </c>
      <c r="AJ12" s="317">
        <v>31790</v>
      </c>
      <c r="AK12" s="317">
        <v>31790</v>
      </c>
      <c r="AL12" s="317">
        <v>31820</v>
      </c>
      <c r="AM12" s="317">
        <v>31880</v>
      </c>
      <c r="AN12" s="317">
        <v>31970</v>
      </c>
      <c r="AO12" s="317">
        <v>32060</v>
      </c>
      <c r="AP12" s="317">
        <v>32170</v>
      </c>
      <c r="AQ12" s="317">
        <v>32270</v>
      </c>
      <c r="AR12" s="317">
        <v>32370</v>
      </c>
      <c r="AS12" s="317">
        <v>32460</v>
      </c>
      <c r="AT12" s="317">
        <v>32540</v>
      </c>
      <c r="AU12" s="317">
        <v>32610</v>
      </c>
      <c r="AV12" s="317">
        <v>32680</v>
      </c>
      <c r="AW12" s="317">
        <v>32740</v>
      </c>
      <c r="AX12" s="317">
        <v>32800</v>
      </c>
      <c r="AY12" s="317">
        <v>32870</v>
      </c>
      <c r="AZ12" s="317">
        <v>32920</v>
      </c>
      <c r="BA12" s="317">
        <v>32980</v>
      </c>
      <c r="BB12" s="317">
        <v>33040</v>
      </c>
      <c r="BC12" s="317">
        <v>33090</v>
      </c>
      <c r="BD12" s="317">
        <v>33150</v>
      </c>
      <c r="BE12" s="317">
        <v>33190</v>
      </c>
      <c r="BF12" s="317">
        <v>33240</v>
      </c>
    </row>
    <row r="13" spans="1:58" x14ac:dyDescent="0.2">
      <c r="A13" s="318" t="s">
        <v>11</v>
      </c>
      <c r="B13" s="315"/>
      <c r="C13" s="317">
        <v>30280</v>
      </c>
      <c r="D13" s="317">
        <v>29780</v>
      </c>
      <c r="E13" s="317">
        <v>28500</v>
      </c>
      <c r="F13" s="317">
        <v>28960</v>
      </c>
      <c r="G13" s="317">
        <v>29800</v>
      </c>
      <c r="H13" s="317">
        <v>29580</v>
      </c>
      <c r="I13" s="317">
        <v>30030</v>
      </c>
      <c r="J13" s="317">
        <v>31280</v>
      </c>
      <c r="K13" s="317">
        <v>32440</v>
      </c>
      <c r="L13" s="317">
        <v>32130</v>
      </c>
      <c r="M13" s="317">
        <v>31970</v>
      </c>
      <c r="N13" s="317">
        <v>31410</v>
      </c>
      <c r="O13" s="317">
        <v>30640</v>
      </c>
      <c r="P13" s="317">
        <v>30650</v>
      </c>
      <c r="Q13" s="317">
        <v>30740</v>
      </c>
      <c r="R13" s="317">
        <v>30880</v>
      </c>
      <c r="S13" s="317">
        <v>31060</v>
      </c>
      <c r="T13" s="317">
        <v>31250</v>
      </c>
      <c r="U13" s="317">
        <v>31450</v>
      </c>
      <c r="V13" s="317">
        <v>31640</v>
      </c>
      <c r="W13" s="317">
        <v>31810</v>
      </c>
      <c r="X13" s="317">
        <v>31960</v>
      </c>
      <c r="Y13" s="317">
        <v>32080</v>
      </c>
      <c r="Z13" s="317">
        <v>32170</v>
      </c>
      <c r="AA13" s="317">
        <v>32220</v>
      </c>
      <c r="AB13" s="317">
        <v>32250</v>
      </c>
      <c r="AC13" s="317">
        <v>32250</v>
      </c>
      <c r="AD13" s="317">
        <v>32220</v>
      </c>
      <c r="AE13" s="317">
        <v>32170</v>
      </c>
      <c r="AF13" s="317">
        <v>32100</v>
      </c>
      <c r="AG13" s="317">
        <v>32010</v>
      </c>
      <c r="AH13" s="317">
        <v>31920</v>
      </c>
      <c r="AI13" s="317">
        <v>31840</v>
      </c>
      <c r="AJ13" s="317">
        <v>31780</v>
      </c>
      <c r="AK13" s="317">
        <v>31740</v>
      </c>
      <c r="AL13" s="317">
        <v>31730</v>
      </c>
      <c r="AM13" s="317">
        <v>31770</v>
      </c>
      <c r="AN13" s="317">
        <v>31830</v>
      </c>
      <c r="AO13" s="317">
        <v>31910</v>
      </c>
      <c r="AP13" s="317">
        <v>32010</v>
      </c>
      <c r="AQ13" s="317">
        <v>32120</v>
      </c>
      <c r="AR13" s="317">
        <v>32220</v>
      </c>
      <c r="AS13" s="317">
        <v>32320</v>
      </c>
      <c r="AT13" s="317">
        <v>32410</v>
      </c>
      <c r="AU13" s="317">
        <v>32490</v>
      </c>
      <c r="AV13" s="317">
        <v>32560</v>
      </c>
      <c r="AW13" s="317">
        <v>32630</v>
      </c>
      <c r="AX13" s="317">
        <v>32690</v>
      </c>
      <c r="AY13" s="317">
        <v>32750</v>
      </c>
      <c r="AZ13" s="317">
        <v>32810</v>
      </c>
      <c r="BA13" s="317">
        <v>32870</v>
      </c>
      <c r="BB13" s="317">
        <v>32930</v>
      </c>
      <c r="BC13" s="317">
        <v>32990</v>
      </c>
      <c r="BD13" s="317">
        <v>33040</v>
      </c>
      <c r="BE13" s="317">
        <v>33100</v>
      </c>
      <c r="BF13" s="317">
        <v>33140</v>
      </c>
    </row>
    <row r="14" spans="1:58" x14ac:dyDescent="0.2">
      <c r="A14" s="318" t="s">
        <v>12</v>
      </c>
      <c r="B14" s="315"/>
      <c r="C14" s="317">
        <v>29500</v>
      </c>
      <c r="D14" s="317">
        <v>30370</v>
      </c>
      <c r="E14" s="317">
        <v>29780</v>
      </c>
      <c r="F14" s="317">
        <v>28480</v>
      </c>
      <c r="G14" s="317">
        <v>29030</v>
      </c>
      <c r="H14" s="317">
        <v>29730</v>
      </c>
      <c r="I14" s="317">
        <v>29440</v>
      </c>
      <c r="J14" s="317">
        <v>29910</v>
      </c>
      <c r="K14" s="317">
        <v>31200</v>
      </c>
      <c r="L14" s="317">
        <v>32380</v>
      </c>
      <c r="M14" s="317">
        <v>32070</v>
      </c>
      <c r="N14" s="317">
        <v>31920</v>
      </c>
      <c r="O14" s="317">
        <v>31360</v>
      </c>
      <c r="P14" s="317">
        <v>30580</v>
      </c>
      <c r="Q14" s="317">
        <v>30590</v>
      </c>
      <c r="R14" s="317">
        <v>30680</v>
      </c>
      <c r="S14" s="317">
        <v>30820</v>
      </c>
      <c r="T14" s="317">
        <v>31000</v>
      </c>
      <c r="U14" s="317">
        <v>31200</v>
      </c>
      <c r="V14" s="317">
        <v>31390</v>
      </c>
      <c r="W14" s="317">
        <v>31580</v>
      </c>
      <c r="X14" s="317">
        <v>31760</v>
      </c>
      <c r="Y14" s="317">
        <v>31900</v>
      </c>
      <c r="Z14" s="317">
        <v>32020</v>
      </c>
      <c r="AA14" s="317">
        <v>32110</v>
      </c>
      <c r="AB14" s="317">
        <v>32170</v>
      </c>
      <c r="AC14" s="317">
        <v>32190</v>
      </c>
      <c r="AD14" s="317">
        <v>32190</v>
      </c>
      <c r="AE14" s="317">
        <v>32170</v>
      </c>
      <c r="AF14" s="317">
        <v>32110</v>
      </c>
      <c r="AG14" s="317">
        <v>32040</v>
      </c>
      <c r="AH14" s="317">
        <v>31960</v>
      </c>
      <c r="AI14" s="317">
        <v>31870</v>
      </c>
      <c r="AJ14" s="317">
        <v>31790</v>
      </c>
      <c r="AK14" s="317">
        <v>31720</v>
      </c>
      <c r="AL14" s="317">
        <v>31690</v>
      </c>
      <c r="AM14" s="317">
        <v>31680</v>
      </c>
      <c r="AN14" s="317">
        <v>31710</v>
      </c>
      <c r="AO14" s="317">
        <v>31780</v>
      </c>
      <c r="AP14" s="317">
        <v>31860</v>
      </c>
      <c r="AQ14" s="317">
        <v>31960</v>
      </c>
      <c r="AR14" s="317">
        <v>32060</v>
      </c>
      <c r="AS14" s="317">
        <v>32170</v>
      </c>
      <c r="AT14" s="317">
        <v>32260</v>
      </c>
      <c r="AU14" s="317">
        <v>32350</v>
      </c>
      <c r="AV14" s="317">
        <v>32430</v>
      </c>
      <c r="AW14" s="317">
        <v>32500</v>
      </c>
      <c r="AX14" s="317">
        <v>32570</v>
      </c>
      <c r="AY14" s="317">
        <v>32640</v>
      </c>
      <c r="AZ14" s="317">
        <v>32700</v>
      </c>
      <c r="BA14" s="317">
        <v>32760</v>
      </c>
      <c r="BB14" s="317">
        <v>32820</v>
      </c>
      <c r="BC14" s="317">
        <v>32880</v>
      </c>
      <c r="BD14" s="317">
        <v>32930</v>
      </c>
      <c r="BE14" s="317">
        <v>32990</v>
      </c>
      <c r="BF14" s="317">
        <v>33040</v>
      </c>
    </row>
    <row r="15" spans="1:58" x14ac:dyDescent="0.2">
      <c r="A15" s="318" t="s">
        <v>13</v>
      </c>
      <c r="B15" s="315"/>
      <c r="C15" s="317">
        <v>29960</v>
      </c>
      <c r="D15" s="317">
        <v>29580</v>
      </c>
      <c r="E15" s="317">
        <v>30440</v>
      </c>
      <c r="F15" s="317">
        <v>29810</v>
      </c>
      <c r="G15" s="317">
        <v>28550</v>
      </c>
      <c r="H15" s="317">
        <v>28990</v>
      </c>
      <c r="I15" s="317">
        <v>29600</v>
      </c>
      <c r="J15" s="317">
        <v>29320</v>
      </c>
      <c r="K15" s="317">
        <v>29820</v>
      </c>
      <c r="L15" s="317">
        <v>31140</v>
      </c>
      <c r="M15" s="317">
        <v>32320</v>
      </c>
      <c r="N15" s="317">
        <v>32010</v>
      </c>
      <c r="O15" s="317">
        <v>31860</v>
      </c>
      <c r="P15" s="317">
        <v>31300</v>
      </c>
      <c r="Q15" s="317">
        <v>30520</v>
      </c>
      <c r="R15" s="317">
        <v>30540</v>
      </c>
      <c r="S15" s="317">
        <v>30620</v>
      </c>
      <c r="T15" s="317">
        <v>30760</v>
      </c>
      <c r="U15" s="317">
        <v>30940</v>
      </c>
      <c r="V15" s="317">
        <v>31140</v>
      </c>
      <c r="W15" s="317">
        <v>31330</v>
      </c>
      <c r="X15" s="317">
        <v>31530</v>
      </c>
      <c r="Y15" s="317">
        <v>31700</v>
      </c>
      <c r="Z15" s="317">
        <v>31850</v>
      </c>
      <c r="AA15" s="317">
        <v>31960</v>
      </c>
      <c r="AB15" s="317">
        <v>32050</v>
      </c>
      <c r="AC15" s="317">
        <v>32110</v>
      </c>
      <c r="AD15" s="317">
        <v>32140</v>
      </c>
      <c r="AE15" s="317">
        <v>32140</v>
      </c>
      <c r="AF15" s="317">
        <v>32110</v>
      </c>
      <c r="AG15" s="317">
        <v>32060</v>
      </c>
      <c r="AH15" s="317">
        <v>31990</v>
      </c>
      <c r="AI15" s="317">
        <v>31900</v>
      </c>
      <c r="AJ15" s="317">
        <v>31810</v>
      </c>
      <c r="AK15" s="317">
        <v>31730</v>
      </c>
      <c r="AL15" s="317">
        <v>31670</v>
      </c>
      <c r="AM15" s="317">
        <v>31630</v>
      </c>
      <c r="AN15" s="317">
        <v>31620</v>
      </c>
      <c r="AO15" s="317">
        <v>31660</v>
      </c>
      <c r="AP15" s="317">
        <v>31720</v>
      </c>
      <c r="AQ15" s="317">
        <v>31800</v>
      </c>
      <c r="AR15" s="317">
        <v>31900</v>
      </c>
      <c r="AS15" s="317">
        <v>32010</v>
      </c>
      <c r="AT15" s="317">
        <v>32110</v>
      </c>
      <c r="AU15" s="317">
        <v>32210</v>
      </c>
      <c r="AV15" s="317">
        <v>32290</v>
      </c>
      <c r="AW15" s="317">
        <v>32370</v>
      </c>
      <c r="AX15" s="317">
        <v>32450</v>
      </c>
      <c r="AY15" s="317">
        <v>32520</v>
      </c>
      <c r="AZ15" s="317">
        <v>32580</v>
      </c>
      <c r="BA15" s="317">
        <v>32640</v>
      </c>
      <c r="BB15" s="317">
        <v>32700</v>
      </c>
      <c r="BC15" s="317">
        <v>32760</v>
      </c>
      <c r="BD15" s="317">
        <v>32820</v>
      </c>
      <c r="BE15" s="317">
        <v>32880</v>
      </c>
      <c r="BF15" s="317">
        <v>32930</v>
      </c>
    </row>
    <row r="16" spans="1:58" x14ac:dyDescent="0.2">
      <c r="A16" s="318" t="s">
        <v>14</v>
      </c>
      <c r="B16" s="315"/>
      <c r="C16" s="317">
        <v>29820</v>
      </c>
      <c r="D16" s="317">
        <v>30050</v>
      </c>
      <c r="E16" s="317">
        <v>29620</v>
      </c>
      <c r="F16" s="317">
        <v>30420</v>
      </c>
      <c r="G16" s="317">
        <v>29890</v>
      </c>
      <c r="H16" s="317">
        <v>28500</v>
      </c>
      <c r="I16" s="317">
        <v>28860</v>
      </c>
      <c r="J16" s="317">
        <v>29480</v>
      </c>
      <c r="K16" s="317">
        <v>29240</v>
      </c>
      <c r="L16" s="317">
        <v>29760</v>
      </c>
      <c r="M16" s="317">
        <v>31080</v>
      </c>
      <c r="N16" s="317">
        <v>32260</v>
      </c>
      <c r="O16" s="317">
        <v>31960</v>
      </c>
      <c r="P16" s="317">
        <v>31800</v>
      </c>
      <c r="Q16" s="317">
        <v>31240</v>
      </c>
      <c r="R16" s="317">
        <v>30460</v>
      </c>
      <c r="S16" s="317">
        <v>30480</v>
      </c>
      <c r="T16" s="317">
        <v>30560</v>
      </c>
      <c r="U16" s="317">
        <v>30710</v>
      </c>
      <c r="V16" s="317">
        <v>30890</v>
      </c>
      <c r="W16" s="317">
        <v>31080</v>
      </c>
      <c r="X16" s="317">
        <v>31280</v>
      </c>
      <c r="Y16" s="317">
        <v>31470</v>
      </c>
      <c r="Z16" s="317">
        <v>31640</v>
      </c>
      <c r="AA16" s="317">
        <v>31790</v>
      </c>
      <c r="AB16" s="317">
        <v>31910</v>
      </c>
      <c r="AC16" s="317">
        <v>32000</v>
      </c>
      <c r="AD16" s="317">
        <v>32050</v>
      </c>
      <c r="AE16" s="317">
        <v>32080</v>
      </c>
      <c r="AF16" s="317">
        <v>32080</v>
      </c>
      <c r="AG16" s="317">
        <v>32050</v>
      </c>
      <c r="AH16" s="317">
        <v>32000</v>
      </c>
      <c r="AI16" s="317">
        <v>31930</v>
      </c>
      <c r="AJ16" s="317">
        <v>31840</v>
      </c>
      <c r="AK16" s="317">
        <v>31760</v>
      </c>
      <c r="AL16" s="317">
        <v>31680</v>
      </c>
      <c r="AM16" s="317">
        <v>31610</v>
      </c>
      <c r="AN16" s="317">
        <v>31570</v>
      </c>
      <c r="AO16" s="317">
        <v>31570</v>
      </c>
      <c r="AP16" s="317">
        <v>31600</v>
      </c>
      <c r="AQ16" s="317">
        <v>31660</v>
      </c>
      <c r="AR16" s="317">
        <v>31750</v>
      </c>
      <c r="AS16" s="317">
        <v>31840</v>
      </c>
      <c r="AT16" s="317">
        <v>31950</v>
      </c>
      <c r="AU16" s="317">
        <v>32050</v>
      </c>
      <c r="AV16" s="317">
        <v>32150</v>
      </c>
      <c r="AW16" s="317">
        <v>32240</v>
      </c>
      <c r="AX16" s="317">
        <v>32320</v>
      </c>
      <c r="AY16" s="317">
        <v>32390</v>
      </c>
      <c r="AZ16" s="317">
        <v>32460</v>
      </c>
      <c r="BA16" s="317">
        <v>32520</v>
      </c>
      <c r="BB16" s="317">
        <v>32590</v>
      </c>
      <c r="BC16" s="317">
        <v>32650</v>
      </c>
      <c r="BD16" s="317">
        <v>32710</v>
      </c>
      <c r="BE16" s="317">
        <v>32770</v>
      </c>
      <c r="BF16" s="317">
        <v>32820</v>
      </c>
    </row>
    <row r="17" spans="1:58" x14ac:dyDescent="0.2">
      <c r="A17" s="318" t="s">
        <v>15</v>
      </c>
      <c r="B17" s="315"/>
      <c r="C17" s="317">
        <v>31100</v>
      </c>
      <c r="D17" s="317">
        <v>29950</v>
      </c>
      <c r="E17" s="317">
        <v>30030</v>
      </c>
      <c r="F17" s="317">
        <v>29640</v>
      </c>
      <c r="G17" s="317">
        <v>30480</v>
      </c>
      <c r="H17" s="317">
        <v>29820</v>
      </c>
      <c r="I17" s="317">
        <v>28380</v>
      </c>
      <c r="J17" s="317">
        <v>28740</v>
      </c>
      <c r="K17" s="317">
        <v>29400</v>
      </c>
      <c r="L17" s="317">
        <v>29180</v>
      </c>
      <c r="M17" s="317">
        <v>29700</v>
      </c>
      <c r="N17" s="317">
        <v>31020</v>
      </c>
      <c r="O17" s="317">
        <v>32200</v>
      </c>
      <c r="P17" s="317">
        <v>31900</v>
      </c>
      <c r="Q17" s="317">
        <v>31740</v>
      </c>
      <c r="R17" s="317">
        <v>31180</v>
      </c>
      <c r="S17" s="317">
        <v>30400</v>
      </c>
      <c r="T17" s="317">
        <v>30420</v>
      </c>
      <c r="U17" s="317">
        <v>30510</v>
      </c>
      <c r="V17" s="317">
        <v>30650</v>
      </c>
      <c r="W17" s="317">
        <v>30830</v>
      </c>
      <c r="X17" s="317">
        <v>31020</v>
      </c>
      <c r="Y17" s="317">
        <v>31220</v>
      </c>
      <c r="Z17" s="317">
        <v>31410</v>
      </c>
      <c r="AA17" s="317">
        <v>31580</v>
      </c>
      <c r="AB17" s="317">
        <v>31730</v>
      </c>
      <c r="AC17" s="317">
        <v>31850</v>
      </c>
      <c r="AD17" s="317">
        <v>31940</v>
      </c>
      <c r="AE17" s="317">
        <v>31990</v>
      </c>
      <c r="AF17" s="317">
        <v>32020</v>
      </c>
      <c r="AG17" s="317">
        <v>32020</v>
      </c>
      <c r="AH17" s="317">
        <v>31990</v>
      </c>
      <c r="AI17" s="317">
        <v>31940</v>
      </c>
      <c r="AJ17" s="317">
        <v>31870</v>
      </c>
      <c r="AK17" s="317">
        <v>31790</v>
      </c>
      <c r="AL17" s="317">
        <v>31700</v>
      </c>
      <c r="AM17" s="317">
        <v>31620</v>
      </c>
      <c r="AN17" s="317">
        <v>31550</v>
      </c>
      <c r="AO17" s="317">
        <v>31510</v>
      </c>
      <c r="AP17" s="317">
        <v>31510</v>
      </c>
      <c r="AQ17" s="317">
        <v>31540</v>
      </c>
      <c r="AR17" s="317">
        <v>31600</v>
      </c>
      <c r="AS17" s="317">
        <v>31690</v>
      </c>
      <c r="AT17" s="317">
        <v>31790</v>
      </c>
      <c r="AU17" s="317">
        <v>31890</v>
      </c>
      <c r="AV17" s="317">
        <v>31990</v>
      </c>
      <c r="AW17" s="317">
        <v>32090</v>
      </c>
      <c r="AX17" s="317">
        <v>32180</v>
      </c>
      <c r="AY17" s="317">
        <v>32260</v>
      </c>
      <c r="AZ17" s="317">
        <v>32330</v>
      </c>
      <c r="BA17" s="317">
        <v>32400</v>
      </c>
      <c r="BB17" s="317">
        <v>32470</v>
      </c>
      <c r="BC17" s="317">
        <v>32530</v>
      </c>
      <c r="BD17" s="317">
        <v>32590</v>
      </c>
      <c r="BE17" s="317">
        <v>32650</v>
      </c>
      <c r="BF17" s="317">
        <v>32710</v>
      </c>
    </row>
    <row r="18" spans="1:58" x14ac:dyDescent="0.2">
      <c r="A18" s="318" t="s">
        <v>16</v>
      </c>
      <c r="B18" s="315"/>
      <c r="C18" s="317">
        <v>31570</v>
      </c>
      <c r="D18" s="317">
        <v>31190</v>
      </c>
      <c r="E18" s="317">
        <v>30000</v>
      </c>
      <c r="F18" s="317">
        <v>30010</v>
      </c>
      <c r="G18" s="317">
        <v>29710</v>
      </c>
      <c r="H18" s="317">
        <v>30380</v>
      </c>
      <c r="I18" s="317">
        <v>29690</v>
      </c>
      <c r="J18" s="317">
        <v>28270</v>
      </c>
      <c r="K18" s="317">
        <v>28660</v>
      </c>
      <c r="L18" s="317">
        <v>29340</v>
      </c>
      <c r="M18" s="317">
        <v>29120</v>
      </c>
      <c r="N18" s="317">
        <v>29640</v>
      </c>
      <c r="O18" s="317">
        <v>30960</v>
      </c>
      <c r="P18" s="317">
        <v>32140</v>
      </c>
      <c r="Q18" s="317">
        <v>31840</v>
      </c>
      <c r="R18" s="317">
        <v>31680</v>
      </c>
      <c r="S18" s="317">
        <v>31120</v>
      </c>
      <c r="T18" s="317">
        <v>30340</v>
      </c>
      <c r="U18" s="317">
        <v>30360</v>
      </c>
      <c r="V18" s="317">
        <v>30450</v>
      </c>
      <c r="W18" s="317">
        <v>30590</v>
      </c>
      <c r="X18" s="317">
        <v>30770</v>
      </c>
      <c r="Y18" s="317">
        <v>30960</v>
      </c>
      <c r="Z18" s="317">
        <v>31160</v>
      </c>
      <c r="AA18" s="317">
        <v>31350</v>
      </c>
      <c r="AB18" s="317">
        <v>31520</v>
      </c>
      <c r="AC18" s="317">
        <v>31670</v>
      </c>
      <c r="AD18" s="317">
        <v>31790</v>
      </c>
      <c r="AE18" s="317">
        <v>31880</v>
      </c>
      <c r="AF18" s="317">
        <v>31930</v>
      </c>
      <c r="AG18" s="317">
        <v>31960</v>
      </c>
      <c r="AH18" s="317">
        <v>31960</v>
      </c>
      <c r="AI18" s="317">
        <v>31930</v>
      </c>
      <c r="AJ18" s="317">
        <v>31880</v>
      </c>
      <c r="AK18" s="317">
        <v>31810</v>
      </c>
      <c r="AL18" s="317">
        <v>31730</v>
      </c>
      <c r="AM18" s="317">
        <v>31640</v>
      </c>
      <c r="AN18" s="317">
        <v>31560</v>
      </c>
      <c r="AO18" s="317">
        <v>31490</v>
      </c>
      <c r="AP18" s="317">
        <v>31460</v>
      </c>
      <c r="AQ18" s="317">
        <v>31450</v>
      </c>
      <c r="AR18" s="317">
        <v>31480</v>
      </c>
      <c r="AS18" s="317">
        <v>31550</v>
      </c>
      <c r="AT18" s="317">
        <v>31630</v>
      </c>
      <c r="AU18" s="317">
        <v>31730</v>
      </c>
      <c r="AV18" s="317">
        <v>31830</v>
      </c>
      <c r="AW18" s="317">
        <v>31940</v>
      </c>
      <c r="AX18" s="317">
        <v>32030</v>
      </c>
      <c r="AY18" s="317">
        <v>32120</v>
      </c>
      <c r="AZ18" s="317">
        <v>32200</v>
      </c>
      <c r="BA18" s="317">
        <v>32280</v>
      </c>
      <c r="BB18" s="317">
        <v>32340</v>
      </c>
      <c r="BC18" s="317">
        <v>32410</v>
      </c>
      <c r="BD18" s="317">
        <v>32470</v>
      </c>
      <c r="BE18" s="317">
        <v>32530</v>
      </c>
      <c r="BF18" s="317">
        <v>32590</v>
      </c>
    </row>
    <row r="19" spans="1:58" x14ac:dyDescent="0.2">
      <c r="A19" s="318" t="s">
        <v>17</v>
      </c>
      <c r="B19" s="315"/>
      <c r="C19" s="317">
        <v>31640</v>
      </c>
      <c r="D19" s="317">
        <v>31650</v>
      </c>
      <c r="E19" s="317">
        <v>31210</v>
      </c>
      <c r="F19" s="317">
        <v>30000</v>
      </c>
      <c r="G19" s="317">
        <v>30060</v>
      </c>
      <c r="H19" s="317">
        <v>29630</v>
      </c>
      <c r="I19" s="317">
        <v>30270</v>
      </c>
      <c r="J19" s="317">
        <v>29590</v>
      </c>
      <c r="K19" s="317">
        <v>28200</v>
      </c>
      <c r="L19" s="317">
        <v>28610</v>
      </c>
      <c r="M19" s="317">
        <v>29290</v>
      </c>
      <c r="N19" s="317">
        <v>29070</v>
      </c>
      <c r="O19" s="317">
        <v>29590</v>
      </c>
      <c r="P19" s="317">
        <v>30920</v>
      </c>
      <c r="Q19" s="317">
        <v>32090</v>
      </c>
      <c r="R19" s="317">
        <v>31790</v>
      </c>
      <c r="S19" s="317">
        <v>31630</v>
      </c>
      <c r="T19" s="317">
        <v>31070</v>
      </c>
      <c r="U19" s="317">
        <v>30300</v>
      </c>
      <c r="V19" s="317">
        <v>30310</v>
      </c>
      <c r="W19" s="317">
        <v>30400</v>
      </c>
      <c r="X19" s="317">
        <v>30540</v>
      </c>
      <c r="Y19" s="317">
        <v>30720</v>
      </c>
      <c r="Z19" s="317">
        <v>30910</v>
      </c>
      <c r="AA19" s="317">
        <v>31110</v>
      </c>
      <c r="AB19" s="317">
        <v>31300</v>
      </c>
      <c r="AC19" s="317">
        <v>31470</v>
      </c>
      <c r="AD19" s="317">
        <v>31620</v>
      </c>
      <c r="AE19" s="317">
        <v>31740</v>
      </c>
      <c r="AF19" s="317">
        <v>31830</v>
      </c>
      <c r="AG19" s="317">
        <v>31890</v>
      </c>
      <c r="AH19" s="317">
        <v>31910</v>
      </c>
      <c r="AI19" s="317">
        <v>31910</v>
      </c>
      <c r="AJ19" s="317">
        <v>31890</v>
      </c>
      <c r="AK19" s="317">
        <v>31830</v>
      </c>
      <c r="AL19" s="317">
        <v>31760</v>
      </c>
      <c r="AM19" s="317">
        <v>31680</v>
      </c>
      <c r="AN19" s="317">
        <v>31590</v>
      </c>
      <c r="AO19" s="317">
        <v>31510</v>
      </c>
      <c r="AP19" s="317">
        <v>31450</v>
      </c>
      <c r="AQ19" s="317">
        <v>31410</v>
      </c>
      <c r="AR19" s="317">
        <v>31400</v>
      </c>
      <c r="AS19" s="317">
        <v>31430</v>
      </c>
      <c r="AT19" s="317">
        <v>31500</v>
      </c>
      <c r="AU19" s="317">
        <v>31580</v>
      </c>
      <c r="AV19" s="317">
        <v>31680</v>
      </c>
      <c r="AW19" s="317">
        <v>31790</v>
      </c>
      <c r="AX19" s="317">
        <v>31890</v>
      </c>
      <c r="AY19" s="317">
        <v>31990</v>
      </c>
      <c r="AZ19" s="317">
        <v>32080</v>
      </c>
      <c r="BA19" s="317">
        <v>32160</v>
      </c>
      <c r="BB19" s="317">
        <v>32230</v>
      </c>
      <c r="BC19" s="317">
        <v>32300</v>
      </c>
      <c r="BD19" s="317">
        <v>32360</v>
      </c>
      <c r="BE19" s="317">
        <v>32420</v>
      </c>
      <c r="BF19" s="317">
        <v>32490</v>
      </c>
    </row>
    <row r="20" spans="1:58" x14ac:dyDescent="0.2">
      <c r="A20" s="318" t="s">
        <v>18</v>
      </c>
      <c r="B20" s="315"/>
      <c r="C20" s="317">
        <v>32400</v>
      </c>
      <c r="D20" s="317">
        <v>31740</v>
      </c>
      <c r="E20" s="317">
        <v>31670</v>
      </c>
      <c r="F20" s="317">
        <v>31230</v>
      </c>
      <c r="G20" s="317">
        <v>30020</v>
      </c>
      <c r="H20" s="317">
        <v>30050</v>
      </c>
      <c r="I20" s="317">
        <v>29540</v>
      </c>
      <c r="J20" s="317">
        <v>30190</v>
      </c>
      <c r="K20" s="317">
        <v>29550</v>
      </c>
      <c r="L20" s="317">
        <v>28180</v>
      </c>
      <c r="M20" s="317">
        <v>28600</v>
      </c>
      <c r="N20" s="317">
        <v>29270</v>
      </c>
      <c r="O20" s="317">
        <v>29050</v>
      </c>
      <c r="P20" s="317">
        <v>29580</v>
      </c>
      <c r="Q20" s="317">
        <v>30900</v>
      </c>
      <c r="R20" s="317">
        <v>32070</v>
      </c>
      <c r="S20" s="317">
        <v>31770</v>
      </c>
      <c r="T20" s="317">
        <v>31610</v>
      </c>
      <c r="U20" s="317">
        <v>31050</v>
      </c>
      <c r="V20" s="317">
        <v>30280</v>
      </c>
      <c r="W20" s="317">
        <v>30290</v>
      </c>
      <c r="X20" s="317">
        <v>30380</v>
      </c>
      <c r="Y20" s="317">
        <v>30520</v>
      </c>
      <c r="Z20" s="317">
        <v>30700</v>
      </c>
      <c r="AA20" s="317">
        <v>30900</v>
      </c>
      <c r="AB20" s="317">
        <v>31090</v>
      </c>
      <c r="AC20" s="317">
        <v>31280</v>
      </c>
      <c r="AD20" s="317">
        <v>31460</v>
      </c>
      <c r="AE20" s="317">
        <v>31600</v>
      </c>
      <c r="AF20" s="317">
        <v>31720</v>
      </c>
      <c r="AG20" s="317">
        <v>31810</v>
      </c>
      <c r="AH20" s="317">
        <v>31870</v>
      </c>
      <c r="AI20" s="317">
        <v>31900</v>
      </c>
      <c r="AJ20" s="317">
        <v>31900</v>
      </c>
      <c r="AK20" s="317">
        <v>31870</v>
      </c>
      <c r="AL20" s="317">
        <v>31820</v>
      </c>
      <c r="AM20" s="317">
        <v>31750</v>
      </c>
      <c r="AN20" s="317">
        <v>31660</v>
      </c>
      <c r="AO20" s="317">
        <v>31580</v>
      </c>
      <c r="AP20" s="317">
        <v>31500</v>
      </c>
      <c r="AQ20" s="317">
        <v>31430</v>
      </c>
      <c r="AR20" s="317">
        <v>31390</v>
      </c>
      <c r="AS20" s="317">
        <v>31390</v>
      </c>
      <c r="AT20" s="317">
        <v>31420</v>
      </c>
      <c r="AU20" s="317">
        <v>31480</v>
      </c>
      <c r="AV20" s="317">
        <v>31570</v>
      </c>
      <c r="AW20" s="317">
        <v>31670</v>
      </c>
      <c r="AX20" s="317">
        <v>31770</v>
      </c>
      <c r="AY20" s="317">
        <v>31870</v>
      </c>
      <c r="AZ20" s="317">
        <v>31970</v>
      </c>
      <c r="BA20" s="317">
        <v>32060</v>
      </c>
      <c r="BB20" s="317">
        <v>32140</v>
      </c>
      <c r="BC20" s="317">
        <v>32210</v>
      </c>
      <c r="BD20" s="317">
        <v>32280</v>
      </c>
      <c r="BE20" s="317">
        <v>32350</v>
      </c>
      <c r="BF20" s="317">
        <v>32410</v>
      </c>
    </row>
    <row r="21" spans="1:58" x14ac:dyDescent="0.2">
      <c r="A21" s="318" t="s">
        <v>19</v>
      </c>
      <c r="B21" s="315"/>
      <c r="C21" s="317">
        <v>32800</v>
      </c>
      <c r="D21" s="317">
        <v>32500</v>
      </c>
      <c r="E21" s="317">
        <v>31790</v>
      </c>
      <c r="F21" s="317">
        <v>31720</v>
      </c>
      <c r="G21" s="317">
        <v>31310</v>
      </c>
      <c r="H21" s="317">
        <v>30020</v>
      </c>
      <c r="I21" s="317">
        <v>30000</v>
      </c>
      <c r="J21" s="317">
        <v>29500</v>
      </c>
      <c r="K21" s="317">
        <v>30200</v>
      </c>
      <c r="L21" s="317">
        <v>29580</v>
      </c>
      <c r="M21" s="317">
        <v>28210</v>
      </c>
      <c r="N21" s="317">
        <v>28620</v>
      </c>
      <c r="O21" s="317">
        <v>29300</v>
      </c>
      <c r="P21" s="317">
        <v>29080</v>
      </c>
      <c r="Q21" s="317">
        <v>29600</v>
      </c>
      <c r="R21" s="317">
        <v>30930</v>
      </c>
      <c r="S21" s="317">
        <v>32100</v>
      </c>
      <c r="T21" s="317">
        <v>31800</v>
      </c>
      <c r="U21" s="317">
        <v>31640</v>
      </c>
      <c r="V21" s="317">
        <v>31080</v>
      </c>
      <c r="W21" s="317">
        <v>30310</v>
      </c>
      <c r="X21" s="317">
        <v>30320</v>
      </c>
      <c r="Y21" s="317">
        <v>30410</v>
      </c>
      <c r="Z21" s="317">
        <v>30550</v>
      </c>
      <c r="AA21" s="317">
        <v>30730</v>
      </c>
      <c r="AB21" s="317">
        <v>30930</v>
      </c>
      <c r="AC21" s="317">
        <v>31120</v>
      </c>
      <c r="AD21" s="317">
        <v>31310</v>
      </c>
      <c r="AE21" s="317">
        <v>31490</v>
      </c>
      <c r="AF21" s="317">
        <v>31630</v>
      </c>
      <c r="AG21" s="317">
        <v>31750</v>
      </c>
      <c r="AH21" s="317">
        <v>31840</v>
      </c>
      <c r="AI21" s="317">
        <v>31900</v>
      </c>
      <c r="AJ21" s="317">
        <v>31930</v>
      </c>
      <c r="AK21" s="317">
        <v>31930</v>
      </c>
      <c r="AL21" s="317">
        <v>31900</v>
      </c>
      <c r="AM21" s="317">
        <v>31850</v>
      </c>
      <c r="AN21" s="317">
        <v>31780</v>
      </c>
      <c r="AO21" s="317">
        <v>31690</v>
      </c>
      <c r="AP21" s="317">
        <v>31610</v>
      </c>
      <c r="AQ21" s="317">
        <v>31530</v>
      </c>
      <c r="AR21" s="317">
        <v>31460</v>
      </c>
      <c r="AS21" s="317">
        <v>31420</v>
      </c>
      <c r="AT21" s="317">
        <v>31420</v>
      </c>
      <c r="AU21" s="317">
        <v>31450</v>
      </c>
      <c r="AV21" s="317">
        <v>31510</v>
      </c>
      <c r="AW21" s="317">
        <v>31600</v>
      </c>
      <c r="AX21" s="317">
        <v>31700</v>
      </c>
      <c r="AY21" s="317">
        <v>31800</v>
      </c>
      <c r="AZ21" s="317">
        <v>31910</v>
      </c>
      <c r="BA21" s="317">
        <v>32000</v>
      </c>
      <c r="BB21" s="317">
        <v>32090</v>
      </c>
      <c r="BC21" s="317">
        <v>32170</v>
      </c>
      <c r="BD21" s="317">
        <v>32250</v>
      </c>
      <c r="BE21" s="317">
        <v>32310</v>
      </c>
      <c r="BF21" s="317">
        <v>32380</v>
      </c>
    </row>
    <row r="22" spans="1:58" x14ac:dyDescent="0.2">
      <c r="A22" s="318" t="s">
        <v>20</v>
      </c>
      <c r="B22" s="315"/>
      <c r="C22" s="317">
        <v>33590</v>
      </c>
      <c r="D22" s="317">
        <v>32930</v>
      </c>
      <c r="E22" s="317">
        <v>32550</v>
      </c>
      <c r="F22" s="317">
        <v>31850</v>
      </c>
      <c r="G22" s="317">
        <v>31900</v>
      </c>
      <c r="H22" s="317">
        <v>31400</v>
      </c>
      <c r="I22" s="317">
        <v>30020</v>
      </c>
      <c r="J22" s="317">
        <v>30020</v>
      </c>
      <c r="K22" s="317">
        <v>29560</v>
      </c>
      <c r="L22" s="317">
        <v>30280</v>
      </c>
      <c r="M22" s="317">
        <v>29660</v>
      </c>
      <c r="N22" s="317">
        <v>28290</v>
      </c>
      <c r="O22" s="317">
        <v>28710</v>
      </c>
      <c r="P22" s="317">
        <v>29390</v>
      </c>
      <c r="Q22" s="317">
        <v>29170</v>
      </c>
      <c r="R22" s="317">
        <v>29690</v>
      </c>
      <c r="S22" s="317">
        <v>31010</v>
      </c>
      <c r="T22" s="317">
        <v>32190</v>
      </c>
      <c r="U22" s="317">
        <v>31880</v>
      </c>
      <c r="V22" s="317">
        <v>31730</v>
      </c>
      <c r="W22" s="317">
        <v>31170</v>
      </c>
      <c r="X22" s="317">
        <v>30390</v>
      </c>
      <c r="Y22" s="317">
        <v>30410</v>
      </c>
      <c r="Z22" s="317">
        <v>30500</v>
      </c>
      <c r="AA22" s="317">
        <v>30640</v>
      </c>
      <c r="AB22" s="317">
        <v>30820</v>
      </c>
      <c r="AC22" s="317">
        <v>31010</v>
      </c>
      <c r="AD22" s="317">
        <v>31210</v>
      </c>
      <c r="AE22" s="317">
        <v>31400</v>
      </c>
      <c r="AF22" s="317">
        <v>31570</v>
      </c>
      <c r="AG22" s="317">
        <v>31720</v>
      </c>
      <c r="AH22" s="317">
        <v>31840</v>
      </c>
      <c r="AI22" s="317">
        <v>31930</v>
      </c>
      <c r="AJ22" s="317">
        <v>31990</v>
      </c>
      <c r="AK22" s="317">
        <v>32020</v>
      </c>
      <c r="AL22" s="317">
        <v>32020</v>
      </c>
      <c r="AM22" s="317">
        <v>31990</v>
      </c>
      <c r="AN22" s="317">
        <v>31940</v>
      </c>
      <c r="AO22" s="317">
        <v>31870</v>
      </c>
      <c r="AP22" s="317">
        <v>31780</v>
      </c>
      <c r="AQ22" s="317">
        <v>31700</v>
      </c>
      <c r="AR22" s="317">
        <v>31620</v>
      </c>
      <c r="AS22" s="317">
        <v>31550</v>
      </c>
      <c r="AT22" s="317">
        <v>31510</v>
      </c>
      <c r="AU22" s="317">
        <v>31510</v>
      </c>
      <c r="AV22" s="317">
        <v>31540</v>
      </c>
      <c r="AW22" s="317">
        <v>31610</v>
      </c>
      <c r="AX22" s="317">
        <v>31690</v>
      </c>
      <c r="AY22" s="317">
        <v>31790</v>
      </c>
      <c r="AZ22" s="317">
        <v>31890</v>
      </c>
      <c r="BA22" s="317">
        <v>32000</v>
      </c>
      <c r="BB22" s="317">
        <v>32090</v>
      </c>
      <c r="BC22" s="317">
        <v>32180</v>
      </c>
      <c r="BD22" s="317">
        <v>32260</v>
      </c>
      <c r="BE22" s="317">
        <v>32340</v>
      </c>
      <c r="BF22" s="317">
        <v>32410</v>
      </c>
    </row>
    <row r="23" spans="1:58" x14ac:dyDescent="0.2">
      <c r="A23" s="318" t="s">
        <v>21</v>
      </c>
      <c r="B23" s="315"/>
      <c r="C23" s="317">
        <v>32610</v>
      </c>
      <c r="D23" s="317">
        <v>33750</v>
      </c>
      <c r="E23" s="317">
        <v>33040</v>
      </c>
      <c r="F23" s="317">
        <v>32710</v>
      </c>
      <c r="G23" s="317">
        <v>32150</v>
      </c>
      <c r="H23" s="317">
        <v>32080</v>
      </c>
      <c r="I23" s="317">
        <v>31450</v>
      </c>
      <c r="J23" s="317">
        <v>30100</v>
      </c>
      <c r="K23" s="317">
        <v>30140</v>
      </c>
      <c r="L23" s="317">
        <v>29710</v>
      </c>
      <c r="M23" s="317">
        <v>30430</v>
      </c>
      <c r="N23" s="317">
        <v>29810</v>
      </c>
      <c r="O23" s="317">
        <v>28440</v>
      </c>
      <c r="P23" s="317">
        <v>28860</v>
      </c>
      <c r="Q23" s="317">
        <v>29540</v>
      </c>
      <c r="R23" s="317">
        <v>29320</v>
      </c>
      <c r="S23" s="317">
        <v>29840</v>
      </c>
      <c r="T23" s="317">
        <v>31160</v>
      </c>
      <c r="U23" s="317">
        <v>32340</v>
      </c>
      <c r="V23" s="317">
        <v>32030</v>
      </c>
      <c r="W23" s="317">
        <v>31880</v>
      </c>
      <c r="X23" s="317">
        <v>31320</v>
      </c>
      <c r="Y23" s="317">
        <v>30550</v>
      </c>
      <c r="Z23" s="317">
        <v>30560</v>
      </c>
      <c r="AA23" s="317">
        <v>30650</v>
      </c>
      <c r="AB23" s="317">
        <v>30790</v>
      </c>
      <c r="AC23" s="317">
        <v>30970</v>
      </c>
      <c r="AD23" s="317">
        <v>31170</v>
      </c>
      <c r="AE23" s="317">
        <v>31360</v>
      </c>
      <c r="AF23" s="317">
        <v>31550</v>
      </c>
      <c r="AG23" s="317">
        <v>31730</v>
      </c>
      <c r="AH23" s="317">
        <v>31880</v>
      </c>
      <c r="AI23" s="317">
        <v>32000</v>
      </c>
      <c r="AJ23" s="317">
        <v>32090</v>
      </c>
      <c r="AK23" s="317">
        <v>32140</v>
      </c>
      <c r="AL23" s="317">
        <v>32170</v>
      </c>
      <c r="AM23" s="317">
        <v>32170</v>
      </c>
      <c r="AN23" s="317">
        <v>32140</v>
      </c>
      <c r="AO23" s="317">
        <v>32090</v>
      </c>
      <c r="AP23" s="317">
        <v>32020</v>
      </c>
      <c r="AQ23" s="317">
        <v>31940</v>
      </c>
      <c r="AR23" s="317">
        <v>31850</v>
      </c>
      <c r="AS23" s="317">
        <v>31770</v>
      </c>
      <c r="AT23" s="317">
        <v>31710</v>
      </c>
      <c r="AU23" s="317">
        <v>31670</v>
      </c>
      <c r="AV23" s="317">
        <v>31660</v>
      </c>
      <c r="AW23" s="317">
        <v>31700</v>
      </c>
      <c r="AX23" s="317">
        <v>31760</v>
      </c>
      <c r="AY23" s="317">
        <v>31850</v>
      </c>
      <c r="AZ23" s="317">
        <v>31940</v>
      </c>
      <c r="BA23" s="317">
        <v>32050</v>
      </c>
      <c r="BB23" s="317">
        <v>32150</v>
      </c>
      <c r="BC23" s="317">
        <v>32250</v>
      </c>
      <c r="BD23" s="317">
        <v>32340</v>
      </c>
      <c r="BE23" s="317">
        <v>32420</v>
      </c>
      <c r="BF23" s="317">
        <v>32490</v>
      </c>
    </row>
    <row r="24" spans="1:58" x14ac:dyDescent="0.2">
      <c r="A24" s="318" t="s">
        <v>22</v>
      </c>
      <c r="B24" s="315"/>
      <c r="C24" s="317">
        <v>31820</v>
      </c>
      <c r="D24" s="317">
        <v>32790</v>
      </c>
      <c r="E24" s="317">
        <v>33980</v>
      </c>
      <c r="F24" s="317">
        <v>33230</v>
      </c>
      <c r="G24" s="317">
        <v>33070</v>
      </c>
      <c r="H24" s="317">
        <v>32340</v>
      </c>
      <c r="I24" s="317">
        <v>32190</v>
      </c>
      <c r="J24" s="317">
        <v>31590</v>
      </c>
      <c r="K24" s="317">
        <v>30280</v>
      </c>
      <c r="L24" s="317">
        <v>30360</v>
      </c>
      <c r="M24" s="317">
        <v>29930</v>
      </c>
      <c r="N24" s="317">
        <v>30650</v>
      </c>
      <c r="O24" s="317">
        <v>30030</v>
      </c>
      <c r="P24" s="317">
        <v>28670</v>
      </c>
      <c r="Q24" s="317">
        <v>29080</v>
      </c>
      <c r="R24" s="317">
        <v>29760</v>
      </c>
      <c r="S24" s="317">
        <v>29540</v>
      </c>
      <c r="T24" s="317">
        <v>30060</v>
      </c>
      <c r="U24" s="317">
        <v>31380</v>
      </c>
      <c r="V24" s="317">
        <v>32560</v>
      </c>
      <c r="W24" s="317">
        <v>32260</v>
      </c>
      <c r="X24" s="317">
        <v>32100</v>
      </c>
      <c r="Y24" s="317">
        <v>31540</v>
      </c>
      <c r="Z24" s="317">
        <v>30770</v>
      </c>
      <c r="AA24" s="317">
        <v>30790</v>
      </c>
      <c r="AB24" s="317">
        <v>30870</v>
      </c>
      <c r="AC24" s="317">
        <v>31010</v>
      </c>
      <c r="AD24" s="317">
        <v>31200</v>
      </c>
      <c r="AE24" s="317">
        <v>31390</v>
      </c>
      <c r="AF24" s="317">
        <v>31590</v>
      </c>
      <c r="AG24" s="317">
        <v>31780</v>
      </c>
      <c r="AH24" s="317">
        <v>31950</v>
      </c>
      <c r="AI24" s="317">
        <v>32100</v>
      </c>
      <c r="AJ24" s="317">
        <v>32220</v>
      </c>
      <c r="AK24" s="317">
        <v>32310</v>
      </c>
      <c r="AL24" s="317">
        <v>32370</v>
      </c>
      <c r="AM24" s="317">
        <v>32400</v>
      </c>
      <c r="AN24" s="317">
        <v>32400</v>
      </c>
      <c r="AO24" s="317">
        <v>32370</v>
      </c>
      <c r="AP24" s="317">
        <v>32320</v>
      </c>
      <c r="AQ24" s="317">
        <v>32250</v>
      </c>
      <c r="AR24" s="317">
        <v>32160</v>
      </c>
      <c r="AS24" s="317">
        <v>32080</v>
      </c>
      <c r="AT24" s="317">
        <v>32000</v>
      </c>
      <c r="AU24" s="317">
        <v>31940</v>
      </c>
      <c r="AV24" s="317">
        <v>31900</v>
      </c>
      <c r="AW24" s="317">
        <v>31890</v>
      </c>
      <c r="AX24" s="317">
        <v>31920</v>
      </c>
      <c r="AY24" s="317">
        <v>31990</v>
      </c>
      <c r="AZ24" s="317">
        <v>32070</v>
      </c>
      <c r="BA24" s="317">
        <v>32170</v>
      </c>
      <c r="BB24" s="317">
        <v>32280</v>
      </c>
      <c r="BC24" s="317">
        <v>32380</v>
      </c>
      <c r="BD24" s="317">
        <v>32480</v>
      </c>
      <c r="BE24" s="317">
        <v>32570</v>
      </c>
      <c r="BF24" s="317">
        <v>32650</v>
      </c>
    </row>
    <row r="25" spans="1:58" x14ac:dyDescent="0.2">
      <c r="A25" s="318" t="s">
        <v>23</v>
      </c>
      <c r="B25" s="315"/>
      <c r="C25" s="317">
        <v>31140</v>
      </c>
      <c r="D25" s="317">
        <v>31930</v>
      </c>
      <c r="E25" s="317">
        <v>32910</v>
      </c>
      <c r="F25" s="317">
        <v>34170</v>
      </c>
      <c r="G25" s="317">
        <v>33580</v>
      </c>
      <c r="H25" s="317">
        <v>33290</v>
      </c>
      <c r="I25" s="317">
        <v>32630</v>
      </c>
      <c r="J25" s="317">
        <v>32510</v>
      </c>
      <c r="K25" s="317">
        <v>31980</v>
      </c>
      <c r="L25" s="317">
        <v>30740</v>
      </c>
      <c r="M25" s="317">
        <v>30810</v>
      </c>
      <c r="N25" s="317">
        <v>30380</v>
      </c>
      <c r="O25" s="317">
        <v>31100</v>
      </c>
      <c r="P25" s="317">
        <v>30490</v>
      </c>
      <c r="Q25" s="317">
        <v>29120</v>
      </c>
      <c r="R25" s="317">
        <v>29540</v>
      </c>
      <c r="S25" s="317">
        <v>30210</v>
      </c>
      <c r="T25" s="317">
        <v>30000</v>
      </c>
      <c r="U25" s="317">
        <v>30520</v>
      </c>
      <c r="V25" s="317">
        <v>31840</v>
      </c>
      <c r="W25" s="317">
        <v>33010</v>
      </c>
      <c r="X25" s="317">
        <v>32710</v>
      </c>
      <c r="Y25" s="317">
        <v>32560</v>
      </c>
      <c r="Z25" s="317">
        <v>32000</v>
      </c>
      <c r="AA25" s="317">
        <v>31230</v>
      </c>
      <c r="AB25" s="317">
        <v>31240</v>
      </c>
      <c r="AC25" s="317">
        <v>31330</v>
      </c>
      <c r="AD25" s="317">
        <v>31470</v>
      </c>
      <c r="AE25" s="317">
        <v>31650</v>
      </c>
      <c r="AF25" s="317">
        <v>31850</v>
      </c>
      <c r="AG25" s="317">
        <v>32040</v>
      </c>
      <c r="AH25" s="317">
        <v>32240</v>
      </c>
      <c r="AI25" s="317">
        <v>32410</v>
      </c>
      <c r="AJ25" s="317">
        <v>32560</v>
      </c>
      <c r="AK25" s="317">
        <v>32680</v>
      </c>
      <c r="AL25" s="317">
        <v>32770</v>
      </c>
      <c r="AM25" s="317">
        <v>32830</v>
      </c>
      <c r="AN25" s="317">
        <v>32850</v>
      </c>
      <c r="AO25" s="317">
        <v>32850</v>
      </c>
      <c r="AP25" s="317">
        <v>32830</v>
      </c>
      <c r="AQ25" s="317">
        <v>32780</v>
      </c>
      <c r="AR25" s="317">
        <v>32710</v>
      </c>
      <c r="AS25" s="317">
        <v>32620</v>
      </c>
      <c r="AT25" s="317">
        <v>32540</v>
      </c>
      <c r="AU25" s="317">
        <v>32460</v>
      </c>
      <c r="AV25" s="317">
        <v>32400</v>
      </c>
      <c r="AW25" s="317">
        <v>32360</v>
      </c>
      <c r="AX25" s="317">
        <v>32350</v>
      </c>
      <c r="AY25" s="317">
        <v>32390</v>
      </c>
      <c r="AZ25" s="317">
        <v>32450</v>
      </c>
      <c r="BA25" s="317">
        <v>32540</v>
      </c>
      <c r="BB25" s="317">
        <v>32630</v>
      </c>
      <c r="BC25" s="317">
        <v>32740</v>
      </c>
      <c r="BD25" s="317">
        <v>32840</v>
      </c>
      <c r="BE25" s="317">
        <v>32940</v>
      </c>
      <c r="BF25" s="317">
        <v>33030</v>
      </c>
    </row>
    <row r="26" spans="1:58" x14ac:dyDescent="0.2">
      <c r="A26" s="318" t="s">
        <v>24</v>
      </c>
      <c r="B26" s="315"/>
      <c r="C26" s="317">
        <v>30250</v>
      </c>
      <c r="D26" s="317">
        <v>31320</v>
      </c>
      <c r="E26" s="317">
        <v>32230</v>
      </c>
      <c r="F26" s="317">
        <v>33360</v>
      </c>
      <c r="G26" s="317">
        <v>34810</v>
      </c>
      <c r="H26" s="317">
        <v>34170</v>
      </c>
      <c r="I26" s="317">
        <v>33800</v>
      </c>
      <c r="J26" s="317">
        <v>33180</v>
      </c>
      <c r="K26" s="317">
        <v>33170</v>
      </c>
      <c r="L26" s="317">
        <v>32730</v>
      </c>
      <c r="M26" s="317">
        <v>31480</v>
      </c>
      <c r="N26" s="317">
        <v>31550</v>
      </c>
      <c r="O26" s="317">
        <v>31130</v>
      </c>
      <c r="P26" s="317">
        <v>31850</v>
      </c>
      <c r="Q26" s="317">
        <v>31230</v>
      </c>
      <c r="R26" s="317">
        <v>29870</v>
      </c>
      <c r="S26" s="317">
        <v>30280</v>
      </c>
      <c r="T26" s="317">
        <v>30960</v>
      </c>
      <c r="U26" s="317">
        <v>30740</v>
      </c>
      <c r="V26" s="317">
        <v>31260</v>
      </c>
      <c r="W26" s="317">
        <v>32580</v>
      </c>
      <c r="X26" s="317">
        <v>33760</v>
      </c>
      <c r="Y26" s="317">
        <v>33460</v>
      </c>
      <c r="Z26" s="317">
        <v>33300</v>
      </c>
      <c r="AA26" s="317">
        <v>32750</v>
      </c>
      <c r="AB26" s="317">
        <v>31970</v>
      </c>
      <c r="AC26" s="317">
        <v>31990</v>
      </c>
      <c r="AD26" s="317">
        <v>32080</v>
      </c>
      <c r="AE26" s="317">
        <v>32220</v>
      </c>
      <c r="AF26" s="317">
        <v>32400</v>
      </c>
      <c r="AG26" s="317">
        <v>32600</v>
      </c>
      <c r="AH26" s="317">
        <v>32790</v>
      </c>
      <c r="AI26" s="317">
        <v>32990</v>
      </c>
      <c r="AJ26" s="317">
        <v>33160</v>
      </c>
      <c r="AK26" s="317">
        <v>33310</v>
      </c>
      <c r="AL26" s="317">
        <v>33430</v>
      </c>
      <c r="AM26" s="317">
        <v>33520</v>
      </c>
      <c r="AN26" s="317">
        <v>33580</v>
      </c>
      <c r="AO26" s="317">
        <v>33610</v>
      </c>
      <c r="AP26" s="317">
        <v>33610</v>
      </c>
      <c r="AQ26" s="317">
        <v>33580</v>
      </c>
      <c r="AR26" s="317">
        <v>33530</v>
      </c>
      <c r="AS26" s="317">
        <v>33460</v>
      </c>
      <c r="AT26" s="317">
        <v>33380</v>
      </c>
      <c r="AU26" s="317">
        <v>33290</v>
      </c>
      <c r="AV26" s="317">
        <v>33210</v>
      </c>
      <c r="AW26" s="317">
        <v>33150</v>
      </c>
      <c r="AX26" s="317">
        <v>33110</v>
      </c>
      <c r="AY26" s="317">
        <v>33110</v>
      </c>
      <c r="AZ26" s="317">
        <v>33140</v>
      </c>
      <c r="BA26" s="317">
        <v>33210</v>
      </c>
      <c r="BB26" s="317">
        <v>33290</v>
      </c>
      <c r="BC26" s="317">
        <v>33390</v>
      </c>
      <c r="BD26" s="317">
        <v>33500</v>
      </c>
      <c r="BE26" s="317">
        <v>33600</v>
      </c>
      <c r="BF26" s="317">
        <v>33700</v>
      </c>
    </row>
    <row r="27" spans="1:58" x14ac:dyDescent="0.2">
      <c r="A27" s="318" t="s">
        <v>25</v>
      </c>
      <c r="B27" s="315"/>
      <c r="C27" s="317">
        <v>29830</v>
      </c>
      <c r="D27" s="317">
        <v>30430</v>
      </c>
      <c r="E27" s="317">
        <v>31640</v>
      </c>
      <c r="F27" s="317">
        <v>32790</v>
      </c>
      <c r="G27" s="317">
        <v>34170</v>
      </c>
      <c r="H27" s="317">
        <v>35620</v>
      </c>
      <c r="I27" s="317">
        <v>34650</v>
      </c>
      <c r="J27" s="317">
        <v>34330</v>
      </c>
      <c r="K27" s="317">
        <v>33820</v>
      </c>
      <c r="L27" s="317">
        <v>33890</v>
      </c>
      <c r="M27" s="317">
        <v>33450</v>
      </c>
      <c r="N27" s="317">
        <v>32200</v>
      </c>
      <c r="O27" s="317">
        <v>32270</v>
      </c>
      <c r="P27" s="317">
        <v>31850</v>
      </c>
      <c r="Q27" s="317">
        <v>32570</v>
      </c>
      <c r="R27" s="317">
        <v>31950</v>
      </c>
      <c r="S27" s="317">
        <v>30590</v>
      </c>
      <c r="T27" s="317">
        <v>31010</v>
      </c>
      <c r="U27" s="317">
        <v>31680</v>
      </c>
      <c r="V27" s="317">
        <v>31470</v>
      </c>
      <c r="W27" s="317">
        <v>31990</v>
      </c>
      <c r="X27" s="317">
        <v>33310</v>
      </c>
      <c r="Y27" s="317">
        <v>34480</v>
      </c>
      <c r="Z27" s="317">
        <v>34180</v>
      </c>
      <c r="AA27" s="317">
        <v>34030</v>
      </c>
      <c r="AB27" s="317">
        <v>33470</v>
      </c>
      <c r="AC27" s="317">
        <v>32700</v>
      </c>
      <c r="AD27" s="317">
        <v>32720</v>
      </c>
      <c r="AE27" s="317">
        <v>32800</v>
      </c>
      <c r="AF27" s="317">
        <v>32950</v>
      </c>
      <c r="AG27" s="317">
        <v>33130</v>
      </c>
      <c r="AH27" s="317">
        <v>33330</v>
      </c>
      <c r="AI27" s="317">
        <v>33520</v>
      </c>
      <c r="AJ27" s="317">
        <v>33710</v>
      </c>
      <c r="AK27" s="317">
        <v>33890</v>
      </c>
      <c r="AL27" s="317">
        <v>34040</v>
      </c>
      <c r="AM27" s="317">
        <v>34160</v>
      </c>
      <c r="AN27" s="317">
        <v>34250</v>
      </c>
      <c r="AO27" s="317">
        <v>34310</v>
      </c>
      <c r="AP27" s="317">
        <v>34340</v>
      </c>
      <c r="AQ27" s="317">
        <v>34340</v>
      </c>
      <c r="AR27" s="317">
        <v>34310</v>
      </c>
      <c r="AS27" s="317">
        <v>34260</v>
      </c>
      <c r="AT27" s="317">
        <v>34190</v>
      </c>
      <c r="AU27" s="317">
        <v>34110</v>
      </c>
      <c r="AV27" s="317">
        <v>34020</v>
      </c>
      <c r="AW27" s="317">
        <v>33950</v>
      </c>
      <c r="AX27" s="317">
        <v>33880</v>
      </c>
      <c r="AY27" s="317">
        <v>33850</v>
      </c>
      <c r="AZ27" s="317">
        <v>33840</v>
      </c>
      <c r="BA27" s="317">
        <v>33870</v>
      </c>
      <c r="BB27" s="317">
        <v>33940</v>
      </c>
      <c r="BC27" s="317">
        <v>34030</v>
      </c>
      <c r="BD27" s="317">
        <v>34120</v>
      </c>
      <c r="BE27" s="317">
        <v>34230</v>
      </c>
      <c r="BF27" s="317">
        <v>34330</v>
      </c>
    </row>
    <row r="28" spans="1:58" x14ac:dyDescent="0.2">
      <c r="A28" s="318" t="s">
        <v>26</v>
      </c>
      <c r="B28" s="315"/>
      <c r="C28" s="317">
        <v>29560</v>
      </c>
      <c r="D28" s="317">
        <v>29780</v>
      </c>
      <c r="E28" s="317">
        <v>30490</v>
      </c>
      <c r="F28" s="317">
        <v>32040</v>
      </c>
      <c r="G28" s="317">
        <v>33360</v>
      </c>
      <c r="H28" s="317">
        <v>34700</v>
      </c>
      <c r="I28" s="317">
        <v>35840</v>
      </c>
      <c r="J28" s="317">
        <v>34920</v>
      </c>
      <c r="K28" s="317">
        <v>34720</v>
      </c>
      <c r="L28" s="317">
        <v>34300</v>
      </c>
      <c r="M28" s="317">
        <v>34370</v>
      </c>
      <c r="N28" s="317">
        <v>33920</v>
      </c>
      <c r="O28" s="317">
        <v>32680</v>
      </c>
      <c r="P28" s="317">
        <v>32750</v>
      </c>
      <c r="Q28" s="317">
        <v>32330</v>
      </c>
      <c r="R28" s="317">
        <v>33050</v>
      </c>
      <c r="S28" s="317">
        <v>32430</v>
      </c>
      <c r="T28" s="317">
        <v>31070</v>
      </c>
      <c r="U28" s="317">
        <v>31490</v>
      </c>
      <c r="V28" s="317">
        <v>32160</v>
      </c>
      <c r="W28" s="317">
        <v>31950</v>
      </c>
      <c r="X28" s="317">
        <v>32470</v>
      </c>
      <c r="Y28" s="317">
        <v>33790</v>
      </c>
      <c r="Z28" s="317">
        <v>34960</v>
      </c>
      <c r="AA28" s="317">
        <v>34660</v>
      </c>
      <c r="AB28" s="317">
        <v>34510</v>
      </c>
      <c r="AC28" s="317">
        <v>33950</v>
      </c>
      <c r="AD28" s="317">
        <v>33180</v>
      </c>
      <c r="AE28" s="317">
        <v>33200</v>
      </c>
      <c r="AF28" s="317">
        <v>33290</v>
      </c>
      <c r="AG28" s="317">
        <v>33430</v>
      </c>
      <c r="AH28" s="317">
        <v>33610</v>
      </c>
      <c r="AI28" s="317">
        <v>33810</v>
      </c>
      <c r="AJ28" s="317">
        <v>34010</v>
      </c>
      <c r="AK28" s="317">
        <v>34200</v>
      </c>
      <c r="AL28" s="317">
        <v>34380</v>
      </c>
      <c r="AM28" s="317">
        <v>34520</v>
      </c>
      <c r="AN28" s="317">
        <v>34650</v>
      </c>
      <c r="AO28" s="317">
        <v>34740</v>
      </c>
      <c r="AP28" s="317">
        <v>34800</v>
      </c>
      <c r="AQ28" s="317">
        <v>34820</v>
      </c>
      <c r="AR28" s="317">
        <v>34830</v>
      </c>
      <c r="AS28" s="317">
        <v>34800</v>
      </c>
      <c r="AT28" s="317">
        <v>34750</v>
      </c>
      <c r="AU28" s="317">
        <v>34680</v>
      </c>
      <c r="AV28" s="317">
        <v>34600</v>
      </c>
      <c r="AW28" s="317">
        <v>34510</v>
      </c>
      <c r="AX28" s="317">
        <v>34440</v>
      </c>
      <c r="AY28" s="317">
        <v>34370</v>
      </c>
      <c r="AZ28" s="317">
        <v>34340</v>
      </c>
      <c r="BA28" s="317">
        <v>34330</v>
      </c>
      <c r="BB28" s="317">
        <v>34370</v>
      </c>
      <c r="BC28" s="317">
        <v>34430</v>
      </c>
      <c r="BD28" s="317">
        <v>34520</v>
      </c>
      <c r="BE28" s="317">
        <v>34620</v>
      </c>
      <c r="BF28" s="317">
        <v>34720</v>
      </c>
    </row>
    <row r="29" spans="1:58" x14ac:dyDescent="0.2">
      <c r="A29" s="318" t="s">
        <v>27</v>
      </c>
      <c r="B29" s="315"/>
      <c r="C29" s="317">
        <v>29400</v>
      </c>
      <c r="D29" s="317">
        <v>29250</v>
      </c>
      <c r="E29" s="317">
        <v>29710</v>
      </c>
      <c r="F29" s="317">
        <v>30780</v>
      </c>
      <c r="G29" s="317">
        <v>32470</v>
      </c>
      <c r="H29" s="317">
        <v>33620</v>
      </c>
      <c r="I29" s="317">
        <v>34700</v>
      </c>
      <c r="J29" s="317">
        <v>35900</v>
      </c>
      <c r="K29" s="317">
        <v>35130</v>
      </c>
      <c r="L29" s="317">
        <v>35020</v>
      </c>
      <c r="M29" s="317">
        <v>34610</v>
      </c>
      <c r="N29" s="317">
        <v>34670</v>
      </c>
      <c r="O29" s="317">
        <v>34230</v>
      </c>
      <c r="P29" s="317">
        <v>32990</v>
      </c>
      <c r="Q29" s="317">
        <v>33060</v>
      </c>
      <c r="R29" s="317">
        <v>32640</v>
      </c>
      <c r="S29" s="317">
        <v>33350</v>
      </c>
      <c r="T29" s="317">
        <v>32740</v>
      </c>
      <c r="U29" s="317">
        <v>31380</v>
      </c>
      <c r="V29" s="317">
        <v>31800</v>
      </c>
      <c r="W29" s="317">
        <v>32470</v>
      </c>
      <c r="X29" s="317">
        <v>32260</v>
      </c>
      <c r="Y29" s="317">
        <v>32780</v>
      </c>
      <c r="Z29" s="317">
        <v>34100</v>
      </c>
      <c r="AA29" s="317">
        <v>35280</v>
      </c>
      <c r="AB29" s="317">
        <v>34970</v>
      </c>
      <c r="AC29" s="317">
        <v>34820</v>
      </c>
      <c r="AD29" s="317">
        <v>34270</v>
      </c>
      <c r="AE29" s="317">
        <v>33500</v>
      </c>
      <c r="AF29" s="317">
        <v>33520</v>
      </c>
      <c r="AG29" s="317">
        <v>33600</v>
      </c>
      <c r="AH29" s="317">
        <v>33750</v>
      </c>
      <c r="AI29" s="317">
        <v>33930</v>
      </c>
      <c r="AJ29" s="317">
        <v>34130</v>
      </c>
      <c r="AK29" s="317">
        <v>34320</v>
      </c>
      <c r="AL29" s="317">
        <v>34520</v>
      </c>
      <c r="AM29" s="317">
        <v>34690</v>
      </c>
      <c r="AN29" s="317">
        <v>34840</v>
      </c>
      <c r="AO29" s="317">
        <v>34960</v>
      </c>
      <c r="AP29" s="317">
        <v>35050</v>
      </c>
      <c r="AQ29" s="317">
        <v>35110</v>
      </c>
      <c r="AR29" s="317">
        <v>35140</v>
      </c>
      <c r="AS29" s="317">
        <v>35140</v>
      </c>
      <c r="AT29" s="317">
        <v>35120</v>
      </c>
      <c r="AU29" s="317">
        <v>35070</v>
      </c>
      <c r="AV29" s="317">
        <v>35000</v>
      </c>
      <c r="AW29" s="317">
        <v>34920</v>
      </c>
      <c r="AX29" s="317">
        <v>34830</v>
      </c>
      <c r="AY29" s="317">
        <v>34760</v>
      </c>
      <c r="AZ29" s="317">
        <v>34690</v>
      </c>
      <c r="BA29" s="317">
        <v>34660</v>
      </c>
      <c r="BB29" s="317">
        <v>34650</v>
      </c>
      <c r="BC29" s="317">
        <v>34690</v>
      </c>
      <c r="BD29" s="317">
        <v>34750</v>
      </c>
      <c r="BE29" s="317">
        <v>34840</v>
      </c>
      <c r="BF29" s="317">
        <v>34940</v>
      </c>
    </row>
    <row r="30" spans="1:58" x14ac:dyDescent="0.2">
      <c r="A30" s="318" t="s">
        <v>28</v>
      </c>
      <c r="B30" s="315"/>
      <c r="C30" s="317">
        <v>29090</v>
      </c>
      <c r="D30" s="317">
        <v>29020</v>
      </c>
      <c r="E30" s="317">
        <v>29140</v>
      </c>
      <c r="F30" s="317">
        <v>29940</v>
      </c>
      <c r="G30" s="317">
        <v>31100</v>
      </c>
      <c r="H30" s="317">
        <v>32590</v>
      </c>
      <c r="I30" s="317">
        <v>33530</v>
      </c>
      <c r="J30" s="317">
        <v>34690</v>
      </c>
      <c r="K30" s="317">
        <v>36030</v>
      </c>
      <c r="L30" s="317">
        <v>35370</v>
      </c>
      <c r="M30" s="317">
        <v>35260</v>
      </c>
      <c r="N30" s="317">
        <v>34850</v>
      </c>
      <c r="O30" s="317">
        <v>34920</v>
      </c>
      <c r="P30" s="317">
        <v>34470</v>
      </c>
      <c r="Q30" s="317">
        <v>33230</v>
      </c>
      <c r="R30" s="317">
        <v>33300</v>
      </c>
      <c r="S30" s="317">
        <v>32880</v>
      </c>
      <c r="T30" s="317">
        <v>33600</v>
      </c>
      <c r="U30" s="317">
        <v>32990</v>
      </c>
      <c r="V30" s="317">
        <v>31630</v>
      </c>
      <c r="W30" s="317">
        <v>32050</v>
      </c>
      <c r="X30" s="317">
        <v>32720</v>
      </c>
      <c r="Y30" s="317">
        <v>32510</v>
      </c>
      <c r="Z30" s="317">
        <v>33030</v>
      </c>
      <c r="AA30" s="317">
        <v>34350</v>
      </c>
      <c r="AB30" s="317">
        <v>35520</v>
      </c>
      <c r="AC30" s="317">
        <v>35220</v>
      </c>
      <c r="AD30" s="317">
        <v>35070</v>
      </c>
      <c r="AE30" s="317">
        <v>34520</v>
      </c>
      <c r="AF30" s="317">
        <v>33750</v>
      </c>
      <c r="AG30" s="317">
        <v>33770</v>
      </c>
      <c r="AH30" s="317">
        <v>33860</v>
      </c>
      <c r="AI30" s="317">
        <v>34000</v>
      </c>
      <c r="AJ30" s="317">
        <v>34180</v>
      </c>
      <c r="AK30" s="317">
        <v>34380</v>
      </c>
      <c r="AL30" s="317">
        <v>34580</v>
      </c>
      <c r="AM30" s="317">
        <v>34770</v>
      </c>
      <c r="AN30" s="317">
        <v>34950</v>
      </c>
      <c r="AO30" s="317">
        <v>35090</v>
      </c>
      <c r="AP30" s="317">
        <v>35220</v>
      </c>
      <c r="AQ30" s="317">
        <v>35310</v>
      </c>
      <c r="AR30" s="317">
        <v>35370</v>
      </c>
      <c r="AS30" s="317">
        <v>35400</v>
      </c>
      <c r="AT30" s="317">
        <v>35400</v>
      </c>
      <c r="AU30" s="317">
        <v>35370</v>
      </c>
      <c r="AV30" s="317">
        <v>35330</v>
      </c>
      <c r="AW30" s="317">
        <v>35260</v>
      </c>
      <c r="AX30" s="317">
        <v>35180</v>
      </c>
      <c r="AY30" s="317">
        <v>35090</v>
      </c>
      <c r="AZ30" s="317">
        <v>35010</v>
      </c>
      <c r="BA30" s="317">
        <v>34950</v>
      </c>
      <c r="BB30" s="317">
        <v>34910</v>
      </c>
      <c r="BC30" s="317">
        <v>34910</v>
      </c>
      <c r="BD30" s="317">
        <v>34950</v>
      </c>
      <c r="BE30" s="317">
        <v>35010</v>
      </c>
      <c r="BF30" s="317">
        <v>35100</v>
      </c>
    </row>
    <row r="31" spans="1:58" x14ac:dyDescent="0.2">
      <c r="A31" s="318" t="s">
        <v>29</v>
      </c>
      <c r="B31" s="315"/>
      <c r="C31" s="317">
        <v>27970</v>
      </c>
      <c r="D31" s="317">
        <v>28790</v>
      </c>
      <c r="E31" s="317">
        <v>28830</v>
      </c>
      <c r="F31" s="317">
        <v>29390</v>
      </c>
      <c r="G31" s="317">
        <v>30300</v>
      </c>
      <c r="H31" s="317">
        <v>31120</v>
      </c>
      <c r="I31" s="317">
        <v>32480</v>
      </c>
      <c r="J31" s="317">
        <v>33490</v>
      </c>
      <c r="K31" s="317">
        <v>34790</v>
      </c>
      <c r="L31" s="317">
        <v>36240</v>
      </c>
      <c r="M31" s="317">
        <v>35580</v>
      </c>
      <c r="N31" s="317">
        <v>35480</v>
      </c>
      <c r="O31" s="317">
        <v>35060</v>
      </c>
      <c r="P31" s="317">
        <v>35130</v>
      </c>
      <c r="Q31" s="317">
        <v>34690</v>
      </c>
      <c r="R31" s="317">
        <v>33450</v>
      </c>
      <c r="S31" s="317">
        <v>33520</v>
      </c>
      <c r="T31" s="317">
        <v>33100</v>
      </c>
      <c r="U31" s="317">
        <v>33820</v>
      </c>
      <c r="V31" s="317">
        <v>33210</v>
      </c>
      <c r="W31" s="317">
        <v>31850</v>
      </c>
      <c r="X31" s="317">
        <v>32270</v>
      </c>
      <c r="Y31" s="317">
        <v>32940</v>
      </c>
      <c r="Z31" s="317">
        <v>32730</v>
      </c>
      <c r="AA31" s="317">
        <v>33250</v>
      </c>
      <c r="AB31" s="317">
        <v>34570</v>
      </c>
      <c r="AC31" s="317">
        <v>35740</v>
      </c>
      <c r="AD31" s="317">
        <v>35440</v>
      </c>
      <c r="AE31" s="317">
        <v>35290</v>
      </c>
      <c r="AF31" s="317">
        <v>34740</v>
      </c>
      <c r="AG31" s="317">
        <v>33970</v>
      </c>
      <c r="AH31" s="317">
        <v>33990</v>
      </c>
      <c r="AI31" s="317">
        <v>34080</v>
      </c>
      <c r="AJ31" s="317">
        <v>34220</v>
      </c>
      <c r="AK31" s="317">
        <v>34410</v>
      </c>
      <c r="AL31" s="317">
        <v>34600</v>
      </c>
      <c r="AM31" s="317">
        <v>34800</v>
      </c>
      <c r="AN31" s="317">
        <v>35000</v>
      </c>
      <c r="AO31" s="317">
        <v>35170</v>
      </c>
      <c r="AP31" s="317">
        <v>35320</v>
      </c>
      <c r="AQ31" s="317">
        <v>35440</v>
      </c>
      <c r="AR31" s="317">
        <v>35530</v>
      </c>
      <c r="AS31" s="317">
        <v>35590</v>
      </c>
      <c r="AT31" s="317">
        <v>35620</v>
      </c>
      <c r="AU31" s="317">
        <v>35630</v>
      </c>
      <c r="AV31" s="317">
        <v>35600</v>
      </c>
      <c r="AW31" s="317">
        <v>35550</v>
      </c>
      <c r="AX31" s="317">
        <v>35480</v>
      </c>
      <c r="AY31" s="317">
        <v>35400</v>
      </c>
      <c r="AZ31" s="317">
        <v>35320</v>
      </c>
      <c r="BA31" s="317">
        <v>35240</v>
      </c>
      <c r="BB31" s="317">
        <v>35180</v>
      </c>
      <c r="BC31" s="317">
        <v>35140</v>
      </c>
      <c r="BD31" s="317">
        <v>35140</v>
      </c>
      <c r="BE31" s="317">
        <v>35170</v>
      </c>
      <c r="BF31" s="317">
        <v>35240</v>
      </c>
    </row>
    <row r="32" spans="1:58" x14ac:dyDescent="0.2">
      <c r="A32" s="318" t="s">
        <v>30</v>
      </c>
      <c r="B32" s="315"/>
      <c r="C32" s="317">
        <v>26850</v>
      </c>
      <c r="D32" s="317">
        <v>27710</v>
      </c>
      <c r="E32" s="317">
        <v>28610</v>
      </c>
      <c r="F32" s="317">
        <v>29000</v>
      </c>
      <c r="G32" s="317">
        <v>29630</v>
      </c>
      <c r="H32" s="317">
        <v>30310</v>
      </c>
      <c r="I32" s="317">
        <v>31000</v>
      </c>
      <c r="J32" s="317">
        <v>32410</v>
      </c>
      <c r="K32" s="317">
        <v>33580</v>
      </c>
      <c r="L32" s="317">
        <v>34990</v>
      </c>
      <c r="M32" s="317">
        <v>36440</v>
      </c>
      <c r="N32" s="317">
        <v>35780</v>
      </c>
      <c r="O32" s="317">
        <v>35680</v>
      </c>
      <c r="P32" s="317">
        <v>35260</v>
      </c>
      <c r="Q32" s="317">
        <v>35330</v>
      </c>
      <c r="R32" s="317">
        <v>34890</v>
      </c>
      <c r="S32" s="317">
        <v>33650</v>
      </c>
      <c r="T32" s="317">
        <v>33720</v>
      </c>
      <c r="U32" s="317">
        <v>33300</v>
      </c>
      <c r="V32" s="317">
        <v>34020</v>
      </c>
      <c r="W32" s="317">
        <v>33410</v>
      </c>
      <c r="X32" s="317">
        <v>32050</v>
      </c>
      <c r="Y32" s="317">
        <v>32470</v>
      </c>
      <c r="Z32" s="317">
        <v>33150</v>
      </c>
      <c r="AA32" s="317">
        <v>32940</v>
      </c>
      <c r="AB32" s="317">
        <v>33460</v>
      </c>
      <c r="AC32" s="317">
        <v>34770</v>
      </c>
      <c r="AD32" s="317">
        <v>35950</v>
      </c>
      <c r="AE32" s="317">
        <v>35650</v>
      </c>
      <c r="AF32" s="317">
        <v>35500</v>
      </c>
      <c r="AG32" s="317">
        <v>34950</v>
      </c>
      <c r="AH32" s="317">
        <v>34180</v>
      </c>
      <c r="AI32" s="317">
        <v>34200</v>
      </c>
      <c r="AJ32" s="317">
        <v>34290</v>
      </c>
      <c r="AK32" s="317">
        <v>34430</v>
      </c>
      <c r="AL32" s="317">
        <v>34610</v>
      </c>
      <c r="AM32" s="317">
        <v>34810</v>
      </c>
      <c r="AN32" s="317">
        <v>35010</v>
      </c>
      <c r="AO32" s="317">
        <v>35200</v>
      </c>
      <c r="AP32" s="317">
        <v>35380</v>
      </c>
      <c r="AQ32" s="317">
        <v>35530</v>
      </c>
      <c r="AR32" s="317">
        <v>35650</v>
      </c>
      <c r="AS32" s="317">
        <v>35740</v>
      </c>
      <c r="AT32" s="317">
        <v>35800</v>
      </c>
      <c r="AU32" s="317">
        <v>35830</v>
      </c>
      <c r="AV32" s="317">
        <v>35830</v>
      </c>
      <c r="AW32" s="317">
        <v>35810</v>
      </c>
      <c r="AX32" s="317">
        <v>35760</v>
      </c>
      <c r="AY32" s="317">
        <v>35690</v>
      </c>
      <c r="AZ32" s="317">
        <v>35610</v>
      </c>
      <c r="BA32" s="317">
        <v>35530</v>
      </c>
      <c r="BB32" s="317">
        <v>35450</v>
      </c>
      <c r="BC32" s="317">
        <v>35390</v>
      </c>
      <c r="BD32" s="317">
        <v>35360</v>
      </c>
      <c r="BE32" s="317">
        <v>35350</v>
      </c>
      <c r="BF32" s="317">
        <v>35390</v>
      </c>
    </row>
    <row r="33" spans="1:58" x14ac:dyDescent="0.2">
      <c r="A33" s="318" t="s">
        <v>31</v>
      </c>
      <c r="B33" s="315"/>
      <c r="C33" s="317">
        <v>25810</v>
      </c>
      <c r="D33" s="317">
        <v>26740</v>
      </c>
      <c r="E33" s="317">
        <v>27500</v>
      </c>
      <c r="F33" s="317">
        <v>28700</v>
      </c>
      <c r="G33" s="317">
        <v>29300</v>
      </c>
      <c r="H33" s="317">
        <v>29620</v>
      </c>
      <c r="I33" s="317">
        <v>30210</v>
      </c>
      <c r="J33" s="317">
        <v>30950</v>
      </c>
      <c r="K33" s="317">
        <v>32520</v>
      </c>
      <c r="L33" s="317">
        <v>33790</v>
      </c>
      <c r="M33" s="317">
        <v>35200</v>
      </c>
      <c r="N33" s="317">
        <v>36650</v>
      </c>
      <c r="O33" s="317">
        <v>35990</v>
      </c>
      <c r="P33" s="317">
        <v>35890</v>
      </c>
      <c r="Q33" s="317">
        <v>35470</v>
      </c>
      <c r="R33" s="317">
        <v>35540</v>
      </c>
      <c r="S33" s="317">
        <v>35100</v>
      </c>
      <c r="T33" s="317">
        <v>33860</v>
      </c>
      <c r="U33" s="317">
        <v>33930</v>
      </c>
      <c r="V33" s="317">
        <v>33520</v>
      </c>
      <c r="W33" s="317">
        <v>34230</v>
      </c>
      <c r="X33" s="317">
        <v>33630</v>
      </c>
      <c r="Y33" s="317">
        <v>32270</v>
      </c>
      <c r="Z33" s="317">
        <v>32690</v>
      </c>
      <c r="AA33" s="317">
        <v>33360</v>
      </c>
      <c r="AB33" s="317">
        <v>33150</v>
      </c>
      <c r="AC33" s="317">
        <v>33670</v>
      </c>
      <c r="AD33" s="317">
        <v>34990</v>
      </c>
      <c r="AE33" s="317">
        <v>36160</v>
      </c>
      <c r="AF33" s="317">
        <v>35860</v>
      </c>
      <c r="AG33" s="317">
        <v>35710</v>
      </c>
      <c r="AH33" s="317">
        <v>35160</v>
      </c>
      <c r="AI33" s="317">
        <v>34400</v>
      </c>
      <c r="AJ33" s="317">
        <v>34420</v>
      </c>
      <c r="AK33" s="317">
        <v>34500</v>
      </c>
      <c r="AL33" s="317">
        <v>34650</v>
      </c>
      <c r="AM33" s="317">
        <v>34830</v>
      </c>
      <c r="AN33" s="317">
        <v>35030</v>
      </c>
      <c r="AO33" s="317">
        <v>35230</v>
      </c>
      <c r="AP33" s="317">
        <v>35420</v>
      </c>
      <c r="AQ33" s="317">
        <v>35600</v>
      </c>
      <c r="AR33" s="317">
        <v>35750</v>
      </c>
      <c r="AS33" s="317">
        <v>35870</v>
      </c>
      <c r="AT33" s="317">
        <v>35960</v>
      </c>
      <c r="AU33" s="317">
        <v>36020</v>
      </c>
      <c r="AV33" s="317">
        <v>36050</v>
      </c>
      <c r="AW33" s="317">
        <v>36060</v>
      </c>
      <c r="AX33" s="317">
        <v>36030</v>
      </c>
      <c r="AY33" s="317">
        <v>35980</v>
      </c>
      <c r="AZ33" s="317">
        <v>35920</v>
      </c>
      <c r="BA33" s="317">
        <v>35840</v>
      </c>
      <c r="BB33" s="317">
        <v>35750</v>
      </c>
      <c r="BC33" s="317">
        <v>35680</v>
      </c>
      <c r="BD33" s="317">
        <v>35610</v>
      </c>
      <c r="BE33" s="317">
        <v>35580</v>
      </c>
      <c r="BF33" s="317">
        <v>35580</v>
      </c>
    </row>
    <row r="34" spans="1:58" x14ac:dyDescent="0.2">
      <c r="A34" s="318" t="s">
        <v>32</v>
      </c>
      <c r="B34" s="315"/>
      <c r="C34" s="317">
        <v>24950</v>
      </c>
      <c r="D34" s="317">
        <v>25770</v>
      </c>
      <c r="E34" s="317">
        <v>26660</v>
      </c>
      <c r="F34" s="317">
        <v>27690</v>
      </c>
      <c r="G34" s="317">
        <v>29060</v>
      </c>
      <c r="H34" s="317">
        <v>29240</v>
      </c>
      <c r="I34" s="317">
        <v>29570</v>
      </c>
      <c r="J34" s="317">
        <v>30220</v>
      </c>
      <c r="K34" s="317">
        <v>31110</v>
      </c>
      <c r="L34" s="317">
        <v>32770</v>
      </c>
      <c r="M34" s="317">
        <v>34040</v>
      </c>
      <c r="N34" s="317">
        <v>35450</v>
      </c>
      <c r="O34" s="317">
        <v>36900</v>
      </c>
      <c r="P34" s="317">
        <v>36240</v>
      </c>
      <c r="Q34" s="317">
        <v>36140</v>
      </c>
      <c r="R34" s="317">
        <v>35720</v>
      </c>
      <c r="S34" s="317">
        <v>35790</v>
      </c>
      <c r="T34" s="317">
        <v>35350</v>
      </c>
      <c r="U34" s="317">
        <v>34110</v>
      </c>
      <c r="V34" s="317">
        <v>34190</v>
      </c>
      <c r="W34" s="317">
        <v>33770</v>
      </c>
      <c r="X34" s="317">
        <v>34490</v>
      </c>
      <c r="Y34" s="317">
        <v>33880</v>
      </c>
      <c r="Z34" s="317">
        <v>32530</v>
      </c>
      <c r="AA34" s="317">
        <v>32940</v>
      </c>
      <c r="AB34" s="317">
        <v>33620</v>
      </c>
      <c r="AC34" s="317">
        <v>33410</v>
      </c>
      <c r="AD34" s="317">
        <v>33930</v>
      </c>
      <c r="AE34" s="317">
        <v>35250</v>
      </c>
      <c r="AF34" s="317">
        <v>36420</v>
      </c>
      <c r="AG34" s="317">
        <v>36120</v>
      </c>
      <c r="AH34" s="317">
        <v>35970</v>
      </c>
      <c r="AI34" s="317">
        <v>35420</v>
      </c>
      <c r="AJ34" s="317">
        <v>34650</v>
      </c>
      <c r="AK34" s="317">
        <v>34670</v>
      </c>
      <c r="AL34" s="317">
        <v>34760</v>
      </c>
      <c r="AM34" s="317">
        <v>34910</v>
      </c>
      <c r="AN34" s="317">
        <v>35090</v>
      </c>
      <c r="AO34" s="317">
        <v>35290</v>
      </c>
      <c r="AP34" s="317">
        <v>35490</v>
      </c>
      <c r="AQ34" s="317">
        <v>35680</v>
      </c>
      <c r="AR34" s="317">
        <v>35860</v>
      </c>
      <c r="AS34" s="317">
        <v>36010</v>
      </c>
      <c r="AT34" s="317">
        <v>36130</v>
      </c>
      <c r="AU34" s="317">
        <v>36220</v>
      </c>
      <c r="AV34" s="317">
        <v>36280</v>
      </c>
      <c r="AW34" s="317">
        <v>36310</v>
      </c>
      <c r="AX34" s="317">
        <v>36320</v>
      </c>
      <c r="AY34" s="317">
        <v>36290</v>
      </c>
      <c r="AZ34" s="317">
        <v>36250</v>
      </c>
      <c r="BA34" s="317">
        <v>36180</v>
      </c>
      <c r="BB34" s="317">
        <v>36100</v>
      </c>
      <c r="BC34" s="317">
        <v>36010</v>
      </c>
      <c r="BD34" s="317">
        <v>35940</v>
      </c>
      <c r="BE34" s="317">
        <v>35880</v>
      </c>
      <c r="BF34" s="317">
        <v>35840</v>
      </c>
    </row>
    <row r="35" spans="1:58" x14ac:dyDescent="0.2">
      <c r="A35" s="318" t="s">
        <v>33</v>
      </c>
      <c r="B35" s="315"/>
      <c r="C35" s="317">
        <v>24310</v>
      </c>
      <c r="D35" s="317">
        <v>25140</v>
      </c>
      <c r="E35" s="317">
        <v>25870</v>
      </c>
      <c r="F35" s="317">
        <v>26990</v>
      </c>
      <c r="G35" s="317">
        <v>27970</v>
      </c>
      <c r="H35" s="317">
        <v>29100</v>
      </c>
      <c r="I35" s="317">
        <v>29280</v>
      </c>
      <c r="J35" s="317">
        <v>29670</v>
      </c>
      <c r="K35" s="317">
        <v>30450</v>
      </c>
      <c r="L35" s="317">
        <v>31420</v>
      </c>
      <c r="M35" s="317">
        <v>33080</v>
      </c>
      <c r="N35" s="317">
        <v>34350</v>
      </c>
      <c r="O35" s="317">
        <v>35760</v>
      </c>
      <c r="P35" s="317">
        <v>37210</v>
      </c>
      <c r="Q35" s="317">
        <v>36550</v>
      </c>
      <c r="R35" s="317">
        <v>36450</v>
      </c>
      <c r="S35" s="317">
        <v>36040</v>
      </c>
      <c r="T35" s="317">
        <v>36110</v>
      </c>
      <c r="U35" s="317">
        <v>35670</v>
      </c>
      <c r="V35" s="317">
        <v>34430</v>
      </c>
      <c r="W35" s="317">
        <v>34510</v>
      </c>
      <c r="X35" s="317">
        <v>34090</v>
      </c>
      <c r="Y35" s="317">
        <v>34810</v>
      </c>
      <c r="Z35" s="317">
        <v>34200</v>
      </c>
      <c r="AA35" s="317">
        <v>32850</v>
      </c>
      <c r="AB35" s="317">
        <v>33260</v>
      </c>
      <c r="AC35" s="317">
        <v>33940</v>
      </c>
      <c r="AD35" s="317">
        <v>33730</v>
      </c>
      <c r="AE35" s="317">
        <v>34250</v>
      </c>
      <c r="AF35" s="317">
        <v>35570</v>
      </c>
      <c r="AG35" s="317">
        <v>36740</v>
      </c>
      <c r="AH35" s="317">
        <v>36440</v>
      </c>
      <c r="AI35" s="317">
        <v>36290</v>
      </c>
      <c r="AJ35" s="317">
        <v>35740</v>
      </c>
      <c r="AK35" s="317">
        <v>34980</v>
      </c>
      <c r="AL35" s="317">
        <v>35000</v>
      </c>
      <c r="AM35" s="317">
        <v>35090</v>
      </c>
      <c r="AN35" s="317">
        <v>35230</v>
      </c>
      <c r="AO35" s="317">
        <v>35410</v>
      </c>
      <c r="AP35" s="317">
        <v>35610</v>
      </c>
      <c r="AQ35" s="317">
        <v>35810</v>
      </c>
      <c r="AR35" s="317">
        <v>36010</v>
      </c>
      <c r="AS35" s="317">
        <v>36180</v>
      </c>
      <c r="AT35" s="317">
        <v>36330</v>
      </c>
      <c r="AU35" s="317">
        <v>36460</v>
      </c>
      <c r="AV35" s="317">
        <v>36550</v>
      </c>
      <c r="AW35" s="317">
        <v>36610</v>
      </c>
      <c r="AX35" s="317">
        <v>36640</v>
      </c>
      <c r="AY35" s="317">
        <v>36640</v>
      </c>
      <c r="AZ35" s="317">
        <v>36620</v>
      </c>
      <c r="BA35" s="317">
        <v>36570</v>
      </c>
      <c r="BB35" s="317">
        <v>36500</v>
      </c>
      <c r="BC35" s="317">
        <v>36420</v>
      </c>
      <c r="BD35" s="317">
        <v>36340</v>
      </c>
      <c r="BE35" s="317">
        <v>36270</v>
      </c>
      <c r="BF35" s="317">
        <v>36200</v>
      </c>
    </row>
    <row r="36" spans="1:58" x14ac:dyDescent="0.2">
      <c r="A36" s="318" t="s">
        <v>34</v>
      </c>
      <c r="B36" s="315"/>
      <c r="C36" s="317">
        <v>24860</v>
      </c>
      <c r="D36" s="317">
        <v>24640</v>
      </c>
      <c r="E36" s="317">
        <v>25360</v>
      </c>
      <c r="F36" s="317">
        <v>26260</v>
      </c>
      <c r="G36" s="317">
        <v>27220</v>
      </c>
      <c r="H36" s="317">
        <v>28160</v>
      </c>
      <c r="I36" s="317">
        <v>29230</v>
      </c>
      <c r="J36" s="317">
        <v>29460</v>
      </c>
      <c r="K36" s="317">
        <v>29960</v>
      </c>
      <c r="L36" s="317">
        <v>30820</v>
      </c>
      <c r="M36" s="317">
        <v>31790</v>
      </c>
      <c r="N36" s="317">
        <v>33450</v>
      </c>
      <c r="O36" s="317">
        <v>34720</v>
      </c>
      <c r="P36" s="317">
        <v>36130</v>
      </c>
      <c r="Q36" s="317">
        <v>37580</v>
      </c>
      <c r="R36" s="317">
        <v>36920</v>
      </c>
      <c r="S36" s="317">
        <v>36820</v>
      </c>
      <c r="T36" s="317">
        <v>36410</v>
      </c>
      <c r="U36" s="317">
        <v>36480</v>
      </c>
      <c r="V36" s="317">
        <v>36040</v>
      </c>
      <c r="W36" s="317">
        <v>34800</v>
      </c>
      <c r="X36" s="317">
        <v>34880</v>
      </c>
      <c r="Y36" s="317">
        <v>34460</v>
      </c>
      <c r="Z36" s="317">
        <v>35180</v>
      </c>
      <c r="AA36" s="317">
        <v>34570</v>
      </c>
      <c r="AB36" s="317">
        <v>33220</v>
      </c>
      <c r="AC36" s="317">
        <v>33640</v>
      </c>
      <c r="AD36" s="317">
        <v>34310</v>
      </c>
      <c r="AE36" s="317">
        <v>34110</v>
      </c>
      <c r="AF36" s="317">
        <v>34630</v>
      </c>
      <c r="AG36" s="317">
        <v>35940</v>
      </c>
      <c r="AH36" s="317">
        <v>37120</v>
      </c>
      <c r="AI36" s="317">
        <v>36820</v>
      </c>
      <c r="AJ36" s="317">
        <v>36670</v>
      </c>
      <c r="AK36" s="317">
        <v>36120</v>
      </c>
      <c r="AL36" s="317">
        <v>35350</v>
      </c>
      <c r="AM36" s="317">
        <v>35370</v>
      </c>
      <c r="AN36" s="317">
        <v>35460</v>
      </c>
      <c r="AO36" s="317">
        <v>35610</v>
      </c>
      <c r="AP36" s="317">
        <v>35790</v>
      </c>
      <c r="AQ36" s="317">
        <v>35990</v>
      </c>
      <c r="AR36" s="317">
        <v>36190</v>
      </c>
      <c r="AS36" s="317">
        <v>36390</v>
      </c>
      <c r="AT36" s="317">
        <v>36560</v>
      </c>
      <c r="AU36" s="317">
        <v>36710</v>
      </c>
      <c r="AV36" s="317">
        <v>36840</v>
      </c>
      <c r="AW36" s="317">
        <v>36930</v>
      </c>
      <c r="AX36" s="317">
        <v>36990</v>
      </c>
      <c r="AY36" s="317">
        <v>37020</v>
      </c>
      <c r="AZ36" s="317">
        <v>37020</v>
      </c>
      <c r="BA36" s="317">
        <v>37000</v>
      </c>
      <c r="BB36" s="317">
        <v>36950</v>
      </c>
      <c r="BC36" s="317">
        <v>36890</v>
      </c>
      <c r="BD36" s="317">
        <v>36810</v>
      </c>
      <c r="BE36" s="317">
        <v>36720</v>
      </c>
      <c r="BF36" s="317">
        <v>36650</v>
      </c>
    </row>
    <row r="37" spans="1:58" x14ac:dyDescent="0.2">
      <c r="A37" s="318" t="s">
        <v>35</v>
      </c>
      <c r="B37" s="315"/>
      <c r="C37" s="317">
        <v>25180</v>
      </c>
      <c r="D37" s="317">
        <v>25130</v>
      </c>
      <c r="E37" s="317">
        <v>24930</v>
      </c>
      <c r="F37" s="317">
        <v>25750</v>
      </c>
      <c r="G37" s="317">
        <v>26590</v>
      </c>
      <c r="H37" s="317">
        <v>27440</v>
      </c>
      <c r="I37" s="317">
        <v>28300</v>
      </c>
      <c r="J37" s="317">
        <v>29420</v>
      </c>
      <c r="K37" s="317">
        <v>29760</v>
      </c>
      <c r="L37" s="317">
        <v>30330</v>
      </c>
      <c r="M37" s="317">
        <v>31190</v>
      </c>
      <c r="N37" s="317">
        <v>32160</v>
      </c>
      <c r="O37" s="317">
        <v>33820</v>
      </c>
      <c r="P37" s="317">
        <v>35090</v>
      </c>
      <c r="Q37" s="317">
        <v>36500</v>
      </c>
      <c r="R37" s="317">
        <v>37950</v>
      </c>
      <c r="S37" s="317">
        <v>37290</v>
      </c>
      <c r="T37" s="317">
        <v>37190</v>
      </c>
      <c r="U37" s="317">
        <v>36780</v>
      </c>
      <c r="V37" s="317">
        <v>36850</v>
      </c>
      <c r="W37" s="317">
        <v>36410</v>
      </c>
      <c r="X37" s="317">
        <v>35180</v>
      </c>
      <c r="Y37" s="317">
        <v>35250</v>
      </c>
      <c r="Z37" s="317">
        <v>34840</v>
      </c>
      <c r="AA37" s="317">
        <v>35550</v>
      </c>
      <c r="AB37" s="317">
        <v>34950</v>
      </c>
      <c r="AC37" s="317">
        <v>33600</v>
      </c>
      <c r="AD37" s="317">
        <v>34020</v>
      </c>
      <c r="AE37" s="317">
        <v>34690</v>
      </c>
      <c r="AF37" s="317">
        <v>34480</v>
      </c>
      <c r="AG37" s="317">
        <v>35000</v>
      </c>
      <c r="AH37" s="317">
        <v>36320</v>
      </c>
      <c r="AI37" s="317">
        <v>37490</v>
      </c>
      <c r="AJ37" s="317">
        <v>37190</v>
      </c>
      <c r="AK37" s="317">
        <v>37040</v>
      </c>
      <c r="AL37" s="317">
        <v>36490</v>
      </c>
      <c r="AM37" s="317">
        <v>35730</v>
      </c>
      <c r="AN37" s="317">
        <v>35750</v>
      </c>
      <c r="AO37" s="317">
        <v>35840</v>
      </c>
      <c r="AP37" s="317">
        <v>35990</v>
      </c>
      <c r="AQ37" s="317">
        <v>36170</v>
      </c>
      <c r="AR37" s="317">
        <v>36370</v>
      </c>
      <c r="AS37" s="317">
        <v>36570</v>
      </c>
      <c r="AT37" s="317">
        <v>36760</v>
      </c>
      <c r="AU37" s="317">
        <v>36940</v>
      </c>
      <c r="AV37" s="317">
        <v>37090</v>
      </c>
      <c r="AW37" s="317">
        <v>37210</v>
      </c>
      <c r="AX37" s="317">
        <v>37310</v>
      </c>
      <c r="AY37" s="317">
        <v>37370</v>
      </c>
      <c r="AZ37" s="317">
        <v>37400</v>
      </c>
      <c r="BA37" s="317">
        <v>37400</v>
      </c>
      <c r="BB37" s="317">
        <v>37380</v>
      </c>
      <c r="BC37" s="317">
        <v>37330</v>
      </c>
      <c r="BD37" s="317">
        <v>37270</v>
      </c>
      <c r="BE37" s="317">
        <v>37190</v>
      </c>
      <c r="BF37" s="317">
        <v>37100</v>
      </c>
    </row>
    <row r="38" spans="1:58" x14ac:dyDescent="0.2">
      <c r="A38" s="318" t="s">
        <v>36</v>
      </c>
      <c r="B38" s="315"/>
      <c r="C38" s="317">
        <v>26120</v>
      </c>
      <c r="D38" s="317">
        <v>25450</v>
      </c>
      <c r="E38" s="317">
        <v>25420</v>
      </c>
      <c r="F38" s="317">
        <v>25220</v>
      </c>
      <c r="G38" s="317">
        <v>25970</v>
      </c>
      <c r="H38" s="317">
        <v>26730</v>
      </c>
      <c r="I38" s="317">
        <v>27530</v>
      </c>
      <c r="J38" s="317">
        <v>28440</v>
      </c>
      <c r="K38" s="317">
        <v>29650</v>
      </c>
      <c r="L38" s="317">
        <v>30050</v>
      </c>
      <c r="M38" s="317">
        <v>30620</v>
      </c>
      <c r="N38" s="317">
        <v>31480</v>
      </c>
      <c r="O38" s="317">
        <v>32460</v>
      </c>
      <c r="P38" s="317">
        <v>34120</v>
      </c>
      <c r="Q38" s="317">
        <v>35380</v>
      </c>
      <c r="R38" s="317">
        <v>36790</v>
      </c>
      <c r="S38" s="317">
        <v>38240</v>
      </c>
      <c r="T38" s="317">
        <v>37580</v>
      </c>
      <c r="U38" s="317">
        <v>37480</v>
      </c>
      <c r="V38" s="317">
        <v>37070</v>
      </c>
      <c r="W38" s="317">
        <v>37140</v>
      </c>
      <c r="X38" s="317">
        <v>36700</v>
      </c>
      <c r="Y38" s="317">
        <v>35470</v>
      </c>
      <c r="Z38" s="317">
        <v>35550</v>
      </c>
      <c r="AA38" s="317">
        <v>35130</v>
      </c>
      <c r="AB38" s="317">
        <v>35850</v>
      </c>
      <c r="AC38" s="317">
        <v>35240</v>
      </c>
      <c r="AD38" s="317">
        <v>33890</v>
      </c>
      <c r="AE38" s="317">
        <v>34310</v>
      </c>
      <c r="AF38" s="317">
        <v>34990</v>
      </c>
      <c r="AG38" s="317">
        <v>34780</v>
      </c>
      <c r="AH38" s="317">
        <v>35300</v>
      </c>
      <c r="AI38" s="317">
        <v>36610</v>
      </c>
      <c r="AJ38" s="317">
        <v>37790</v>
      </c>
      <c r="AK38" s="317">
        <v>37490</v>
      </c>
      <c r="AL38" s="317">
        <v>37340</v>
      </c>
      <c r="AM38" s="317">
        <v>36790</v>
      </c>
      <c r="AN38" s="317">
        <v>36030</v>
      </c>
      <c r="AO38" s="317">
        <v>36050</v>
      </c>
      <c r="AP38" s="317">
        <v>36140</v>
      </c>
      <c r="AQ38" s="317">
        <v>36290</v>
      </c>
      <c r="AR38" s="317">
        <v>36470</v>
      </c>
      <c r="AS38" s="317">
        <v>36670</v>
      </c>
      <c r="AT38" s="317">
        <v>36870</v>
      </c>
      <c r="AU38" s="317">
        <v>37060</v>
      </c>
      <c r="AV38" s="317">
        <v>37240</v>
      </c>
      <c r="AW38" s="317">
        <v>37390</v>
      </c>
      <c r="AX38" s="317">
        <v>37510</v>
      </c>
      <c r="AY38" s="317">
        <v>37610</v>
      </c>
      <c r="AZ38" s="317">
        <v>37670</v>
      </c>
      <c r="BA38" s="317">
        <v>37700</v>
      </c>
      <c r="BB38" s="317">
        <v>37700</v>
      </c>
      <c r="BC38" s="317">
        <v>37680</v>
      </c>
      <c r="BD38" s="317">
        <v>37640</v>
      </c>
      <c r="BE38" s="317">
        <v>37570</v>
      </c>
      <c r="BF38" s="317">
        <v>37490</v>
      </c>
    </row>
    <row r="39" spans="1:58" x14ac:dyDescent="0.2">
      <c r="A39" s="318" t="s">
        <v>37</v>
      </c>
      <c r="B39" s="315"/>
      <c r="C39" s="317">
        <v>27080</v>
      </c>
      <c r="D39" s="317">
        <v>26280</v>
      </c>
      <c r="E39" s="317">
        <v>25600</v>
      </c>
      <c r="F39" s="317">
        <v>25600</v>
      </c>
      <c r="G39" s="317">
        <v>25330</v>
      </c>
      <c r="H39" s="317">
        <v>26030</v>
      </c>
      <c r="I39" s="317">
        <v>26760</v>
      </c>
      <c r="J39" s="317">
        <v>27590</v>
      </c>
      <c r="K39" s="317">
        <v>28560</v>
      </c>
      <c r="L39" s="317">
        <v>29820</v>
      </c>
      <c r="M39" s="317">
        <v>30220</v>
      </c>
      <c r="N39" s="317">
        <v>30790</v>
      </c>
      <c r="O39" s="317">
        <v>31650</v>
      </c>
      <c r="P39" s="317">
        <v>32630</v>
      </c>
      <c r="Q39" s="317">
        <v>34290</v>
      </c>
      <c r="R39" s="317">
        <v>35550</v>
      </c>
      <c r="S39" s="317">
        <v>36960</v>
      </c>
      <c r="T39" s="317">
        <v>38410</v>
      </c>
      <c r="U39" s="317">
        <v>37750</v>
      </c>
      <c r="V39" s="317">
        <v>37650</v>
      </c>
      <c r="W39" s="317">
        <v>37240</v>
      </c>
      <c r="X39" s="317">
        <v>37310</v>
      </c>
      <c r="Y39" s="317">
        <v>36870</v>
      </c>
      <c r="Z39" s="317">
        <v>35640</v>
      </c>
      <c r="AA39" s="317">
        <v>35720</v>
      </c>
      <c r="AB39" s="317">
        <v>35300</v>
      </c>
      <c r="AC39" s="317">
        <v>36020</v>
      </c>
      <c r="AD39" s="317">
        <v>35420</v>
      </c>
      <c r="AE39" s="317">
        <v>34070</v>
      </c>
      <c r="AF39" s="317">
        <v>34490</v>
      </c>
      <c r="AG39" s="317">
        <v>35160</v>
      </c>
      <c r="AH39" s="317">
        <v>34950</v>
      </c>
      <c r="AI39" s="317">
        <v>35470</v>
      </c>
      <c r="AJ39" s="317">
        <v>36790</v>
      </c>
      <c r="AK39" s="317">
        <v>37960</v>
      </c>
      <c r="AL39" s="317">
        <v>37660</v>
      </c>
      <c r="AM39" s="317">
        <v>37520</v>
      </c>
      <c r="AN39" s="317">
        <v>36970</v>
      </c>
      <c r="AO39" s="317">
        <v>36210</v>
      </c>
      <c r="AP39" s="317">
        <v>36230</v>
      </c>
      <c r="AQ39" s="317">
        <v>36320</v>
      </c>
      <c r="AR39" s="317">
        <v>36460</v>
      </c>
      <c r="AS39" s="317">
        <v>36650</v>
      </c>
      <c r="AT39" s="317">
        <v>36850</v>
      </c>
      <c r="AU39" s="317">
        <v>37050</v>
      </c>
      <c r="AV39" s="317">
        <v>37240</v>
      </c>
      <c r="AW39" s="317">
        <v>37420</v>
      </c>
      <c r="AX39" s="317">
        <v>37570</v>
      </c>
      <c r="AY39" s="317">
        <v>37690</v>
      </c>
      <c r="AZ39" s="317">
        <v>37790</v>
      </c>
      <c r="BA39" s="317">
        <v>37850</v>
      </c>
      <c r="BB39" s="317">
        <v>37880</v>
      </c>
      <c r="BC39" s="317">
        <v>37880</v>
      </c>
      <c r="BD39" s="317">
        <v>37860</v>
      </c>
      <c r="BE39" s="317">
        <v>37810</v>
      </c>
      <c r="BF39" s="317">
        <v>37750</v>
      </c>
    </row>
    <row r="40" spans="1:58" x14ac:dyDescent="0.2">
      <c r="A40" s="318" t="s">
        <v>38</v>
      </c>
      <c r="B40" s="315"/>
      <c r="C40" s="317">
        <v>28270</v>
      </c>
      <c r="D40" s="317">
        <v>27240</v>
      </c>
      <c r="E40" s="317">
        <v>26350</v>
      </c>
      <c r="F40" s="317">
        <v>25730</v>
      </c>
      <c r="G40" s="317">
        <v>25640</v>
      </c>
      <c r="H40" s="317">
        <v>25310</v>
      </c>
      <c r="I40" s="317">
        <v>26010</v>
      </c>
      <c r="J40" s="317">
        <v>26770</v>
      </c>
      <c r="K40" s="317">
        <v>27650</v>
      </c>
      <c r="L40" s="317">
        <v>28660</v>
      </c>
      <c r="M40" s="317">
        <v>29910</v>
      </c>
      <c r="N40" s="317">
        <v>30320</v>
      </c>
      <c r="O40" s="317">
        <v>30890</v>
      </c>
      <c r="P40" s="317">
        <v>31750</v>
      </c>
      <c r="Q40" s="317">
        <v>32720</v>
      </c>
      <c r="R40" s="317">
        <v>34380</v>
      </c>
      <c r="S40" s="317">
        <v>35640</v>
      </c>
      <c r="T40" s="317">
        <v>37050</v>
      </c>
      <c r="U40" s="317">
        <v>38500</v>
      </c>
      <c r="V40" s="317">
        <v>37840</v>
      </c>
      <c r="W40" s="317">
        <v>37740</v>
      </c>
      <c r="X40" s="317">
        <v>37330</v>
      </c>
      <c r="Y40" s="317">
        <v>37410</v>
      </c>
      <c r="Z40" s="317">
        <v>36970</v>
      </c>
      <c r="AA40" s="317">
        <v>35740</v>
      </c>
      <c r="AB40" s="317">
        <v>35810</v>
      </c>
      <c r="AC40" s="317">
        <v>35400</v>
      </c>
      <c r="AD40" s="317">
        <v>36120</v>
      </c>
      <c r="AE40" s="317">
        <v>35510</v>
      </c>
      <c r="AF40" s="317">
        <v>34170</v>
      </c>
      <c r="AG40" s="317">
        <v>34580</v>
      </c>
      <c r="AH40" s="317">
        <v>35260</v>
      </c>
      <c r="AI40" s="317">
        <v>35050</v>
      </c>
      <c r="AJ40" s="317">
        <v>35570</v>
      </c>
      <c r="AK40" s="317">
        <v>36880</v>
      </c>
      <c r="AL40" s="317">
        <v>38060</v>
      </c>
      <c r="AM40" s="317">
        <v>37760</v>
      </c>
      <c r="AN40" s="317">
        <v>37610</v>
      </c>
      <c r="AO40" s="317">
        <v>37070</v>
      </c>
      <c r="AP40" s="317">
        <v>36300</v>
      </c>
      <c r="AQ40" s="317">
        <v>36330</v>
      </c>
      <c r="AR40" s="317">
        <v>36420</v>
      </c>
      <c r="AS40" s="317">
        <v>36560</v>
      </c>
      <c r="AT40" s="317">
        <v>36750</v>
      </c>
      <c r="AU40" s="317">
        <v>36950</v>
      </c>
      <c r="AV40" s="317">
        <v>37150</v>
      </c>
      <c r="AW40" s="317">
        <v>37340</v>
      </c>
      <c r="AX40" s="317">
        <v>37520</v>
      </c>
      <c r="AY40" s="317">
        <v>37670</v>
      </c>
      <c r="AZ40" s="317">
        <v>37790</v>
      </c>
      <c r="BA40" s="317">
        <v>37890</v>
      </c>
      <c r="BB40" s="317">
        <v>37950</v>
      </c>
      <c r="BC40" s="317">
        <v>37980</v>
      </c>
      <c r="BD40" s="317">
        <v>37980</v>
      </c>
      <c r="BE40" s="317">
        <v>37960</v>
      </c>
      <c r="BF40" s="317">
        <v>37920</v>
      </c>
    </row>
    <row r="41" spans="1:58" x14ac:dyDescent="0.2">
      <c r="A41" s="318" t="s">
        <v>39</v>
      </c>
      <c r="B41" s="315"/>
      <c r="C41" s="317">
        <v>29670</v>
      </c>
      <c r="D41" s="317">
        <v>28480</v>
      </c>
      <c r="E41" s="317">
        <v>27320</v>
      </c>
      <c r="F41" s="317">
        <v>26510</v>
      </c>
      <c r="G41" s="317">
        <v>25800</v>
      </c>
      <c r="H41" s="317">
        <v>25670</v>
      </c>
      <c r="I41" s="317">
        <v>25270</v>
      </c>
      <c r="J41" s="317">
        <v>25990</v>
      </c>
      <c r="K41" s="317">
        <v>26800</v>
      </c>
      <c r="L41" s="317">
        <v>27720</v>
      </c>
      <c r="M41" s="317">
        <v>28720</v>
      </c>
      <c r="N41" s="317">
        <v>29980</v>
      </c>
      <c r="O41" s="317">
        <v>30380</v>
      </c>
      <c r="P41" s="317">
        <v>30960</v>
      </c>
      <c r="Q41" s="317">
        <v>31820</v>
      </c>
      <c r="R41" s="317">
        <v>32790</v>
      </c>
      <c r="S41" s="317">
        <v>34440</v>
      </c>
      <c r="T41" s="317">
        <v>35710</v>
      </c>
      <c r="U41" s="317">
        <v>37110</v>
      </c>
      <c r="V41" s="317">
        <v>38560</v>
      </c>
      <c r="W41" s="317">
        <v>37910</v>
      </c>
      <c r="X41" s="317">
        <v>37810</v>
      </c>
      <c r="Y41" s="317">
        <v>37400</v>
      </c>
      <c r="Z41" s="317">
        <v>37470</v>
      </c>
      <c r="AA41" s="317">
        <v>37030</v>
      </c>
      <c r="AB41" s="317">
        <v>35810</v>
      </c>
      <c r="AC41" s="317">
        <v>35880</v>
      </c>
      <c r="AD41" s="317">
        <v>35470</v>
      </c>
      <c r="AE41" s="317">
        <v>36190</v>
      </c>
      <c r="AF41" s="317">
        <v>35580</v>
      </c>
      <c r="AG41" s="317">
        <v>34240</v>
      </c>
      <c r="AH41" s="317">
        <v>34650</v>
      </c>
      <c r="AI41" s="317">
        <v>35330</v>
      </c>
      <c r="AJ41" s="317">
        <v>35120</v>
      </c>
      <c r="AK41" s="317">
        <v>35640</v>
      </c>
      <c r="AL41" s="317">
        <v>36950</v>
      </c>
      <c r="AM41" s="317">
        <v>38130</v>
      </c>
      <c r="AN41" s="317">
        <v>37830</v>
      </c>
      <c r="AO41" s="317">
        <v>37680</v>
      </c>
      <c r="AP41" s="317">
        <v>37140</v>
      </c>
      <c r="AQ41" s="317">
        <v>36380</v>
      </c>
      <c r="AR41" s="317">
        <v>36400</v>
      </c>
      <c r="AS41" s="317">
        <v>36490</v>
      </c>
      <c r="AT41" s="317">
        <v>36630</v>
      </c>
      <c r="AU41" s="317">
        <v>36820</v>
      </c>
      <c r="AV41" s="317">
        <v>37020</v>
      </c>
      <c r="AW41" s="317">
        <v>37220</v>
      </c>
      <c r="AX41" s="317">
        <v>37410</v>
      </c>
      <c r="AY41" s="317">
        <v>37590</v>
      </c>
      <c r="AZ41" s="317">
        <v>37740</v>
      </c>
      <c r="BA41" s="317">
        <v>37870</v>
      </c>
      <c r="BB41" s="317">
        <v>37960</v>
      </c>
      <c r="BC41" s="317">
        <v>38020</v>
      </c>
      <c r="BD41" s="317">
        <v>38050</v>
      </c>
      <c r="BE41" s="317">
        <v>38060</v>
      </c>
      <c r="BF41" s="317">
        <v>38040</v>
      </c>
    </row>
    <row r="42" spans="1:58" x14ac:dyDescent="0.2">
      <c r="A42" s="318" t="s">
        <v>40</v>
      </c>
      <c r="B42" s="315"/>
      <c r="C42" s="317">
        <v>30140</v>
      </c>
      <c r="D42" s="317">
        <v>29820</v>
      </c>
      <c r="E42" s="317">
        <v>28530</v>
      </c>
      <c r="F42" s="317">
        <v>27380</v>
      </c>
      <c r="G42" s="317">
        <v>26580</v>
      </c>
      <c r="H42" s="317">
        <v>25780</v>
      </c>
      <c r="I42" s="317">
        <v>25610</v>
      </c>
      <c r="J42" s="317">
        <v>25230</v>
      </c>
      <c r="K42" s="317">
        <v>26000</v>
      </c>
      <c r="L42" s="317">
        <v>26840</v>
      </c>
      <c r="M42" s="317">
        <v>27760</v>
      </c>
      <c r="N42" s="317">
        <v>28770</v>
      </c>
      <c r="O42" s="317">
        <v>30020</v>
      </c>
      <c r="P42" s="317">
        <v>30430</v>
      </c>
      <c r="Q42" s="317">
        <v>31000</v>
      </c>
      <c r="R42" s="317">
        <v>31860</v>
      </c>
      <c r="S42" s="317">
        <v>32830</v>
      </c>
      <c r="T42" s="317">
        <v>34490</v>
      </c>
      <c r="U42" s="317">
        <v>35750</v>
      </c>
      <c r="V42" s="317">
        <v>37150</v>
      </c>
      <c r="W42" s="317">
        <v>38600</v>
      </c>
      <c r="X42" s="317">
        <v>37950</v>
      </c>
      <c r="Y42" s="317">
        <v>37850</v>
      </c>
      <c r="Z42" s="317">
        <v>37440</v>
      </c>
      <c r="AA42" s="317">
        <v>37510</v>
      </c>
      <c r="AB42" s="317">
        <v>37080</v>
      </c>
      <c r="AC42" s="317">
        <v>35850</v>
      </c>
      <c r="AD42" s="317">
        <v>35930</v>
      </c>
      <c r="AE42" s="317">
        <v>35510</v>
      </c>
      <c r="AF42" s="317">
        <v>36230</v>
      </c>
      <c r="AG42" s="317">
        <v>35630</v>
      </c>
      <c r="AH42" s="317">
        <v>34280</v>
      </c>
      <c r="AI42" s="317">
        <v>34700</v>
      </c>
      <c r="AJ42" s="317">
        <v>35370</v>
      </c>
      <c r="AK42" s="317">
        <v>35170</v>
      </c>
      <c r="AL42" s="317">
        <v>35690</v>
      </c>
      <c r="AM42" s="317">
        <v>37000</v>
      </c>
      <c r="AN42" s="317">
        <v>38170</v>
      </c>
      <c r="AO42" s="317">
        <v>37880</v>
      </c>
      <c r="AP42" s="317">
        <v>37730</v>
      </c>
      <c r="AQ42" s="317">
        <v>37180</v>
      </c>
      <c r="AR42" s="317">
        <v>36420</v>
      </c>
      <c r="AS42" s="317">
        <v>36450</v>
      </c>
      <c r="AT42" s="317">
        <v>36540</v>
      </c>
      <c r="AU42" s="317">
        <v>36680</v>
      </c>
      <c r="AV42" s="317">
        <v>36870</v>
      </c>
      <c r="AW42" s="317">
        <v>37070</v>
      </c>
      <c r="AX42" s="317">
        <v>37270</v>
      </c>
      <c r="AY42" s="317">
        <v>37460</v>
      </c>
      <c r="AZ42" s="317">
        <v>37640</v>
      </c>
      <c r="BA42" s="317">
        <v>37790</v>
      </c>
      <c r="BB42" s="317">
        <v>37920</v>
      </c>
      <c r="BC42" s="317">
        <v>38010</v>
      </c>
      <c r="BD42" s="317">
        <v>38070</v>
      </c>
      <c r="BE42" s="317">
        <v>38100</v>
      </c>
      <c r="BF42" s="317">
        <v>38110</v>
      </c>
    </row>
    <row r="43" spans="1:58" x14ac:dyDescent="0.2">
      <c r="A43" s="318" t="s">
        <v>41</v>
      </c>
      <c r="B43" s="315"/>
      <c r="C43" s="317">
        <v>29680</v>
      </c>
      <c r="D43" s="317">
        <v>30270</v>
      </c>
      <c r="E43" s="317">
        <v>29920</v>
      </c>
      <c r="F43" s="317">
        <v>28590</v>
      </c>
      <c r="G43" s="317">
        <v>27410</v>
      </c>
      <c r="H43" s="317">
        <v>26540</v>
      </c>
      <c r="I43" s="317">
        <v>25690</v>
      </c>
      <c r="J43" s="317">
        <v>25540</v>
      </c>
      <c r="K43" s="317">
        <v>25210</v>
      </c>
      <c r="L43" s="317">
        <v>26020</v>
      </c>
      <c r="M43" s="317">
        <v>26860</v>
      </c>
      <c r="N43" s="317">
        <v>27780</v>
      </c>
      <c r="O43" s="317">
        <v>28790</v>
      </c>
      <c r="P43" s="317">
        <v>30040</v>
      </c>
      <c r="Q43" s="317">
        <v>30450</v>
      </c>
      <c r="R43" s="317">
        <v>31020</v>
      </c>
      <c r="S43" s="317">
        <v>31880</v>
      </c>
      <c r="T43" s="317">
        <v>32850</v>
      </c>
      <c r="U43" s="317">
        <v>34500</v>
      </c>
      <c r="V43" s="317">
        <v>35760</v>
      </c>
      <c r="W43" s="317">
        <v>37170</v>
      </c>
      <c r="X43" s="317">
        <v>38610</v>
      </c>
      <c r="Y43" s="317">
        <v>37960</v>
      </c>
      <c r="Z43" s="317">
        <v>37860</v>
      </c>
      <c r="AA43" s="317">
        <v>37460</v>
      </c>
      <c r="AB43" s="317">
        <v>37530</v>
      </c>
      <c r="AC43" s="317">
        <v>37090</v>
      </c>
      <c r="AD43" s="317">
        <v>35870</v>
      </c>
      <c r="AE43" s="317">
        <v>35950</v>
      </c>
      <c r="AF43" s="317">
        <v>35530</v>
      </c>
      <c r="AG43" s="317">
        <v>36250</v>
      </c>
      <c r="AH43" s="317">
        <v>35650</v>
      </c>
      <c r="AI43" s="317">
        <v>34300</v>
      </c>
      <c r="AJ43" s="317">
        <v>34720</v>
      </c>
      <c r="AK43" s="317">
        <v>35400</v>
      </c>
      <c r="AL43" s="317">
        <v>35190</v>
      </c>
      <c r="AM43" s="317">
        <v>35710</v>
      </c>
      <c r="AN43" s="317">
        <v>37020</v>
      </c>
      <c r="AO43" s="317">
        <v>38190</v>
      </c>
      <c r="AP43" s="317">
        <v>37900</v>
      </c>
      <c r="AQ43" s="317">
        <v>37750</v>
      </c>
      <c r="AR43" s="317">
        <v>37210</v>
      </c>
      <c r="AS43" s="317">
        <v>36450</v>
      </c>
      <c r="AT43" s="317">
        <v>36470</v>
      </c>
      <c r="AU43" s="317">
        <v>36560</v>
      </c>
      <c r="AV43" s="317">
        <v>36710</v>
      </c>
      <c r="AW43" s="317">
        <v>36890</v>
      </c>
      <c r="AX43" s="317">
        <v>37090</v>
      </c>
      <c r="AY43" s="317">
        <v>37290</v>
      </c>
      <c r="AZ43" s="317">
        <v>37490</v>
      </c>
      <c r="BA43" s="317">
        <v>37660</v>
      </c>
      <c r="BB43" s="317">
        <v>37820</v>
      </c>
      <c r="BC43" s="317">
        <v>37940</v>
      </c>
      <c r="BD43" s="317">
        <v>38040</v>
      </c>
      <c r="BE43" s="317">
        <v>38100</v>
      </c>
      <c r="BF43" s="317">
        <v>38130</v>
      </c>
    </row>
    <row r="44" spans="1:58" x14ac:dyDescent="0.2">
      <c r="A44" s="318" t="s">
        <v>42</v>
      </c>
      <c r="B44" s="315"/>
      <c r="C44" s="317">
        <v>30040</v>
      </c>
      <c r="D44" s="317">
        <v>29810</v>
      </c>
      <c r="E44" s="317">
        <v>30350</v>
      </c>
      <c r="F44" s="317">
        <v>29980</v>
      </c>
      <c r="G44" s="317">
        <v>28650</v>
      </c>
      <c r="H44" s="317">
        <v>27380</v>
      </c>
      <c r="I44" s="317">
        <v>26440</v>
      </c>
      <c r="J44" s="317">
        <v>25610</v>
      </c>
      <c r="K44" s="317">
        <v>25510</v>
      </c>
      <c r="L44" s="317">
        <v>25210</v>
      </c>
      <c r="M44" s="317">
        <v>26020</v>
      </c>
      <c r="N44" s="317">
        <v>26860</v>
      </c>
      <c r="O44" s="317">
        <v>27780</v>
      </c>
      <c r="P44" s="317">
        <v>28790</v>
      </c>
      <c r="Q44" s="317">
        <v>30040</v>
      </c>
      <c r="R44" s="317">
        <v>30440</v>
      </c>
      <c r="S44" s="317">
        <v>31020</v>
      </c>
      <c r="T44" s="317">
        <v>31870</v>
      </c>
      <c r="U44" s="317">
        <v>32850</v>
      </c>
      <c r="V44" s="317">
        <v>34500</v>
      </c>
      <c r="W44" s="317">
        <v>35760</v>
      </c>
      <c r="X44" s="317">
        <v>37160</v>
      </c>
      <c r="Y44" s="317">
        <v>38610</v>
      </c>
      <c r="Z44" s="317">
        <v>37960</v>
      </c>
      <c r="AA44" s="317">
        <v>37860</v>
      </c>
      <c r="AB44" s="317">
        <v>37450</v>
      </c>
      <c r="AC44" s="317">
        <v>37530</v>
      </c>
      <c r="AD44" s="317">
        <v>37090</v>
      </c>
      <c r="AE44" s="317">
        <v>35870</v>
      </c>
      <c r="AF44" s="317">
        <v>35940</v>
      </c>
      <c r="AG44" s="317">
        <v>35530</v>
      </c>
      <c r="AH44" s="317">
        <v>36250</v>
      </c>
      <c r="AI44" s="317">
        <v>35650</v>
      </c>
      <c r="AJ44" s="317">
        <v>34310</v>
      </c>
      <c r="AK44" s="317">
        <v>34720</v>
      </c>
      <c r="AL44" s="317">
        <v>35400</v>
      </c>
      <c r="AM44" s="317">
        <v>35190</v>
      </c>
      <c r="AN44" s="317">
        <v>35710</v>
      </c>
      <c r="AO44" s="317">
        <v>37020</v>
      </c>
      <c r="AP44" s="317">
        <v>38190</v>
      </c>
      <c r="AQ44" s="317">
        <v>37900</v>
      </c>
      <c r="AR44" s="317">
        <v>37750</v>
      </c>
      <c r="AS44" s="317">
        <v>37210</v>
      </c>
      <c r="AT44" s="317">
        <v>36450</v>
      </c>
      <c r="AU44" s="317">
        <v>36470</v>
      </c>
      <c r="AV44" s="317">
        <v>36560</v>
      </c>
      <c r="AW44" s="317">
        <v>36710</v>
      </c>
      <c r="AX44" s="317">
        <v>36900</v>
      </c>
      <c r="AY44" s="317">
        <v>37100</v>
      </c>
      <c r="AZ44" s="317">
        <v>37300</v>
      </c>
      <c r="BA44" s="317">
        <v>37490</v>
      </c>
      <c r="BB44" s="317">
        <v>37670</v>
      </c>
      <c r="BC44" s="317">
        <v>37820</v>
      </c>
      <c r="BD44" s="317">
        <v>37950</v>
      </c>
      <c r="BE44" s="317">
        <v>38040</v>
      </c>
      <c r="BF44" s="317">
        <v>38100</v>
      </c>
    </row>
    <row r="45" spans="1:58" x14ac:dyDescent="0.2">
      <c r="A45" s="318" t="s">
        <v>43</v>
      </c>
      <c r="B45" s="315"/>
      <c r="C45" s="317">
        <v>29710</v>
      </c>
      <c r="D45" s="317">
        <v>30170</v>
      </c>
      <c r="E45" s="317">
        <v>29800</v>
      </c>
      <c r="F45" s="317">
        <v>30390</v>
      </c>
      <c r="G45" s="317">
        <v>29980</v>
      </c>
      <c r="H45" s="317">
        <v>28560</v>
      </c>
      <c r="I45" s="317">
        <v>27260</v>
      </c>
      <c r="J45" s="317">
        <v>26340</v>
      </c>
      <c r="K45" s="317">
        <v>25560</v>
      </c>
      <c r="L45" s="317">
        <v>25490</v>
      </c>
      <c r="M45" s="317">
        <v>25200</v>
      </c>
      <c r="N45" s="317">
        <v>26000</v>
      </c>
      <c r="O45" s="317">
        <v>26850</v>
      </c>
      <c r="P45" s="317">
        <v>27770</v>
      </c>
      <c r="Q45" s="317">
        <v>28770</v>
      </c>
      <c r="R45" s="317">
        <v>30020</v>
      </c>
      <c r="S45" s="317">
        <v>30430</v>
      </c>
      <c r="T45" s="317">
        <v>31000</v>
      </c>
      <c r="U45" s="317">
        <v>31860</v>
      </c>
      <c r="V45" s="317">
        <v>32830</v>
      </c>
      <c r="W45" s="317">
        <v>34480</v>
      </c>
      <c r="X45" s="317">
        <v>35740</v>
      </c>
      <c r="Y45" s="317">
        <v>37140</v>
      </c>
      <c r="Z45" s="317">
        <v>38590</v>
      </c>
      <c r="AA45" s="317">
        <v>37940</v>
      </c>
      <c r="AB45" s="317">
        <v>37840</v>
      </c>
      <c r="AC45" s="317">
        <v>37430</v>
      </c>
      <c r="AD45" s="317">
        <v>37510</v>
      </c>
      <c r="AE45" s="317">
        <v>37070</v>
      </c>
      <c r="AF45" s="317">
        <v>35850</v>
      </c>
      <c r="AG45" s="317">
        <v>35930</v>
      </c>
      <c r="AH45" s="317">
        <v>35520</v>
      </c>
      <c r="AI45" s="317">
        <v>36230</v>
      </c>
      <c r="AJ45" s="317">
        <v>35630</v>
      </c>
      <c r="AK45" s="317">
        <v>34290</v>
      </c>
      <c r="AL45" s="317">
        <v>34710</v>
      </c>
      <c r="AM45" s="317">
        <v>35380</v>
      </c>
      <c r="AN45" s="317">
        <v>35180</v>
      </c>
      <c r="AO45" s="317">
        <v>35700</v>
      </c>
      <c r="AP45" s="317">
        <v>37010</v>
      </c>
      <c r="AQ45" s="317">
        <v>38180</v>
      </c>
      <c r="AR45" s="317">
        <v>37890</v>
      </c>
      <c r="AS45" s="317">
        <v>37740</v>
      </c>
      <c r="AT45" s="317">
        <v>37200</v>
      </c>
      <c r="AU45" s="317">
        <v>36440</v>
      </c>
      <c r="AV45" s="317">
        <v>36460</v>
      </c>
      <c r="AW45" s="317">
        <v>36550</v>
      </c>
      <c r="AX45" s="317">
        <v>36700</v>
      </c>
      <c r="AY45" s="317">
        <v>36890</v>
      </c>
      <c r="AZ45" s="317">
        <v>37090</v>
      </c>
      <c r="BA45" s="317">
        <v>37290</v>
      </c>
      <c r="BB45" s="317">
        <v>37480</v>
      </c>
      <c r="BC45" s="317">
        <v>37660</v>
      </c>
      <c r="BD45" s="317">
        <v>37810</v>
      </c>
      <c r="BE45" s="317">
        <v>37940</v>
      </c>
      <c r="BF45" s="317">
        <v>38030</v>
      </c>
    </row>
    <row r="46" spans="1:58" x14ac:dyDescent="0.2">
      <c r="A46" s="318" t="s">
        <v>44</v>
      </c>
      <c r="B46" s="315"/>
      <c r="C46" s="317">
        <v>29570</v>
      </c>
      <c r="D46" s="317">
        <v>29830</v>
      </c>
      <c r="E46" s="317">
        <v>30140</v>
      </c>
      <c r="F46" s="317">
        <v>29870</v>
      </c>
      <c r="G46" s="317">
        <v>30370</v>
      </c>
      <c r="H46" s="317">
        <v>29870</v>
      </c>
      <c r="I46" s="317">
        <v>28430</v>
      </c>
      <c r="J46" s="317">
        <v>27150</v>
      </c>
      <c r="K46" s="317">
        <v>26270</v>
      </c>
      <c r="L46" s="317">
        <v>25530</v>
      </c>
      <c r="M46" s="317">
        <v>25460</v>
      </c>
      <c r="N46" s="317">
        <v>25170</v>
      </c>
      <c r="O46" s="317">
        <v>25970</v>
      </c>
      <c r="P46" s="317">
        <v>26820</v>
      </c>
      <c r="Q46" s="317">
        <v>27740</v>
      </c>
      <c r="R46" s="317">
        <v>28740</v>
      </c>
      <c r="S46" s="317">
        <v>29990</v>
      </c>
      <c r="T46" s="317">
        <v>30400</v>
      </c>
      <c r="U46" s="317">
        <v>30970</v>
      </c>
      <c r="V46" s="317">
        <v>31820</v>
      </c>
      <c r="W46" s="317">
        <v>32800</v>
      </c>
      <c r="X46" s="317">
        <v>34450</v>
      </c>
      <c r="Y46" s="317">
        <v>35710</v>
      </c>
      <c r="Z46" s="317">
        <v>37110</v>
      </c>
      <c r="AA46" s="317">
        <v>38550</v>
      </c>
      <c r="AB46" s="317">
        <v>37900</v>
      </c>
      <c r="AC46" s="317">
        <v>37810</v>
      </c>
      <c r="AD46" s="317">
        <v>37400</v>
      </c>
      <c r="AE46" s="317">
        <v>37470</v>
      </c>
      <c r="AF46" s="317">
        <v>37040</v>
      </c>
      <c r="AG46" s="317">
        <v>35820</v>
      </c>
      <c r="AH46" s="317">
        <v>35900</v>
      </c>
      <c r="AI46" s="317">
        <v>35490</v>
      </c>
      <c r="AJ46" s="317">
        <v>36200</v>
      </c>
      <c r="AK46" s="317">
        <v>35600</v>
      </c>
      <c r="AL46" s="317">
        <v>34260</v>
      </c>
      <c r="AM46" s="317">
        <v>34680</v>
      </c>
      <c r="AN46" s="317">
        <v>35360</v>
      </c>
      <c r="AO46" s="317">
        <v>35150</v>
      </c>
      <c r="AP46" s="317">
        <v>35670</v>
      </c>
      <c r="AQ46" s="317">
        <v>36980</v>
      </c>
      <c r="AR46" s="317">
        <v>38150</v>
      </c>
      <c r="AS46" s="317">
        <v>37860</v>
      </c>
      <c r="AT46" s="317">
        <v>37710</v>
      </c>
      <c r="AU46" s="317">
        <v>37170</v>
      </c>
      <c r="AV46" s="317">
        <v>36410</v>
      </c>
      <c r="AW46" s="317">
        <v>36440</v>
      </c>
      <c r="AX46" s="317">
        <v>36530</v>
      </c>
      <c r="AY46" s="317">
        <v>36680</v>
      </c>
      <c r="AZ46" s="317">
        <v>36860</v>
      </c>
      <c r="BA46" s="317">
        <v>37060</v>
      </c>
      <c r="BB46" s="317">
        <v>37260</v>
      </c>
      <c r="BC46" s="317">
        <v>37460</v>
      </c>
      <c r="BD46" s="317">
        <v>37640</v>
      </c>
      <c r="BE46" s="317">
        <v>37790</v>
      </c>
      <c r="BF46" s="317">
        <v>37910</v>
      </c>
    </row>
    <row r="47" spans="1:58" x14ac:dyDescent="0.2">
      <c r="A47" s="318" t="s">
        <v>45</v>
      </c>
      <c r="B47" s="315"/>
      <c r="C47" s="317">
        <v>29920</v>
      </c>
      <c r="D47" s="317">
        <v>29680</v>
      </c>
      <c r="E47" s="317">
        <v>29790</v>
      </c>
      <c r="F47" s="317">
        <v>30190</v>
      </c>
      <c r="G47" s="317">
        <v>29850</v>
      </c>
      <c r="H47" s="317">
        <v>30260</v>
      </c>
      <c r="I47" s="317">
        <v>29730</v>
      </c>
      <c r="J47" s="317">
        <v>28310</v>
      </c>
      <c r="K47" s="317">
        <v>27080</v>
      </c>
      <c r="L47" s="317">
        <v>26230</v>
      </c>
      <c r="M47" s="317">
        <v>25490</v>
      </c>
      <c r="N47" s="317">
        <v>25420</v>
      </c>
      <c r="O47" s="317">
        <v>25130</v>
      </c>
      <c r="P47" s="317">
        <v>25940</v>
      </c>
      <c r="Q47" s="317">
        <v>26780</v>
      </c>
      <c r="R47" s="317">
        <v>27700</v>
      </c>
      <c r="S47" s="317">
        <v>28700</v>
      </c>
      <c r="T47" s="317">
        <v>29950</v>
      </c>
      <c r="U47" s="317">
        <v>30360</v>
      </c>
      <c r="V47" s="317">
        <v>30930</v>
      </c>
      <c r="W47" s="317">
        <v>31780</v>
      </c>
      <c r="X47" s="317">
        <v>32750</v>
      </c>
      <c r="Y47" s="317">
        <v>34400</v>
      </c>
      <c r="Z47" s="317">
        <v>35660</v>
      </c>
      <c r="AA47" s="317">
        <v>37060</v>
      </c>
      <c r="AB47" s="317">
        <v>38510</v>
      </c>
      <c r="AC47" s="317">
        <v>37860</v>
      </c>
      <c r="AD47" s="317">
        <v>37760</v>
      </c>
      <c r="AE47" s="317">
        <v>37360</v>
      </c>
      <c r="AF47" s="317">
        <v>37430</v>
      </c>
      <c r="AG47" s="317">
        <v>37000</v>
      </c>
      <c r="AH47" s="317">
        <v>35780</v>
      </c>
      <c r="AI47" s="317">
        <v>35860</v>
      </c>
      <c r="AJ47" s="317">
        <v>35450</v>
      </c>
      <c r="AK47" s="317">
        <v>36160</v>
      </c>
      <c r="AL47" s="317">
        <v>35570</v>
      </c>
      <c r="AM47" s="317">
        <v>34230</v>
      </c>
      <c r="AN47" s="317">
        <v>34650</v>
      </c>
      <c r="AO47" s="317">
        <v>35320</v>
      </c>
      <c r="AP47" s="317">
        <v>35120</v>
      </c>
      <c r="AQ47" s="317">
        <v>35640</v>
      </c>
      <c r="AR47" s="317">
        <v>36950</v>
      </c>
      <c r="AS47" s="317">
        <v>38120</v>
      </c>
      <c r="AT47" s="317">
        <v>37820</v>
      </c>
      <c r="AU47" s="317">
        <v>37680</v>
      </c>
      <c r="AV47" s="317">
        <v>37140</v>
      </c>
      <c r="AW47" s="317">
        <v>36380</v>
      </c>
      <c r="AX47" s="317">
        <v>36400</v>
      </c>
      <c r="AY47" s="317">
        <v>36500</v>
      </c>
      <c r="AZ47" s="317">
        <v>36640</v>
      </c>
      <c r="BA47" s="317">
        <v>36830</v>
      </c>
      <c r="BB47" s="317">
        <v>37030</v>
      </c>
      <c r="BC47" s="317">
        <v>37230</v>
      </c>
      <c r="BD47" s="317">
        <v>37430</v>
      </c>
      <c r="BE47" s="317">
        <v>37600</v>
      </c>
      <c r="BF47" s="317">
        <v>37760</v>
      </c>
    </row>
    <row r="48" spans="1:58" x14ac:dyDescent="0.2">
      <c r="A48" s="318" t="s">
        <v>46</v>
      </c>
      <c r="B48" s="315"/>
      <c r="C48" s="317">
        <v>30380</v>
      </c>
      <c r="D48" s="317">
        <v>30010</v>
      </c>
      <c r="E48" s="317">
        <v>29680</v>
      </c>
      <c r="F48" s="317">
        <v>29790</v>
      </c>
      <c r="G48" s="317">
        <v>30180</v>
      </c>
      <c r="H48" s="317">
        <v>29740</v>
      </c>
      <c r="I48" s="317">
        <v>30120</v>
      </c>
      <c r="J48" s="317">
        <v>29600</v>
      </c>
      <c r="K48" s="317">
        <v>28230</v>
      </c>
      <c r="L48" s="317">
        <v>27030</v>
      </c>
      <c r="M48" s="317">
        <v>26180</v>
      </c>
      <c r="N48" s="317">
        <v>25440</v>
      </c>
      <c r="O48" s="317">
        <v>25380</v>
      </c>
      <c r="P48" s="317">
        <v>25090</v>
      </c>
      <c r="Q48" s="317">
        <v>25890</v>
      </c>
      <c r="R48" s="317">
        <v>26730</v>
      </c>
      <c r="S48" s="317">
        <v>27650</v>
      </c>
      <c r="T48" s="317">
        <v>28650</v>
      </c>
      <c r="U48" s="317">
        <v>29900</v>
      </c>
      <c r="V48" s="317">
        <v>30310</v>
      </c>
      <c r="W48" s="317">
        <v>30880</v>
      </c>
      <c r="X48" s="317">
        <v>31730</v>
      </c>
      <c r="Y48" s="317">
        <v>32700</v>
      </c>
      <c r="Z48" s="317">
        <v>34350</v>
      </c>
      <c r="AA48" s="317">
        <v>35610</v>
      </c>
      <c r="AB48" s="317">
        <v>37010</v>
      </c>
      <c r="AC48" s="317">
        <v>38450</v>
      </c>
      <c r="AD48" s="317">
        <v>37810</v>
      </c>
      <c r="AE48" s="317">
        <v>37710</v>
      </c>
      <c r="AF48" s="317">
        <v>37310</v>
      </c>
      <c r="AG48" s="317">
        <v>37380</v>
      </c>
      <c r="AH48" s="317">
        <v>36950</v>
      </c>
      <c r="AI48" s="317">
        <v>35730</v>
      </c>
      <c r="AJ48" s="317">
        <v>35810</v>
      </c>
      <c r="AK48" s="317">
        <v>35400</v>
      </c>
      <c r="AL48" s="317">
        <v>36120</v>
      </c>
      <c r="AM48" s="317">
        <v>35520</v>
      </c>
      <c r="AN48" s="317">
        <v>34180</v>
      </c>
      <c r="AO48" s="317">
        <v>34600</v>
      </c>
      <c r="AP48" s="317">
        <v>35280</v>
      </c>
      <c r="AQ48" s="317">
        <v>35070</v>
      </c>
      <c r="AR48" s="317">
        <v>35590</v>
      </c>
      <c r="AS48" s="317">
        <v>36900</v>
      </c>
      <c r="AT48" s="317">
        <v>38070</v>
      </c>
      <c r="AU48" s="317">
        <v>37780</v>
      </c>
      <c r="AV48" s="317">
        <v>37640</v>
      </c>
      <c r="AW48" s="317">
        <v>37090</v>
      </c>
      <c r="AX48" s="317">
        <v>36340</v>
      </c>
      <c r="AY48" s="317">
        <v>36360</v>
      </c>
      <c r="AZ48" s="317">
        <v>36460</v>
      </c>
      <c r="BA48" s="317">
        <v>36600</v>
      </c>
      <c r="BB48" s="317">
        <v>36790</v>
      </c>
      <c r="BC48" s="317">
        <v>36990</v>
      </c>
      <c r="BD48" s="317">
        <v>37190</v>
      </c>
      <c r="BE48" s="317">
        <v>37390</v>
      </c>
      <c r="BF48" s="317">
        <v>37570</v>
      </c>
    </row>
    <row r="49" spans="1:58" x14ac:dyDescent="0.2">
      <c r="A49" s="318" t="s">
        <v>47</v>
      </c>
      <c r="B49" s="315"/>
      <c r="C49" s="317">
        <v>31600</v>
      </c>
      <c r="D49" s="317">
        <v>30440</v>
      </c>
      <c r="E49" s="317">
        <v>30000</v>
      </c>
      <c r="F49" s="317">
        <v>29660</v>
      </c>
      <c r="G49" s="317">
        <v>29760</v>
      </c>
      <c r="H49" s="317">
        <v>30090</v>
      </c>
      <c r="I49" s="317">
        <v>29590</v>
      </c>
      <c r="J49" s="317">
        <v>29980</v>
      </c>
      <c r="K49" s="317">
        <v>29510</v>
      </c>
      <c r="L49" s="317">
        <v>28170</v>
      </c>
      <c r="M49" s="317">
        <v>26970</v>
      </c>
      <c r="N49" s="317">
        <v>26130</v>
      </c>
      <c r="O49" s="317">
        <v>25380</v>
      </c>
      <c r="P49" s="317">
        <v>25320</v>
      </c>
      <c r="Q49" s="317">
        <v>25030</v>
      </c>
      <c r="R49" s="317">
        <v>25830</v>
      </c>
      <c r="S49" s="317">
        <v>26680</v>
      </c>
      <c r="T49" s="317">
        <v>27590</v>
      </c>
      <c r="U49" s="317">
        <v>28600</v>
      </c>
      <c r="V49" s="317">
        <v>29840</v>
      </c>
      <c r="W49" s="317">
        <v>30250</v>
      </c>
      <c r="X49" s="317">
        <v>30820</v>
      </c>
      <c r="Y49" s="317">
        <v>31680</v>
      </c>
      <c r="Z49" s="317">
        <v>32650</v>
      </c>
      <c r="AA49" s="317">
        <v>34290</v>
      </c>
      <c r="AB49" s="317">
        <v>35550</v>
      </c>
      <c r="AC49" s="317">
        <v>36950</v>
      </c>
      <c r="AD49" s="317">
        <v>38390</v>
      </c>
      <c r="AE49" s="317">
        <v>37750</v>
      </c>
      <c r="AF49" s="317">
        <v>37650</v>
      </c>
      <c r="AG49" s="317">
        <v>37250</v>
      </c>
      <c r="AH49" s="317">
        <v>37330</v>
      </c>
      <c r="AI49" s="317">
        <v>36900</v>
      </c>
      <c r="AJ49" s="317">
        <v>35680</v>
      </c>
      <c r="AK49" s="317">
        <v>35760</v>
      </c>
      <c r="AL49" s="317">
        <v>35350</v>
      </c>
      <c r="AM49" s="317">
        <v>36070</v>
      </c>
      <c r="AN49" s="317">
        <v>35470</v>
      </c>
      <c r="AO49" s="317">
        <v>34130</v>
      </c>
      <c r="AP49" s="317">
        <v>34550</v>
      </c>
      <c r="AQ49" s="317">
        <v>35230</v>
      </c>
      <c r="AR49" s="317">
        <v>35020</v>
      </c>
      <c r="AS49" s="317">
        <v>35540</v>
      </c>
      <c r="AT49" s="317">
        <v>36850</v>
      </c>
      <c r="AU49" s="317">
        <v>38020</v>
      </c>
      <c r="AV49" s="317">
        <v>37730</v>
      </c>
      <c r="AW49" s="317">
        <v>37590</v>
      </c>
      <c r="AX49" s="317">
        <v>37050</v>
      </c>
      <c r="AY49" s="317">
        <v>36290</v>
      </c>
      <c r="AZ49" s="317">
        <v>36320</v>
      </c>
      <c r="BA49" s="317">
        <v>36410</v>
      </c>
      <c r="BB49" s="317">
        <v>36560</v>
      </c>
      <c r="BC49" s="317">
        <v>36740</v>
      </c>
      <c r="BD49" s="317">
        <v>36940</v>
      </c>
      <c r="BE49" s="317">
        <v>37150</v>
      </c>
      <c r="BF49" s="317">
        <v>37340</v>
      </c>
    </row>
    <row r="50" spans="1:58" x14ac:dyDescent="0.2">
      <c r="A50" s="318" t="s">
        <v>48</v>
      </c>
      <c r="B50" s="315"/>
      <c r="C50" s="317">
        <v>31940</v>
      </c>
      <c r="D50" s="317">
        <v>31620</v>
      </c>
      <c r="E50" s="317">
        <v>30390</v>
      </c>
      <c r="F50" s="317">
        <v>29960</v>
      </c>
      <c r="G50" s="317">
        <v>29590</v>
      </c>
      <c r="H50" s="317">
        <v>29650</v>
      </c>
      <c r="I50" s="317">
        <v>29930</v>
      </c>
      <c r="J50" s="317">
        <v>29450</v>
      </c>
      <c r="K50" s="317">
        <v>29880</v>
      </c>
      <c r="L50" s="317">
        <v>29440</v>
      </c>
      <c r="M50" s="317">
        <v>28100</v>
      </c>
      <c r="N50" s="317">
        <v>26900</v>
      </c>
      <c r="O50" s="317">
        <v>26060</v>
      </c>
      <c r="P50" s="317">
        <v>25320</v>
      </c>
      <c r="Q50" s="317">
        <v>25260</v>
      </c>
      <c r="R50" s="317">
        <v>24970</v>
      </c>
      <c r="S50" s="317">
        <v>25770</v>
      </c>
      <c r="T50" s="317">
        <v>26610</v>
      </c>
      <c r="U50" s="317">
        <v>27530</v>
      </c>
      <c r="V50" s="317">
        <v>28530</v>
      </c>
      <c r="W50" s="317">
        <v>29780</v>
      </c>
      <c r="X50" s="317">
        <v>30180</v>
      </c>
      <c r="Y50" s="317">
        <v>30750</v>
      </c>
      <c r="Z50" s="317">
        <v>31610</v>
      </c>
      <c r="AA50" s="317">
        <v>32580</v>
      </c>
      <c r="AB50" s="317">
        <v>34220</v>
      </c>
      <c r="AC50" s="317">
        <v>35480</v>
      </c>
      <c r="AD50" s="317">
        <v>36880</v>
      </c>
      <c r="AE50" s="317">
        <v>38320</v>
      </c>
      <c r="AF50" s="317">
        <v>37680</v>
      </c>
      <c r="AG50" s="317">
        <v>37580</v>
      </c>
      <c r="AH50" s="317">
        <v>37180</v>
      </c>
      <c r="AI50" s="317">
        <v>37260</v>
      </c>
      <c r="AJ50" s="317">
        <v>36830</v>
      </c>
      <c r="AK50" s="317">
        <v>35610</v>
      </c>
      <c r="AL50" s="317">
        <v>35690</v>
      </c>
      <c r="AM50" s="317">
        <v>35290</v>
      </c>
      <c r="AN50" s="317">
        <v>36000</v>
      </c>
      <c r="AO50" s="317">
        <v>35410</v>
      </c>
      <c r="AP50" s="317">
        <v>34070</v>
      </c>
      <c r="AQ50" s="317">
        <v>34490</v>
      </c>
      <c r="AR50" s="317">
        <v>35160</v>
      </c>
      <c r="AS50" s="317">
        <v>34960</v>
      </c>
      <c r="AT50" s="317">
        <v>35480</v>
      </c>
      <c r="AU50" s="317">
        <v>36790</v>
      </c>
      <c r="AV50" s="317">
        <v>37960</v>
      </c>
      <c r="AW50" s="317">
        <v>37670</v>
      </c>
      <c r="AX50" s="317">
        <v>37530</v>
      </c>
      <c r="AY50" s="317">
        <v>36990</v>
      </c>
      <c r="AZ50" s="317">
        <v>36230</v>
      </c>
      <c r="BA50" s="317">
        <v>36260</v>
      </c>
      <c r="BB50" s="317">
        <v>36350</v>
      </c>
      <c r="BC50" s="317">
        <v>36500</v>
      </c>
      <c r="BD50" s="317">
        <v>36690</v>
      </c>
      <c r="BE50" s="317">
        <v>36890</v>
      </c>
      <c r="BF50" s="317">
        <v>37090</v>
      </c>
    </row>
    <row r="51" spans="1:58" x14ac:dyDescent="0.2">
      <c r="A51" s="318" t="s">
        <v>49</v>
      </c>
      <c r="B51" s="315"/>
      <c r="C51" s="317">
        <v>32110</v>
      </c>
      <c r="D51" s="317">
        <v>31950</v>
      </c>
      <c r="E51" s="317">
        <v>31520</v>
      </c>
      <c r="F51" s="317">
        <v>30330</v>
      </c>
      <c r="G51" s="317">
        <v>29950</v>
      </c>
      <c r="H51" s="317">
        <v>29450</v>
      </c>
      <c r="I51" s="317">
        <v>29480</v>
      </c>
      <c r="J51" s="317">
        <v>29780</v>
      </c>
      <c r="K51" s="317">
        <v>29330</v>
      </c>
      <c r="L51" s="317">
        <v>29790</v>
      </c>
      <c r="M51" s="317">
        <v>29350</v>
      </c>
      <c r="N51" s="317">
        <v>28010</v>
      </c>
      <c r="O51" s="317">
        <v>26810</v>
      </c>
      <c r="P51" s="317">
        <v>25980</v>
      </c>
      <c r="Q51" s="317">
        <v>25240</v>
      </c>
      <c r="R51" s="317">
        <v>25180</v>
      </c>
      <c r="S51" s="317">
        <v>24890</v>
      </c>
      <c r="T51" s="317">
        <v>25690</v>
      </c>
      <c r="U51" s="317">
        <v>26530</v>
      </c>
      <c r="V51" s="317">
        <v>27450</v>
      </c>
      <c r="W51" s="317">
        <v>28450</v>
      </c>
      <c r="X51" s="317">
        <v>29700</v>
      </c>
      <c r="Y51" s="317">
        <v>30100</v>
      </c>
      <c r="Z51" s="317">
        <v>30670</v>
      </c>
      <c r="AA51" s="317">
        <v>31530</v>
      </c>
      <c r="AB51" s="317">
        <v>32500</v>
      </c>
      <c r="AC51" s="317">
        <v>34140</v>
      </c>
      <c r="AD51" s="317">
        <v>35400</v>
      </c>
      <c r="AE51" s="317">
        <v>36800</v>
      </c>
      <c r="AF51" s="317">
        <v>38240</v>
      </c>
      <c r="AG51" s="317">
        <v>37600</v>
      </c>
      <c r="AH51" s="317">
        <v>37500</v>
      </c>
      <c r="AI51" s="317">
        <v>37100</v>
      </c>
      <c r="AJ51" s="317">
        <v>37180</v>
      </c>
      <c r="AK51" s="317">
        <v>36750</v>
      </c>
      <c r="AL51" s="317">
        <v>35540</v>
      </c>
      <c r="AM51" s="317">
        <v>35620</v>
      </c>
      <c r="AN51" s="317">
        <v>35210</v>
      </c>
      <c r="AO51" s="317">
        <v>35930</v>
      </c>
      <c r="AP51" s="317">
        <v>35330</v>
      </c>
      <c r="AQ51" s="317">
        <v>34000</v>
      </c>
      <c r="AR51" s="317">
        <v>34420</v>
      </c>
      <c r="AS51" s="317">
        <v>35090</v>
      </c>
      <c r="AT51" s="317">
        <v>34890</v>
      </c>
      <c r="AU51" s="317">
        <v>35410</v>
      </c>
      <c r="AV51" s="317">
        <v>36720</v>
      </c>
      <c r="AW51" s="317">
        <v>37890</v>
      </c>
      <c r="AX51" s="317">
        <v>37600</v>
      </c>
      <c r="AY51" s="317">
        <v>37460</v>
      </c>
      <c r="AZ51" s="317">
        <v>36920</v>
      </c>
      <c r="BA51" s="317">
        <v>36160</v>
      </c>
      <c r="BB51" s="317">
        <v>36190</v>
      </c>
      <c r="BC51" s="317">
        <v>36280</v>
      </c>
      <c r="BD51" s="317">
        <v>36430</v>
      </c>
      <c r="BE51" s="317">
        <v>36620</v>
      </c>
      <c r="BF51" s="317">
        <v>36820</v>
      </c>
    </row>
    <row r="52" spans="1:58" x14ac:dyDescent="0.2">
      <c r="A52" s="318" t="s">
        <v>50</v>
      </c>
      <c r="B52" s="315"/>
      <c r="C52" s="317">
        <v>31490</v>
      </c>
      <c r="D52" s="317">
        <v>32090</v>
      </c>
      <c r="E52" s="317">
        <v>31870</v>
      </c>
      <c r="F52" s="317">
        <v>31460</v>
      </c>
      <c r="G52" s="317">
        <v>30270</v>
      </c>
      <c r="H52" s="317">
        <v>29830</v>
      </c>
      <c r="I52" s="317">
        <v>29270</v>
      </c>
      <c r="J52" s="317">
        <v>29310</v>
      </c>
      <c r="K52" s="317">
        <v>29650</v>
      </c>
      <c r="L52" s="317">
        <v>29230</v>
      </c>
      <c r="M52" s="317">
        <v>29690</v>
      </c>
      <c r="N52" s="317">
        <v>29250</v>
      </c>
      <c r="O52" s="317">
        <v>27910</v>
      </c>
      <c r="P52" s="317">
        <v>26720</v>
      </c>
      <c r="Q52" s="317">
        <v>25890</v>
      </c>
      <c r="R52" s="317">
        <v>25150</v>
      </c>
      <c r="S52" s="317">
        <v>25090</v>
      </c>
      <c r="T52" s="317">
        <v>24800</v>
      </c>
      <c r="U52" s="317">
        <v>25600</v>
      </c>
      <c r="V52" s="317">
        <v>26440</v>
      </c>
      <c r="W52" s="317">
        <v>27360</v>
      </c>
      <c r="X52" s="317">
        <v>28360</v>
      </c>
      <c r="Y52" s="317">
        <v>29610</v>
      </c>
      <c r="Z52" s="317">
        <v>30010</v>
      </c>
      <c r="AA52" s="317">
        <v>30580</v>
      </c>
      <c r="AB52" s="317">
        <v>31440</v>
      </c>
      <c r="AC52" s="317">
        <v>32410</v>
      </c>
      <c r="AD52" s="317">
        <v>34050</v>
      </c>
      <c r="AE52" s="317">
        <v>35310</v>
      </c>
      <c r="AF52" s="317">
        <v>36710</v>
      </c>
      <c r="AG52" s="317">
        <v>38150</v>
      </c>
      <c r="AH52" s="317">
        <v>37500</v>
      </c>
      <c r="AI52" s="317">
        <v>37410</v>
      </c>
      <c r="AJ52" s="317">
        <v>37010</v>
      </c>
      <c r="AK52" s="317">
        <v>37090</v>
      </c>
      <c r="AL52" s="317">
        <v>36660</v>
      </c>
      <c r="AM52" s="317">
        <v>35450</v>
      </c>
      <c r="AN52" s="317">
        <v>35530</v>
      </c>
      <c r="AO52" s="317">
        <v>35130</v>
      </c>
      <c r="AP52" s="317">
        <v>35840</v>
      </c>
      <c r="AQ52" s="317">
        <v>35250</v>
      </c>
      <c r="AR52" s="317">
        <v>33920</v>
      </c>
      <c r="AS52" s="317">
        <v>34340</v>
      </c>
      <c r="AT52" s="317">
        <v>35010</v>
      </c>
      <c r="AU52" s="317">
        <v>34810</v>
      </c>
      <c r="AV52" s="317">
        <v>35330</v>
      </c>
      <c r="AW52" s="317">
        <v>36640</v>
      </c>
      <c r="AX52" s="317">
        <v>37810</v>
      </c>
      <c r="AY52" s="317">
        <v>37520</v>
      </c>
      <c r="AZ52" s="317">
        <v>37380</v>
      </c>
      <c r="BA52" s="317">
        <v>36840</v>
      </c>
      <c r="BB52" s="317">
        <v>36090</v>
      </c>
      <c r="BC52" s="317">
        <v>36110</v>
      </c>
      <c r="BD52" s="317">
        <v>36210</v>
      </c>
      <c r="BE52" s="317">
        <v>36350</v>
      </c>
      <c r="BF52" s="317">
        <v>36540</v>
      </c>
    </row>
    <row r="53" spans="1:58" x14ac:dyDescent="0.2">
      <c r="A53" s="318" t="s">
        <v>51</v>
      </c>
      <c r="B53" s="315"/>
      <c r="C53" s="317">
        <v>30540</v>
      </c>
      <c r="D53" s="317">
        <v>31410</v>
      </c>
      <c r="E53" s="317">
        <v>31980</v>
      </c>
      <c r="F53" s="317">
        <v>31810</v>
      </c>
      <c r="G53" s="317">
        <v>31340</v>
      </c>
      <c r="H53" s="317">
        <v>30130</v>
      </c>
      <c r="I53" s="317">
        <v>29640</v>
      </c>
      <c r="J53" s="317">
        <v>29100</v>
      </c>
      <c r="K53" s="317">
        <v>29180</v>
      </c>
      <c r="L53" s="317">
        <v>29540</v>
      </c>
      <c r="M53" s="317">
        <v>29120</v>
      </c>
      <c r="N53" s="317">
        <v>29580</v>
      </c>
      <c r="O53" s="317">
        <v>29140</v>
      </c>
      <c r="P53" s="317">
        <v>27810</v>
      </c>
      <c r="Q53" s="317">
        <v>26610</v>
      </c>
      <c r="R53" s="317">
        <v>25780</v>
      </c>
      <c r="S53" s="317">
        <v>25050</v>
      </c>
      <c r="T53" s="317">
        <v>24990</v>
      </c>
      <c r="U53" s="317">
        <v>24700</v>
      </c>
      <c r="V53" s="317">
        <v>25500</v>
      </c>
      <c r="W53" s="317">
        <v>26340</v>
      </c>
      <c r="X53" s="317">
        <v>27260</v>
      </c>
      <c r="Y53" s="317">
        <v>28260</v>
      </c>
      <c r="Z53" s="317">
        <v>29500</v>
      </c>
      <c r="AA53" s="317">
        <v>29910</v>
      </c>
      <c r="AB53" s="317">
        <v>30480</v>
      </c>
      <c r="AC53" s="317">
        <v>31340</v>
      </c>
      <c r="AD53" s="317">
        <v>32310</v>
      </c>
      <c r="AE53" s="317">
        <v>33950</v>
      </c>
      <c r="AF53" s="317">
        <v>35210</v>
      </c>
      <c r="AG53" s="317">
        <v>36600</v>
      </c>
      <c r="AH53" s="317">
        <v>38040</v>
      </c>
      <c r="AI53" s="317">
        <v>37400</v>
      </c>
      <c r="AJ53" s="317">
        <v>37310</v>
      </c>
      <c r="AK53" s="317">
        <v>36910</v>
      </c>
      <c r="AL53" s="317">
        <v>36990</v>
      </c>
      <c r="AM53" s="317">
        <v>36560</v>
      </c>
      <c r="AN53" s="317">
        <v>35350</v>
      </c>
      <c r="AO53" s="317">
        <v>35440</v>
      </c>
      <c r="AP53" s="317">
        <v>35030</v>
      </c>
      <c r="AQ53" s="317">
        <v>35750</v>
      </c>
      <c r="AR53" s="317">
        <v>35150</v>
      </c>
      <c r="AS53" s="317">
        <v>33830</v>
      </c>
      <c r="AT53" s="317">
        <v>34250</v>
      </c>
      <c r="AU53" s="317">
        <v>34920</v>
      </c>
      <c r="AV53" s="317">
        <v>34720</v>
      </c>
      <c r="AW53" s="317">
        <v>35240</v>
      </c>
      <c r="AX53" s="317">
        <v>36550</v>
      </c>
      <c r="AY53" s="317">
        <v>37710</v>
      </c>
      <c r="AZ53" s="317">
        <v>37430</v>
      </c>
      <c r="BA53" s="317">
        <v>37290</v>
      </c>
      <c r="BB53" s="317">
        <v>36750</v>
      </c>
      <c r="BC53" s="317">
        <v>36000</v>
      </c>
      <c r="BD53" s="317">
        <v>36020</v>
      </c>
      <c r="BE53" s="317">
        <v>36120</v>
      </c>
      <c r="BF53" s="317">
        <v>36270</v>
      </c>
    </row>
    <row r="54" spans="1:58" x14ac:dyDescent="0.2">
      <c r="A54" s="318" t="s">
        <v>52</v>
      </c>
      <c r="B54" s="315"/>
      <c r="C54" s="317">
        <v>30080</v>
      </c>
      <c r="D54" s="317">
        <v>30450</v>
      </c>
      <c r="E54" s="317">
        <v>31300</v>
      </c>
      <c r="F54" s="317">
        <v>31860</v>
      </c>
      <c r="G54" s="317">
        <v>31670</v>
      </c>
      <c r="H54" s="317">
        <v>31180</v>
      </c>
      <c r="I54" s="317">
        <v>29940</v>
      </c>
      <c r="J54" s="317">
        <v>29460</v>
      </c>
      <c r="K54" s="317">
        <v>28950</v>
      </c>
      <c r="L54" s="317">
        <v>29050</v>
      </c>
      <c r="M54" s="317">
        <v>29410</v>
      </c>
      <c r="N54" s="317">
        <v>28990</v>
      </c>
      <c r="O54" s="317">
        <v>29450</v>
      </c>
      <c r="P54" s="317">
        <v>29020</v>
      </c>
      <c r="Q54" s="317">
        <v>27690</v>
      </c>
      <c r="R54" s="317">
        <v>26500</v>
      </c>
      <c r="S54" s="317">
        <v>25670</v>
      </c>
      <c r="T54" s="317">
        <v>24930</v>
      </c>
      <c r="U54" s="317">
        <v>24880</v>
      </c>
      <c r="V54" s="317">
        <v>24590</v>
      </c>
      <c r="W54" s="317">
        <v>25390</v>
      </c>
      <c r="X54" s="317">
        <v>26230</v>
      </c>
      <c r="Y54" s="317">
        <v>27150</v>
      </c>
      <c r="Z54" s="317">
        <v>28150</v>
      </c>
      <c r="AA54" s="317">
        <v>29390</v>
      </c>
      <c r="AB54" s="317">
        <v>29800</v>
      </c>
      <c r="AC54" s="317">
        <v>30370</v>
      </c>
      <c r="AD54" s="317">
        <v>31230</v>
      </c>
      <c r="AE54" s="317">
        <v>32200</v>
      </c>
      <c r="AF54" s="317">
        <v>33840</v>
      </c>
      <c r="AG54" s="317">
        <v>35090</v>
      </c>
      <c r="AH54" s="317">
        <v>36490</v>
      </c>
      <c r="AI54" s="317">
        <v>37930</v>
      </c>
      <c r="AJ54" s="317">
        <v>37290</v>
      </c>
      <c r="AK54" s="317">
        <v>37200</v>
      </c>
      <c r="AL54" s="317">
        <v>36800</v>
      </c>
      <c r="AM54" s="317">
        <v>36880</v>
      </c>
      <c r="AN54" s="317">
        <v>36460</v>
      </c>
      <c r="AO54" s="317">
        <v>35250</v>
      </c>
      <c r="AP54" s="317">
        <v>35330</v>
      </c>
      <c r="AQ54" s="317">
        <v>34930</v>
      </c>
      <c r="AR54" s="317">
        <v>35640</v>
      </c>
      <c r="AS54" s="317">
        <v>35050</v>
      </c>
      <c r="AT54" s="317">
        <v>33720</v>
      </c>
      <c r="AU54" s="317">
        <v>34150</v>
      </c>
      <c r="AV54" s="317">
        <v>34820</v>
      </c>
      <c r="AW54" s="317">
        <v>34620</v>
      </c>
      <c r="AX54" s="317">
        <v>35140</v>
      </c>
      <c r="AY54" s="317">
        <v>36450</v>
      </c>
      <c r="AZ54" s="317">
        <v>37610</v>
      </c>
      <c r="BA54" s="317">
        <v>37330</v>
      </c>
      <c r="BB54" s="317">
        <v>37190</v>
      </c>
      <c r="BC54" s="317">
        <v>36650</v>
      </c>
      <c r="BD54" s="317">
        <v>35900</v>
      </c>
      <c r="BE54" s="317">
        <v>35930</v>
      </c>
      <c r="BF54" s="317">
        <v>36020</v>
      </c>
    </row>
    <row r="55" spans="1:58" x14ac:dyDescent="0.2">
      <c r="A55" s="318" t="s">
        <v>53</v>
      </c>
      <c r="B55" s="315"/>
      <c r="C55" s="317">
        <v>28610</v>
      </c>
      <c r="D55" s="317">
        <v>29990</v>
      </c>
      <c r="E55" s="317">
        <v>30290</v>
      </c>
      <c r="F55" s="317">
        <v>31230</v>
      </c>
      <c r="G55" s="317">
        <v>31740</v>
      </c>
      <c r="H55" s="317">
        <v>31450</v>
      </c>
      <c r="I55" s="317">
        <v>30970</v>
      </c>
      <c r="J55" s="317">
        <v>29740</v>
      </c>
      <c r="K55" s="317">
        <v>29300</v>
      </c>
      <c r="L55" s="317">
        <v>28820</v>
      </c>
      <c r="M55" s="317">
        <v>28920</v>
      </c>
      <c r="N55" s="317">
        <v>29280</v>
      </c>
      <c r="O55" s="317">
        <v>28860</v>
      </c>
      <c r="P55" s="317">
        <v>29320</v>
      </c>
      <c r="Q55" s="317">
        <v>28890</v>
      </c>
      <c r="R55" s="317">
        <v>27560</v>
      </c>
      <c r="S55" s="317">
        <v>26380</v>
      </c>
      <c r="T55" s="317">
        <v>25550</v>
      </c>
      <c r="U55" s="317">
        <v>24820</v>
      </c>
      <c r="V55" s="317">
        <v>24760</v>
      </c>
      <c r="W55" s="317">
        <v>24480</v>
      </c>
      <c r="X55" s="317">
        <v>25280</v>
      </c>
      <c r="Y55" s="317">
        <v>26120</v>
      </c>
      <c r="Z55" s="317">
        <v>27030</v>
      </c>
      <c r="AA55" s="317">
        <v>28030</v>
      </c>
      <c r="AB55" s="317">
        <v>29280</v>
      </c>
      <c r="AC55" s="317">
        <v>29680</v>
      </c>
      <c r="AD55" s="317">
        <v>30250</v>
      </c>
      <c r="AE55" s="317">
        <v>31110</v>
      </c>
      <c r="AF55" s="317">
        <v>32080</v>
      </c>
      <c r="AG55" s="317">
        <v>33720</v>
      </c>
      <c r="AH55" s="317">
        <v>34970</v>
      </c>
      <c r="AI55" s="317">
        <v>36370</v>
      </c>
      <c r="AJ55" s="317">
        <v>37810</v>
      </c>
      <c r="AK55" s="317">
        <v>37170</v>
      </c>
      <c r="AL55" s="317">
        <v>37080</v>
      </c>
      <c r="AM55" s="317">
        <v>36690</v>
      </c>
      <c r="AN55" s="317">
        <v>36770</v>
      </c>
      <c r="AO55" s="317">
        <v>36340</v>
      </c>
      <c r="AP55" s="317">
        <v>35130</v>
      </c>
      <c r="AQ55" s="317">
        <v>35220</v>
      </c>
      <c r="AR55" s="317">
        <v>34820</v>
      </c>
      <c r="AS55" s="317">
        <v>35530</v>
      </c>
      <c r="AT55" s="317">
        <v>34940</v>
      </c>
      <c r="AU55" s="317">
        <v>33620</v>
      </c>
      <c r="AV55" s="317">
        <v>34040</v>
      </c>
      <c r="AW55" s="317">
        <v>34710</v>
      </c>
      <c r="AX55" s="317">
        <v>34510</v>
      </c>
      <c r="AY55" s="317">
        <v>35030</v>
      </c>
      <c r="AZ55" s="317">
        <v>36340</v>
      </c>
      <c r="BA55" s="317">
        <v>37510</v>
      </c>
      <c r="BB55" s="317">
        <v>37220</v>
      </c>
      <c r="BC55" s="317">
        <v>37080</v>
      </c>
      <c r="BD55" s="317">
        <v>36550</v>
      </c>
      <c r="BE55" s="317">
        <v>35800</v>
      </c>
      <c r="BF55" s="317">
        <v>35820</v>
      </c>
    </row>
    <row r="56" spans="1:58" x14ac:dyDescent="0.2">
      <c r="A56" s="318" t="s">
        <v>54</v>
      </c>
      <c r="B56" s="315"/>
      <c r="C56" s="317">
        <v>28400</v>
      </c>
      <c r="D56" s="317">
        <v>28500</v>
      </c>
      <c r="E56" s="317">
        <v>29810</v>
      </c>
      <c r="F56" s="317">
        <v>30190</v>
      </c>
      <c r="G56" s="317">
        <v>31120</v>
      </c>
      <c r="H56" s="317">
        <v>31550</v>
      </c>
      <c r="I56" s="317">
        <v>31240</v>
      </c>
      <c r="J56" s="317">
        <v>30770</v>
      </c>
      <c r="K56" s="317">
        <v>29580</v>
      </c>
      <c r="L56" s="317">
        <v>29160</v>
      </c>
      <c r="M56" s="317">
        <v>28680</v>
      </c>
      <c r="N56" s="317">
        <v>28780</v>
      </c>
      <c r="O56" s="317">
        <v>29140</v>
      </c>
      <c r="P56" s="317">
        <v>28720</v>
      </c>
      <c r="Q56" s="317">
        <v>29180</v>
      </c>
      <c r="R56" s="317">
        <v>28750</v>
      </c>
      <c r="S56" s="317">
        <v>27430</v>
      </c>
      <c r="T56" s="317">
        <v>26250</v>
      </c>
      <c r="U56" s="317">
        <v>25420</v>
      </c>
      <c r="V56" s="317">
        <v>24690</v>
      </c>
      <c r="W56" s="317">
        <v>24640</v>
      </c>
      <c r="X56" s="317">
        <v>24360</v>
      </c>
      <c r="Y56" s="317">
        <v>25160</v>
      </c>
      <c r="Z56" s="317">
        <v>26000</v>
      </c>
      <c r="AA56" s="317">
        <v>26910</v>
      </c>
      <c r="AB56" s="317">
        <v>27910</v>
      </c>
      <c r="AC56" s="317">
        <v>29150</v>
      </c>
      <c r="AD56" s="317">
        <v>29560</v>
      </c>
      <c r="AE56" s="317">
        <v>30130</v>
      </c>
      <c r="AF56" s="317">
        <v>30990</v>
      </c>
      <c r="AG56" s="317">
        <v>31960</v>
      </c>
      <c r="AH56" s="317">
        <v>33600</v>
      </c>
      <c r="AI56" s="317">
        <v>34850</v>
      </c>
      <c r="AJ56" s="317">
        <v>36250</v>
      </c>
      <c r="AK56" s="317">
        <v>37680</v>
      </c>
      <c r="AL56" s="317">
        <v>37050</v>
      </c>
      <c r="AM56" s="317">
        <v>36960</v>
      </c>
      <c r="AN56" s="317">
        <v>36570</v>
      </c>
      <c r="AO56" s="317">
        <v>36650</v>
      </c>
      <c r="AP56" s="317">
        <v>36220</v>
      </c>
      <c r="AQ56" s="317">
        <v>35020</v>
      </c>
      <c r="AR56" s="317">
        <v>35100</v>
      </c>
      <c r="AS56" s="317">
        <v>34700</v>
      </c>
      <c r="AT56" s="317">
        <v>35420</v>
      </c>
      <c r="AU56" s="317">
        <v>34830</v>
      </c>
      <c r="AV56" s="317">
        <v>33510</v>
      </c>
      <c r="AW56" s="317">
        <v>33930</v>
      </c>
      <c r="AX56" s="317">
        <v>34600</v>
      </c>
      <c r="AY56" s="317">
        <v>34400</v>
      </c>
      <c r="AZ56" s="317">
        <v>34920</v>
      </c>
      <c r="BA56" s="317">
        <v>36230</v>
      </c>
      <c r="BB56" s="317">
        <v>37400</v>
      </c>
      <c r="BC56" s="317">
        <v>37110</v>
      </c>
      <c r="BD56" s="317">
        <v>36970</v>
      </c>
      <c r="BE56" s="317">
        <v>36440</v>
      </c>
      <c r="BF56" s="317">
        <v>35690</v>
      </c>
    </row>
    <row r="57" spans="1:58" x14ac:dyDescent="0.2">
      <c r="A57" s="318" t="s">
        <v>55</v>
      </c>
      <c r="B57" s="315"/>
      <c r="C57" s="317">
        <v>27750</v>
      </c>
      <c r="D57" s="317">
        <v>28290</v>
      </c>
      <c r="E57" s="317">
        <v>28330</v>
      </c>
      <c r="F57" s="317">
        <v>29660</v>
      </c>
      <c r="G57" s="317">
        <v>30040</v>
      </c>
      <c r="H57" s="317">
        <v>30930</v>
      </c>
      <c r="I57" s="317">
        <v>31330</v>
      </c>
      <c r="J57" s="317">
        <v>31030</v>
      </c>
      <c r="K57" s="317">
        <v>30600</v>
      </c>
      <c r="L57" s="317">
        <v>29430</v>
      </c>
      <c r="M57" s="317">
        <v>29010</v>
      </c>
      <c r="N57" s="317">
        <v>28530</v>
      </c>
      <c r="O57" s="317">
        <v>28630</v>
      </c>
      <c r="P57" s="317">
        <v>29000</v>
      </c>
      <c r="Q57" s="317">
        <v>28580</v>
      </c>
      <c r="R57" s="317">
        <v>29040</v>
      </c>
      <c r="S57" s="317">
        <v>28610</v>
      </c>
      <c r="T57" s="317">
        <v>27300</v>
      </c>
      <c r="U57" s="317">
        <v>26120</v>
      </c>
      <c r="V57" s="317">
        <v>25300</v>
      </c>
      <c r="W57" s="317">
        <v>24570</v>
      </c>
      <c r="X57" s="317">
        <v>24510</v>
      </c>
      <c r="Y57" s="317">
        <v>24230</v>
      </c>
      <c r="Z57" s="317">
        <v>25030</v>
      </c>
      <c r="AA57" s="317">
        <v>25870</v>
      </c>
      <c r="AB57" s="317">
        <v>26790</v>
      </c>
      <c r="AC57" s="317">
        <v>27790</v>
      </c>
      <c r="AD57" s="317">
        <v>29030</v>
      </c>
      <c r="AE57" s="317">
        <v>29440</v>
      </c>
      <c r="AF57" s="317">
        <v>30010</v>
      </c>
      <c r="AG57" s="317">
        <v>30860</v>
      </c>
      <c r="AH57" s="317">
        <v>31830</v>
      </c>
      <c r="AI57" s="317">
        <v>33470</v>
      </c>
      <c r="AJ57" s="317">
        <v>34720</v>
      </c>
      <c r="AK57" s="317">
        <v>36120</v>
      </c>
      <c r="AL57" s="317">
        <v>37550</v>
      </c>
      <c r="AM57" s="317">
        <v>36920</v>
      </c>
      <c r="AN57" s="317">
        <v>36830</v>
      </c>
      <c r="AO57" s="317">
        <v>36440</v>
      </c>
      <c r="AP57" s="317">
        <v>36520</v>
      </c>
      <c r="AQ57" s="317">
        <v>36100</v>
      </c>
      <c r="AR57" s="317">
        <v>34900</v>
      </c>
      <c r="AS57" s="317">
        <v>34980</v>
      </c>
      <c r="AT57" s="317">
        <v>34580</v>
      </c>
      <c r="AU57" s="317">
        <v>35300</v>
      </c>
      <c r="AV57" s="317">
        <v>34710</v>
      </c>
      <c r="AW57" s="317">
        <v>33390</v>
      </c>
      <c r="AX57" s="317">
        <v>33810</v>
      </c>
      <c r="AY57" s="317">
        <v>34490</v>
      </c>
      <c r="AZ57" s="317">
        <v>34290</v>
      </c>
      <c r="BA57" s="317">
        <v>34810</v>
      </c>
      <c r="BB57" s="317">
        <v>36120</v>
      </c>
      <c r="BC57" s="317">
        <v>37280</v>
      </c>
      <c r="BD57" s="317">
        <v>37000</v>
      </c>
      <c r="BE57" s="317">
        <v>36860</v>
      </c>
      <c r="BF57" s="317">
        <v>36330</v>
      </c>
    </row>
    <row r="58" spans="1:58" x14ac:dyDescent="0.2">
      <c r="A58" s="318" t="s">
        <v>56</v>
      </c>
      <c r="B58" s="315"/>
      <c r="C58" s="317">
        <v>26550</v>
      </c>
      <c r="D58" s="317">
        <v>27640</v>
      </c>
      <c r="E58" s="317">
        <v>28150</v>
      </c>
      <c r="F58" s="317">
        <v>28180</v>
      </c>
      <c r="G58" s="317">
        <v>29530</v>
      </c>
      <c r="H58" s="317">
        <v>29840</v>
      </c>
      <c r="I58" s="317">
        <v>30710</v>
      </c>
      <c r="J58" s="317">
        <v>31130</v>
      </c>
      <c r="K58" s="317">
        <v>30850</v>
      </c>
      <c r="L58" s="317">
        <v>30440</v>
      </c>
      <c r="M58" s="317">
        <v>29270</v>
      </c>
      <c r="N58" s="317">
        <v>28860</v>
      </c>
      <c r="O58" s="317">
        <v>28380</v>
      </c>
      <c r="P58" s="317">
        <v>28480</v>
      </c>
      <c r="Q58" s="317">
        <v>28850</v>
      </c>
      <c r="R58" s="317">
        <v>28440</v>
      </c>
      <c r="S58" s="317">
        <v>28900</v>
      </c>
      <c r="T58" s="317">
        <v>28470</v>
      </c>
      <c r="U58" s="317">
        <v>27160</v>
      </c>
      <c r="V58" s="317">
        <v>25980</v>
      </c>
      <c r="W58" s="317">
        <v>25160</v>
      </c>
      <c r="X58" s="317">
        <v>24440</v>
      </c>
      <c r="Y58" s="317">
        <v>24390</v>
      </c>
      <c r="Z58" s="317">
        <v>24110</v>
      </c>
      <c r="AA58" s="317">
        <v>24910</v>
      </c>
      <c r="AB58" s="317">
        <v>25750</v>
      </c>
      <c r="AC58" s="317">
        <v>26660</v>
      </c>
      <c r="AD58" s="317">
        <v>27660</v>
      </c>
      <c r="AE58" s="317">
        <v>28900</v>
      </c>
      <c r="AF58" s="317">
        <v>29310</v>
      </c>
      <c r="AG58" s="317">
        <v>29880</v>
      </c>
      <c r="AH58" s="317">
        <v>30740</v>
      </c>
      <c r="AI58" s="317">
        <v>31700</v>
      </c>
      <c r="AJ58" s="317">
        <v>33340</v>
      </c>
      <c r="AK58" s="317">
        <v>34590</v>
      </c>
      <c r="AL58" s="317">
        <v>35990</v>
      </c>
      <c r="AM58" s="317">
        <v>37420</v>
      </c>
      <c r="AN58" s="317">
        <v>36790</v>
      </c>
      <c r="AO58" s="317">
        <v>36710</v>
      </c>
      <c r="AP58" s="317">
        <v>36320</v>
      </c>
      <c r="AQ58" s="317">
        <v>36400</v>
      </c>
      <c r="AR58" s="317">
        <v>35980</v>
      </c>
      <c r="AS58" s="317">
        <v>34780</v>
      </c>
      <c r="AT58" s="317">
        <v>34860</v>
      </c>
      <c r="AU58" s="317">
        <v>34470</v>
      </c>
      <c r="AV58" s="317">
        <v>35180</v>
      </c>
      <c r="AW58" s="317">
        <v>34600</v>
      </c>
      <c r="AX58" s="317">
        <v>33280</v>
      </c>
      <c r="AY58" s="317">
        <v>33700</v>
      </c>
      <c r="AZ58" s="317">
        <v>34370</v>
      </c>
      <c r="BA58" s="317">
        <v>34180</v>
      </c>
      <c r="BB58" s="317">
        <v>34700</v>
      </c>
      <c r="BC58" s="317">
        <v>36000</v>
      </c>
      <c r="BD58" s="317">
        <v>37170</v>
      </c>
      <c r="BE58" s="317">
        <v>36890</v>
      </c>
      <c r="BF58" s="317">
        <v>36750</v>
      </c>
    </row>
    <row r="59" spans="1:58" x14ac:dyDescent="0.2">
      <c r="A59" s="318" t="s">
        <v>57</v>
      </c>
      <c r="B59" s="315"/>
      <c r="C59" s="317">
        <v>25810</v>
      </c>
      <c r="D59" s="317">
        <v>26420</v>
      </c>
      <c r="E59" s="317">
        <v>27430</v>
      </c>
      <c r="F59" s="317">
        <v>27960</v>
      </c>
      <c r="G59" s="317">
        <v>28050</v>
      </c>
      <c r="H59" s="317">
        <v>29330</v>
      </c>
      <c r="I59" s="317">
        <v>29620</v>
      </c>
      <c r="J59" s="317">
        <v>30500</v>
      </c>
      <c r="K59" s="317">
        <v>30940</v>
      </c>
      <c r="L59" s="317">
        <v>30690</v>
      </c>
      <c r="M59" s="317">
        <v>30280</v>
      </c>
      <c r="N59" s="317">
        <v>29120</v>
      </c>
      <c r="O59" s="317">
        <v>28700</v>
      </c>
      <c r="P59" s="317">
        <v>28230</v>
      </c>
      <c r="Q59" s="317">
        <v>28340</v>
      </c>
      <c r="R59" s="317">
        <v>28700</v>
      </c>
      <c r="S59" s="317">
        <v>28290</v>
      </c>
      <c r="T59" s="317">
        <v>28760</v>
      </c>
      <c r="U59" s="317">
        <v>28330</v>
      </c>
      <c r="V59" s="317">
        <v>27020</v>
      </c>
      <c r="W59" s="317">
        <v>25850</v>
      </c>
      <c r="X59" s="317">
        <v>25030</v>
      </c>
      <c r="Y59" s="317">
        <v>24310</v>
      </c>
      <c r="Z59" s="317">
        <v>24260</v>
      </c>
      <c r="AA59" s="317">
        <v>23980</v>
      </c>
      <c r="AB59" s="317">
        <v>24780</v>
      </c>
      <c r="AC59" s="317">
        <v>25620</v>
      </c>
      <c r="AD59" s="317">
        <v>26530</v>
      </c>
      <c r="AE59" s="317">
        <v>27530</v>
      </c>
      <c r="AF59" s="317">
        <v>28770</v>
      </c>
      <c r="AG59" s="317">
        <v>29180</v>
      </c>
      <c r="AH59" s="317">
        <v>29750</v>
      </c>
      <c r="AI59" s="317">
        <v>30610</v>
      </c>
      <c r="AJ59" s="317">
        <v>31580</v>
      </c>
      <c r="AK59" s="317">
        <v>33210</v>
      </c>
      <c r="AL59" s="317">
        <v>34470</v>
      </c>
      <c r="AM59" s="317">
        <v>35860</v>
      </c>
      <c r="AN59" s="317">
        <v>37290</v>
      </c>
      <c r="AO59" s="317">
        <v>36660</v>
      </c>
      <c r="AP59" s="317">
        <v>36580</v>
      </c>
      <c r="AQ59" s="317">
        <v>36190</v>
      </c>
      <c r="AR59" s="317">
        <v>36270</v>
      </c>
      <c r="AS59" s="317">
        <v>35860</v>
      </c>
      <c r="AT59" s="317">
        <v>34660</v>
      </c>
      <c r="AU59" s="317">
        <v>34740</v>
      </c>
      <c r="AV59" s="317">
        <v>34350</v>
      </c>
      <c r="AW59" s="317">
        <v>35060</v>
      </c>
      <c r="AX59" s="317">
        <v>34480</v>
      </c>
      <c r="AY59" s="317">
        <v>33160</v>
      </c>
      <c r="AZ59" s="317">
        <v>33590</v>
      </c>
      <c r="BA59" s="317">
        <v>34260</v>
      </c>
      <c r="BB59" s="317">
        <v>34070</v>
      </c>
      <c r="BC59" s="317">
        <v>34590</v>
      </c>
      <c r="BD59" s="317">
        <v>35890</v>
      </c>
      <c r="BE59" s="317">
        <v>37060</v>
      </c>
      <c r="BF59" s="317">
        <v>36780</v>
      </c>
    </row>
    <row r="60" spans="1:58" x14ac:dyDescent="0.2">
      <c r="A60" s="318" t="s">
        <v>58</v>
      </c>
      <c r="B60" s="315"/>
      <c r="C60" s="317">
        <v>25070</v>
      </c>
      <c r="D60" s="317">
        <v>25640</v>
      </c>
      <c r="E60" s="317">
        <v>26210</v>
      </c>
      <c r="F60" s="317">
        <v>27300</v>
      </c>
      <c r="G60" s="317">
        <v>27840</v>
      </c>
      <c r="H60" s="317">
        <v>27840</v>
      </c>
      <c r="I60" s="317">
        <v>29120</v>
      </c>
      <c r="J60" s="317">
        <v>29420</v>
      </c>
      <c r="K60" s="317">
        <v>30320</v>
      </c>
      <c r="L60" s="317">
        <v>30780</v>
      </c>
      <c r="M60" s="317">
        <v>30530</v>
      </c>
      <c r="N60" s="317">
        <v>30120</v>
      </c>
      <c r="O60" s="317">
        <v>28970</v>
      </c>
      <c r="P60" s="317">
        <v>28560</v>
      </c>
      <c r="Q60" s="317">
        <v>28090</v>
      </c>
      <c r="R60" s="317">
        <v>28190</v>
      </c>
      <c r="S60" s="317">
        <v>28560</v>
      </c>
      <c r="T60" s="317">
        <v>28150</v>
      </c>
      <c r="U60" s="317">
        <v>28620</v>
      </c>
      <c r="V60" s="317">
        <v>28200</v>
      </c>
      <c r="W60" s="317">
        <v>26890</v>
      </c>
      <c r="X60" s="317">
        <v>25720</v>
      </c>
      <c r="Y60" s="317">
        <v>24910</v>
      </c>
      <c r="Z60" s="317">
        <v>24190</v>
      </c>
      <c r="AA60" s="317">
        <v>24140</v>
      </c>
      <c r="AB60" s="317">
        <v>23870</v>
      </c>
      <c r="AC60" s="317">
        <v>24670</v>
      </c>
      <c r="AD60" s="317">
        <v>25500</v>
      </c>
      <c r="AE60" s="317">
        <v>26420</v>
      </c>
      <c r="AF60" s="317">
        <v>27410</v>
      </c>
      <c r="AG60" s="317">
        <v>28650</v>
      </c>
      <c r="AH60" s="317">
        <v>29060</v>
      </c>
      <c r="AI60" s="317">
        <v>29630</v>
      </c>
      <c r="AJ60" s="317">
        <v>30490</v>
      </c>
      <c r="AK60" s="317">
        <v>31460</v>
      </c>
      <c r="AL60" s="317">
        <v>33090</v>
      </c>
      <c r="AM60" s="317">
        <v>34340</v>
      </c>
      <c r="AN60" s="317">
        <v>35740</v>
      </c>
      <c r="AO60" s="317">
        <v>37170</v>
      </c>
      <c r="AP60" s="317">
        <v>36540</v>
      </c>
      <c r="AQ60" s="317">
        <v>36460</v>
      </c>
      <c r="AR60" s="317">
        <v>36070</v>
      </c>
      <c r="AS60" s="317">
        <v>36160</v>
      </c>
      <c r="AT60" s="317">
        <v>35740</v>
      </c>
      <c r="AU60" s="317">
        <v>34550</v>
      </c>
      <c r="AV60" s="317">
        <v>34630</v>
      </c>
      <c r="AW60" s="317">
        <v>34240</v>
      </c>
      <c r="AX60" s="317">
        <v>34960</v>
      </c>
      <c r="AY60" s="317">
        <v>34370</v>
      </c>
      <c r="AZ60" s="317">
        <v>33060</v>
      </c>
      <c r="BA60" s="317">
        <v>33480</v>
      </c>
      <c r="BB60" s="317">
        <v>34150</v>
      </c>
      <c r="BC60" s="317">
        <v>33960</v>
      </c>
      <c r="BD60" s="317">
        <v>34490</v>
      </c>
      <c r="BE60" s="317">
        <v>35790</v>
      </c>
      <c r="BF60" s="317">
        <v>36950</v>
      </c>
    </row>
    <row r="61" spans="1:58" x14ac:dyDescent="0.2">
      <c r="A61" s="318" t="s">
        <v>59</v>
      </c>
      <c r="B61" s="315"/>
      <c r="C61" s="317">
        <v>24750</v>
      </c>
      <c r="D61" s="317">
        <v>24900</v>
      </c>
      <c r="E61" s="317">
        <v>25520</v>
      </c>
      <c r="F61" s="317">
        <v>26090</v>
      </c>
      <c r="G61" s="317">
        <v>27170</v>
      </c>
      <c r="H61" s="317">
        <v>27620</v>
      </c>
      <c r="I61" s="317">
        <v>27640</v>
      </c>
      <c r="J61" s="317">
        <v>28930</v>
      </c>
      <c r="K61" s="317">
        <v>29250</v>
      </c>
      <c r="L61" s="317">
        <v>30160</v>
      </c>
      <c r="M61" s="317">
        <v>30630</v>
      </c>
      <c r="N61" s="317">
        <v>30380</v>
      </c>
      <c r="O61" s="317">
        <v>29980</v>
      </c>
      <c r="P61" s="317">
        <v>28830</v>
      </c>
      <c r="Q61" s="317">
        <v>28420</v>
      </c>
      <c r="R61" s="317">
        <v>27950</v>
      </c>
      <c r="S61" s="317">
        <v>28060</v>
      </c>
      <c r="T61" s="317">
        <v>28430</v>
      </c>
      <c r="U61" s="317">
        <v>28030</v>
      </c>
      <c r="V61" s="317">
        <v>28490</v>
      </c>
      <c r="W61" s="317">
        <v>28070</v>
      </c>
      <c r="X61" s="317">
        <v>26770</v>
      </c>
      <c r="Y61" s="317">
        <v>25610</v>
      </c>
      <c r="Z61" s="317">
        <v>24800</v>
      </c>
      <c r="AA61" s="317">
        <v>24080</v>
      </c>
      <c r="AB61" s="317">
        <v>24030</v>
      </c>
      <c r="AC61" s="317">
        <v>23760</v>
      </c>
      <c r="AD61" s="317">
        <v>24560</v>
      </c>
      <c r="AE61" s="317">
        <v>25400</v>
      </c>
      <c r="AF61" s="317">
        <v>26310</v>
      </c>
      <c r="AG61" s="317">
        <v>27310</v>
      </c>
      <c r="AH61" s="317">
        <v>28540</v>
      </c>
      <c r="AI61" s="317">
        <v>28950</v>
      </c>
      <c r="AJ61" s="317">
        <v>29530</v>
      </c>
      <c r="AK61" s="317">
        <v>30380</v>
      </c>
      <c r="AL61" s="317">
        <v>31350</v>
      </c>
      <c r="AM61" s="317">
        <v>32980</v>
      </c>
      <c r="AN61" s="317">
        <v>34230</v>
      </c>
      <c r="AO61" s="317">
        <v>35630</v>
      </c>
      <c r="AP61" s="317">
        <v>37060</v>
      </c>
      <c r="AQ61" s="317">
        <v>36440</v>
      </c>
      <c r="AR61" s="317">
        <v>36350</v>
      </c>
      <c r="AS61" s="317">
        <v>35970</v>
      </c>
      <c r="AT61" s="317">
        <v>36050</v>
      </c>
      <c r="AU61" s="317">
        <v>35640</v>
      </c>
      <c r="AV61" s="317">
        <v>34450</v>
      </c>
      <c r="AW61" s="317">
        <v>34540</v>
      </c>
      <c r="AX61" s="317">
        <v>34140</v>
      </c>
      <c r="AY61" s="317">
        <v>34860</v>
      </c>
      <c r="AZ61" s="317">
        <v>34280</v>
      </c>
      <c r="BA61" s="317">
        <v>32970</v>
      </c>
      <c r="BB61" s="317">
        <v>33390</v>
      </c>
      <c r="BC61" s="317">
        <v>34060</v>
      </c>
      <c r="BD61" s="317">
        <v>33870</v>
      </c>
      <c r="BE61" s="317">
        <v>34400</v>
      </c>
      <c r="BF61" s="317">
        <v>35700</v>
      </c>
    </row>
    <row r="62" spans="1:58" x14ac:dyDescent="0.2">
      <c r="A62" s="318" t="s">
        <v>60</v>
      </c>
      <c r="B62" s="315"/>
      <c r="C62" s="317">
        <v>24160</v>
      </c>
      <c r="D62" s="317">
        <v>24600</v>
      </c>
      <c r="E62" s="317">
        <v>24710</v>
      </c>
      <c r="F62" s="317">
        <v>25410</v>
      </c>
      <c r="G62" s="317">
        <v>25950</v>
      </c>
      <c r="H62" s="317">
        <v>26970</v>
      </c>
      <c r="I62" s="317">
        <v>27430</v>
      </c>
      <c r="J62" s="317">
        <v>27460</v>
      </c>
      <c r="K62" s="317">
        <v>28770</v>
      </c>
      <c r="L62" s="317">
        <v>29100</v>
      </c>
      <c r="M62" s="317">
        <v>30020</v>
      </c>
      <c r="N62" s="317">
        <v>30480</v>
      </c>
      <c r="O62" s="317">
        <v>30240</v>
      </c>
      <c r="P62" s="317">
        <v>29840</v>
      </c>
      <c r="Q62" s="317">
        <v>28700</v>
      </c>
      <c r="R62" s="317">
        <v>28290</v>
      </c>
      <c r="S62" s="317">
        <v>27830</v>
      </c>
      <c r="T62" s="317">
        <v>27940</v>
      </c>
      <c r="U62" s="317">
        <v>28310</v>
      </c>
      <c r="V62" s="317">
        <v>27910</v>
      </c>
      <c r="W62" s="317">
        <v>28370</v>
      </c>
      <c r="X62" s="317">
        <v>27960</v>
      </c>
      <c r="Y62" s="317">
        <v>26660</v>
      </c>
      <c r="Z62" s="317">
        <v>25510</v>
      </c>
      <c r="AA62" s="317">
        <v>24700</v>
      </c>
      <c r="AB62" s="317">
        <v>23990</v>
      </c>
      <c r="AC62" s="317">
        <v>23940</v>
      </c>
      <c r="AD62" s="317">
        <v>23670</v>
      </c>
      <c r="AE62" s="317">
        <v>24470</v>
      </c>
      <c r="AF62" s="317">
        <v>25300</v>
      </c>
      <c r="AG62" s="317">
        <v>26220</v>
      </c>
      <c r="AH62" s="317">
        <v>27210</v>
      </c>
      <c r="AI62" s="317">
        <v>28450</v>
      </c>
      <c r="AJ62" s="317">
        <v>28860</v>
      </c>
      <c r="AK62" s="317">
        <v>29430</v>
      </c>
      <c r="AL62" s="317">
        <v>30290</v>
      </c>
      <c r="AM62" s="317">
        <v>31250</v>
      </c>
      <c r="AN62" s="317">
        <v>32890</v>
      </c>
      <c r="AO62" s="317">
        <v>34140</v>
      </c>
      <c r="AP62" s="317">
        <v>35530</v>
      </c>
      <c r="AQ62" s="317">
        <v>36960</v>
      </c>
      <c r="AR62" s="317">
        <v>36340</v>
      </c>
      <c r="AS62" s="317">
        <v>36260</v>
      </c>
      <c r="AT62" s="317">
        <v>35880</v>
      </c>
      <c r="AU62" s="317">
        <v>35960</v>
      </c>
      <c r="AV62" s="317">
        <v>35550</v>
      </c>
      <c r="AW62" s="317">
        <v>34360</v>
      </c>
      <c r="AX62" s="317">
        <v>34450</v>
      </c>
      <c r="AY62" s="317">
        <v>34060</v>
      </c>
      <c r="AZ62" s="317">
        <v>34780</v>
      </c>
      <c r="BA62" s="317">
        <v>34200</v>
      </c>
      <c r="BB62" s="317">
        <v>32890</v>
      </c>
      <c r="BC62" s="317">
        <v>33310</v>
      </c>
      <c r="BD62" s="317">
        <v>33990</v>
      </c>
      <c r="BE62" s="317">
        <v>33800</v>
      </c>
      <c r="BF62" s="317">
        <v>34320</v>
      </c>
    </row>
    <row r="63" spans="1:58" x14ac:dyDescent="0.2">
      <c r="A63" s="318" t="s">
        <v>61</v>
      </c>
      <c r="B63" s="315"/>
      <c r="C63" s="317">
        <v>24180</v>
      </c>
      <c r="D63" s="317">
        <v>24030</v>
      </c>
      <c r="E63" s="317">
        <v>24420</v>
      </c>
      <c r="F63" s="317">
        <v>24560</v>
      </c>
      <c r="G63" s="317">
        <v>25270</v>
      </c>
      <c r="H63" s="317">
        <v>25770</v>
      </c>
      <c r="I63" s="317">
        <v>26790</v>
      </c>
      <c r="J63" s="317">
        <v>27270</v>
      </c>
      <c r="K63" s="317">
        <v>27320</v>
      </c>
      <c r="L63" s="317">
        <v>28640</v>
      </c>
      <c r="M63" s="317">
        <v>28970</v>
      </c>
      <c r="N63" s="317">
        <v>29890</v>
      </c>
      <c r="O63" s="317">
        <v>30350</v>
      </c>
      <c r="P63" s="317">
        <v>30110</v>
      </c>
      <c r="Q63" s="317">
        <v>29720</v>
      </c>
      <c r="R63" s="317">
        <v>28580</v>
      </c>
      <c r="S63" s="317">
        <v>28180</v>
      </c>
      <c r="T63" s="317">
        <v>27720</v>
      </c>
      <c r="U63" s="317">
        <v>27830</v>
      </c>
      <c r="V63" s="317">
        <v>28200</v>
      </c>
      <c r="W63" s="317">
        <v>27810</v>
      </c>
      <c r="X63" s="317">
        <v>28270</v>
      </c>
      <c r="Y63" s="317">
        <v>27860</v>
      </c>
      <c r="Z63" s="317">
        <v>26570</v>
      </c>
      <c r="AA63" s="317">
        <v>25420</v>
      </c>
      <c r="AB63" s="317">
        <v>24620</v>
      </c>
      <c r="AC63" s="317">
        <v>23910</v>
      </c>
      <c r="AD63" s="317">
        <v>23860</v>
      </c>
      <c r="AE63" s="317">
        <v>23590</v>
      </c>
      <c r="AF63" s="317">
        <v>24390</v>
      </c>
      <c r="AG63" s="317">
        <v>25230</v>
      </c>
      <c r="AH63" s="317">
        <v>26140</v>
      </c>
      <c r="AI63" s="317">
        <v>27140</v>
      </c>
      <c r="AJ63" s="317">
        <v>28370</v>
      </c>
      <c r="AK63" s="317">
        <v>28780</v>
      </c>
      <c r="AL63" s="317">
        <v>29360</v>
      </c>
      <c r="AM63" s="317">
        <v>30210</v>
      </c>
      <c r="AN63" s="317">
        <v>31180</v>
      </c>
      <c r="AO63" s="317">
        <v>32810</v>
      </c>
      <c r="AP63" s="317">
        <v>34060</v>
      </c>
      <c r="AQ63" s="317">
        <v>35450</v>
      </c>
      <c r="AR63" s="317">
        <v>36880</v>
      </c>
      <c r="AS63" s="317">
        <v>36260</v>
      </c>
      <c r="AT63" s="317">
        <v>36190</v>
      </c>
      <c r="AU63" s="317">
        <v>35800</v>
      </c>
      <c r="AV63" s="317">
        <v>35890</v>
      </c>
      <c r="AW63" s="317">
        <v>35480</v>
      </c>
      <c r="AX63" s="317">
        <v>34300</v>
      </c>
      <c r="AY63" s="317">
        <v>34390</v>
      </c>
      <c r="AZ63" s="317">
        <v>34000</v>
      </c>
      <c r="BA63" s="317">
        <v>34710</v>
      </c>
      <c r="BB63" s="317">
        <v>34140</v>
      </c>
      <c r="BC63" s="317">
        <v>32830</v>
      </c>
      <c r="BD63" s="317">
        <v>33250</v>
      </c>
      <c r="BE63" s="317">
        <v>33930</v>
      </c>
      <c r="BF63" s="317">
        <v>33740</v>
      </c>
    </row>
    <row r="64" spans="1:58" x14ac:dyDescent="0.2">
      <c r="A64" s="318" t="s">
        <v>62</v>
      </c>
      <c r="B64" s="315"/>
      <c r="C64" s="317">
        <v>23830</v>
      </c>
      <c r="D64" s="317">
        <v>24010</v>
      </c>
      <c r="E64" s="317">
        <v>23870</v>
      </c>
      <c r="F64" s="317">
        <v>24270</v>
      </c>
      <c r="G64" s="317">
        <v>24450</v>
      </c>
      <c r="H64" s="317">
        <v>25120</v>
      </c>
      <c r="I64" s="317">
        <v>25610</v>
      </c>
      <c r="J64" s="317">
        <v>26640</v>
      </c>
      <c r="K64" s="317">
        <v>27140</v>
      </c>
      <c r="L64" s="317">
        <v>27200</v>
      </c>
      <c r="M64" s="317">
        <v>28520</v>
      </c>
      <c r="N64" s="317">
        <v>28850</v>
      </c>
      <c r="O64" s="317">
        <v>29770</v>
      </c>
      <c r="P64" s="317">
        <v>30230</v>
      </c>
      <c r="Q64" s="317">
        <v>30000</v>
      </c>
      <c r="R64" s="317">
        <v>29610</v>
      </c>
      <c r="S64" s="317">
        <v>28480</v>
      </c>
      <c r="T64" s="317">
        <v>28080</v>
      </c>
      <c r="U64" s="317">
        <v>27630</v>
      </c>
      <c r="V64" s="317">
        <v>27740</v>
      </c>
      <c r="W64" s="317">
        <v>28110</v>
      </c>
      <c r="X64" s="317">
        <v>27720</v>
      </c>
      <c r="Y64" s="317">
        <v>28190</v>
      </c>
      <c r="Z64" s="317">
        <v>27780</v>
      </c>
      <c r="AA64" s="317">
        <v>26490</v>
      </c>
      <c r="AB64" s="317">
        <v>25350</v>
      </c>
      <c r="AC64" s="317">
        <v>24550</v>
      </c>
      <c r="AD64" s="317">
        <v>23840</v>
      </c>
      <c r="AE64" s="317">
        <v>23800</v>
      </c>
      <c r="AF64" s="317">
        <v>23530</v>
      </c>
      <c r="AG64" s="317">
        <v>24330</v>
      </c>
      <c r="AH64" s="317">
        <v>25170</v>
      </c>
      <c r="AI64" s="317">
        <v>26080</v>
      </c>
      <c r="AJ64" s="317">
        <v>27070</v>
      </c>
      <c r="AK64" s="317">
        <v>28310</v>
      </c>
      <c r="AL64" s="317">
        <v>28720</v>
      </c>
      <c r="AM64" s="317">
        <v>29300</v>
      </c>
      <c r="AN64" s="317">
        <v>30150</v>
      </c>
      <c r="AO64" s="317">
        <v>31120</v>
      </c>
      <c r="AP64" s="317">
        <v>32750</v>
      </c>
      <c r="AQ64" s="317">
        <v>34000</v>
      </c>
      <c r="AR64" s="317">
        <v>35390</v>
      </c>
      <c r="AS64" s="317">
        <v>36820</v>
      </c>
      <c r="AT64" s="317">
        <v>36200</v>
      </c>
      <c r="AU64" s="317">
        <v>36120</v>
      </c>
      <c r="AV64" s="317">
        <v>35740</v>
      </c>
      <c r="AW64" s="317">
        <v>35830</v>
      </c>
      <c r="AX64" s="317">
        <v>35430</v>
      </c>
      <c r="AY64" s="317">
        <v>34240</v>
      </c>
      <c r="AZ64" s="317">
        <v>34330</v>
      </c>
      <c r="BA64" s="317">
        <v>33950</v>
      </c>
      <c r="BB64" s="317">
        <v>34660</v>
      </c>
      <c r="BC64" s="317">
        <v>34090</v>
      </c>
      <c r="BD64" s="317">
        <v>32790</v>
      </c>
      <c r="BE64" s="317">
        <v>33210</v>
      </c>
      <c r="BF64" s="317">
        <v>33890</v>
      </c>
    </row>
    <row r="65" spans="1:58" x14ac:dyDescent="0.2">
      <c r="A65" s="318" t="s">
        <v>63</v>
      </c>
      <c r="B65" s="315"/>
      <c r="C65" s="317">
        <v>23890</v>
      </c>
      <c r="D65" s="317">
        <v>23670</v>
      </c>
      <c r="E65" s="317">
        <v>23870</v>
      </c>
      <c r="F65" s="317">
        <v>23710</v>
      </c>
      <c r="G65" s="317">
        <v>24170</v>
      </c>
      <c r="H65" s="317">
        <v>24290</v>
      </c>
      <c r="I65" s="317">
        <v>24960</v>
      </c>
      <c r="J65" s="317">
        <v>25460</v>
      </c>
      <c r="K65" s="317">
        <v>26510</v>
      </c>
      <c r="L65" s="317">
        <v>27020</v>
      </c>
      <c r="M65" s="317">
        <v>27090</v>
      </c>
      <c r="N65" s="317">
        <v>28400</v>
      </c>
      <c r="O65" s="317">
        <v>28740</v>
      </c>
      <c r="P65" s="317">
        <v>29650</v>
      </c>
      <c r="Q65" s="317">
        <v>30120</v>
      </c>
      <c r="R65" s="317">
        <v>29890</v>
      </c>
      <c r="S65" s="317">
        <v>29500</v>
      </c>
      <c r="T65" s="317">
        <v>28380</v>
      </c>
      <c r="U65" s="317">
        <v>27990</v>
      </c>
      <c r="V65" s="317">
        <v>27540</v>
      </c>
      <c r="W65" s="317">
        <v>27650</v>
      </c>
      <c r="X65" s="317">
        <v>28030</v>
      </c>
      <c r="Y65" s="317">
        <v>27640</v>
      </c>
      <c r="Z65" s="317">
        <v>28110</v>
      </c>
      <c r="AA65" s="317">
        <v>27700</v>
      </c>
      <c r="AB65" s="317">
        <v>26420</v>
      </c>
      <c r="AC65" s="317">
        <v>25280</v>
      </c>
      <c r="AD65" s="317">
        <v>24490</v>
      </c>
      <c r="AE65" s="317">
        <v>23790</v>
      </c>
      <c r="AF65" s="317">
        <v>23740</v>
      </c>
      <c r="AG65" s="317">
        <v>23480</v>
      </c>
      <c r="AH65" s="317">
        <v>24280</v>
      </c>
      <c r="AI65" s="317">
        <v>25120</v>
      </c>
      <c r="AJ65" s="317">
        <v>26020</v>
      </c>
      <c r="AK65" s="317">
        <v>27020</v>
      </c>
      <c r="AL65" s="317">
        <v>28250</v>
      </c>
      <c r="AM65" s="317">
        <v>28670</v>
      </c>
      <c r="AN65" s="317">
        <v>29240</v>
      </c>
      <c r="AO65" s="317">
        <v>30100</v>
      </c>
      <c r="AP65" s="317">
        <v>31060</v>
      </c>
      <c r="AQ65" s="317">
        <v>32690</v>
      </c>
      <c r="AR65" s="317">
        <v>33940</v>
      </c>
      <c r="AS65" s="317">
        <v>35330</v>
      </c>
      <c r="AT65" s="317">
        <v>36760</v>
      </c>
      <c r="AU65" s="317">
        <v>36150</v>
      </c>
      <c r="AV65" s="317">
        <v>36070</v>
      </c>
      <c r="AW65" s="317">
        <v>35690</v>
      </c>
      <c r="AX65" s="317">
        <v>35790</v>
      </c>
      <c r="AY65" s="317">
        <v>35380</v>
      </c>
      <c r="AZ65" s="317">
        <v>34200</v>
      </c>
      <c r="BA65" s="317">
        <v>34290</v>
      </c>
      <c r="BB65" s="317">
        <v>33910</v>
      </c>
      <c r="BC65" s="317">
        <v>34630</v>
      </c>
      <c r="BD65" s="317">
        <v>34050</v>
      </c>
      <c r="BE65" s="317">
        <v>32750</v>
      </c>
      <c r="BF65" s="317">
        <v>33180</v>
      </c>
    </row>
    <row r="66" spans="1:58" x14ac:dyDescent="0.2">
      <c r="A66" s="318" t="s">
        <v>64</v>
      </c>
      <c r="B66" s="315"/>
      <c r="C66" s="317">
        <v>24020</v>
      </c>
      <c r="D66" s="317">
        <v>23760</v>
      </c>
      <c r="E66" s="317">
        <v>23520</v>
      </c>
      <c r="F66" s="317">
        <v>23690</v>
      </c>
      <c r="G66" s="317">
        <v>23590</v>
      </c>
      <c r="H66" s="317">
        <v>24000</v>
      </c>
      <c r="I66" s="317">
        <v>24150</v>
      </c>
      <c r="J66" s="317">
        <v>24820</v>
      </c>
      <c r="K66" s="317">
        <v>25340</v>
      </c>
      <c r="L66" s="317">
        <v>26400</v>
      </c>
      <c r="M66" s="317">
        <v>26910</v>
      </c>
      <c r="N66" s="317">
        <v>26980</v>
      </c>
      <c r="O66" s="317">
        <v>28290</v>
      </c>
      <c r="P66" s="317">
        <v>28630</v>
      </c>
      <c r="Q66" s="317">
        <v>29540</v>
      </c>
      <c r="R66" s="317">
        <v>30010</v>
      </c>
      <c r="S66" s="317">
        <v>29790</v>
      </c>
      <c r="T66" s="317">
        <v>29410</v>
      </c>
      <c r="U66" s="317">
        <v>28290</v>
      </c>
      <c r="V66" s="317">
        <v>27900</v>
      </c>
      <c r="W66" s="317">
        <v>27460</v>
      </c>
      <c r="X66" s="317">
        <v>27580</v>
      </c>
      <c r="Y66" s="317">
        <v>27950</v>
      </c>
      <c r="Z66" s="317">
        <v>27570</v>
      </c>
      <c r="AA66" s="317">
        <v>28040</v>
      </c>
      <c r="AB66" s="317">
        <v>27630</v>
      </c>
      <c r="AC66" s="317">
        <v>26360</v>
      </c>
      <c r="AD66" s="317">
        <v>25230</v>
      </c>
      <c r="AE66" s="317">
        <v>24440</v>
      </c>
      <c r="AF66" s="317">
        <v>23740</v>
      </c>
      <c r="AG66" s="317">
        <v>23700</v>
      </c>
      <c r="AH66" s="317">
        <v>23440</v>
      </c>
      <c r="AI66" s="317">
        <v>24240</v>
      </c>
      <c r="AJ66" s="317">
        <v>25070</v>
      </c>
      <c r="AK66" s="317">
        <v>25980</v>
      </c>
      <c r="AL66" s="317">
        <v>26980</v>
      </c>
      <c r="AM66" s="317">
        <v>28210</v>
      </c>
      <c r="AN66" s="317">
        <v>28630</v>
      </c>
      <c r="AO66" s="317">
        <v>29200</v>
      </c>
      <c r="AP66" s="317">
        <v>30060</v>
      </c>
      <c r="AQ66" s="317">
        <v>31020</v>
      </c>
      <c r="AR66" s="317">
        <v>32650</v>
      </c>
      <c r="AS66" s="317">
        <v>33900</v>
      </c>
      <c r="AT66" s="317">
        <v>35290</v>
      </c>
      <c r="AU66" s="317">
        <v>36710</v>
      </c>
      <c r="AV66" s="317">
        <v>36100</v>
      </c>
      <c r="AW66" s="317">
        <v>36030</v>
      </c>
      <c r="AX66" s="317">
        <v>35660</v>
      </c>
      <c r="AY66" s="317">
        <v>35750</v>
      </c>
      <c r="AZ66" s="317">
        <v>35350</v>
      </c>
      <c r="BA66" s="317">
        <v>34170</v>
      </c>
      <c r="BB66" s="317">
        <v>34260</v>
      </c>
      <c r="BC66" s="317">
        <v>33880</v>
      </c>
      <c r="BD66" s="317">
        <v>34600</v>
      </c>
      <c r="BE66" s="317">
        <v>34030</v>
      </c>
      <c r="BF66" s="317">
        <v>32730</v>
      </c>
    </row>
    <row r="67" spans="1:58" x14ac:dyDescent="0.2">
      <c r="A67" s="318" t="s">
        <v>65</v>
      </c>
      <c r="B67" s="315"/>
      <c r="C67" s="317">
        <v>20160</v>
      </c>
      <c r="D67" s="317">
        <v>23850</v>
      </c>
      <c r="E67" s="317">
        <v>23590</v>
      </c>
      <c r="F67" s="317">
        <v>23390</v>
      </c>
      <c r="G67" s="317">
        <v>23590</v>
      </c>
      <c r="H67" s="317">
        <v>23440</v>
      </c>
      <c r="I67" s="317">
        <v>23860</v>
      </c>
      <c r="J67" s="317">
        <v>24020</v>
      </c>
      <c r="K67" s="317">
        <v>24710</v>
      </c>
      <c r="L67" s="317">
        <v>25240</v>
      </c>
      <c r="M67" s="317">
        <v>26300</v>
      </c>
      <c r="N67" s="317">
        <v>26810</v>
      </c>
      <c r="O67" s="317">
        <v>26880</v>
      </c>
      <c r="P67" s="317">
        <v>28190</v>
      </c>
      <c r="Q67" s="317">
        <v>28530</v>
      </c>
      <c r="R67" s="317">
        <v>29440</v>
      </c>
      <c r="S67" s="317">
        <v>29910</v>
      </c>
      <c r="T67" s="317">
        <v>29690</v>
      </c>
      <c r="U67" s="317">
        <v>29320</v>
      </c>
      <c r="V67" s="317">
        <v>28210</v>
      </c>
      <c r="W67" s="317">
        <v>27830</v>
      </c>
      <c r="X67" s="317">
        <v>27390</v>
      </c>
      <c r="Y67" s="317">
        <v>27510</v>
      </c>
      <c r="Z67" s="317">
        <v>27880</v>
      </c>
      <c r="AA67" s="317">
        <v>27510</v>
      </c>
      <c r="AB67" s="317">
        <v>27970</v>
      </c>
      <c r="AC67" s="317">
        <v>27580</v>
      </c>
      <c r="AD67" s="317">
        <v>26320</v>
      </c>
      <c r="AE67" s="317">
        <v>25190</v>
      </c>
      <c r="AF67" s="317">
        <v>24400</v>
      </c>
      <c r="AG67" s="317">
        <v>23710</v>
      </c>
      <c r="AH67" s="317">
        <v>23670</v>
      </c>
      <c r="AI67" s="317">
        <v>23410</v>
      </c>
      <c r="AJ67" s="317">
        <v>24210</v>
      </c>
      <c r="AK67" s="317">
        <v>25050</v>
      </c>
      <c r="AL67" s="317">
        <v>25950</v>
      </c>
      <c r="AM67" s="317">
        <v>26950</v>
      </c>
      <c r="AN67" s="317">
        <v>28180</v>
      </c>
      <c r="AO67" s="317">
        <v>28600</v>
      </c>
      <c r="AP67" s="317">
        <v>29170</v>
      </c>
      <c r="AQ67" s="317">
        <v>30030</v>
      </c>
      <c r="AR67" s="317">
        <v>30990</v>
      </c>
      <c r="AS67" s="317">
        <v>32620</v>
      </c>
      <c r="AT67" s="317">
        <v>33860</v>
      </c>
      <c r="AU67" s="317">
        <v>35250</v>
      </c>
      <c r="AV67" s="317">
        <v>36680</v>
      </c>
      <c r="AW67" s="317">
        <v>36070</v>
      </c>
      <c r="AX67" s="317">
        <v>36000</v>
      </c>
      <c r="AY67" s="317">
        <v>35630</v>
      </c>
      <c r="AZ67" s="317">
        <v>35730</v>
      </c>
      <c r="BA67" s="317">
        <v>35320</v>
      </c>
      <c r="BB67" s="317">
        <v>34150</v>
      </c>
      <c r="BC67" s="317">
        <v>34250</v>
      </c>
      <c r="BD67" s="317">
        <v>33870</v>
      </c>
      <c r="BE67" s="317">
        <v>34590</v>
      </c>
      <c r="BF67" s="317">
        <v>34020</v>
      </c>
    </row>
    <row r="68" spans="1:58" x14ac:dyDescent="0.2">
      <c r="A68" s="318" t="s">
        <v>66</v>
      </c>
      <c r="B68" s="315"/>
      <c r="C68" s="317">
        <v>19140</v>
      </c>
      <c r="D68" s="317">
        <v>20010</v>
      </c>
      <c r="E68" s="317">
        <v>23680</v>
      </c>
      <c r="F68" s="317">
        <v>23410</v>
      </c>
      <c r="G68" s="317">
        <v>23260</v>
      </c>
      <c r="H68" s="317">
        <v>23440</v>
      </c>
      <c r="I68" s="317">
        <v>23310</v>
      </c>
      <c r="J68" s="317">
        <v>23740</v>
      </c>
      <c r="K68" s="317">
        <v>23910</v>
      </c>
      <c r="L68" s="317">
        <v>24610</v>
      </c>
      <c r="M68" s="317">
        <v>25140</v>
      </c>
      <c r="N68" s="317">
        <v>26190</v>
      </c>
      <c r="O68" s="317">
        <v>26700</v>
      </c>
      <c r="P68" s="317">
        <v>26780</v>
      </c>
      <c r="Q68" s="317">
        <v>28080</v>
      </c>
      <c r="R68" s="317">
        <v>28430</v>
      </c>
      <c r="S68" s="317">
        <v>29340</v>
      </c>
      <c r="T68" s="317">
        <v>29820</v>
      </c>
      <c r="U68" s="317">
        <v>29600</v>
      </c>
      <c r="V68" s="317">
        <v>29230</v>
      </c>
      <c r="W68" s="317">
        <v>28130</v>
      </c>
      <c r="X68" s="317">
        <v>27760</v>
      </c>
      <c r="Y68" s="317">
        <v>27320</v>
      </c>
      <c r="Z68" s="317">
        <v>27440</v>
      </c>
      <c r="AA68" s="317">
        <v>27820</v>
      </c>
      <c r="AB68" s="317">
        <v>27450</v>
      </c>
      <c r="AC68" s="317">
        <v>27920</v>
      </c>
      <c r="AD68" s="317">
        <v>27530</v>
      </c>
      <c r="AE68" s="317">
        <v>26270</v>
      </c>
      <c r="AF68" s="317">
        <v>25150</v>
      </c>
      <c r="AG68" s="317">
        <v>24370</v>
      </c>
      <c r="AH68" s="317">
        <v>23680</v>
      </c>
      <c r="AI68" s="317">
        <v>23650</v>
      </c>
      <c r="AJ68" s="317">
        <v>23390</v>
      </c>
      <c r="AK68" s="317">
        <v>24190</v>
      </c>
      <c r="AL68" s="317">
        <v>25020</v>
      </c>
      <c r="AM68" s="317">
        <v>25930</v>
      </c>
      <c r="AN68" s="317">
        <v>26920</v>
      </c>
      <c r="AO68" s="317">
        <v>28150</v>
      </c>
      <c r="AP68" s="317">
        <v>28570</v>
      </c>
      <c r="AQ68" s="317">
        <v>29150</v>
      </c>
      <c r="AR68" s="317">
        <v>30000</v>
      </c>
      <c r="AS68" s="317">
        <v>30970</v>
      </c>
      <c r="AT68" s="317">
        <v>32590</v>
      </c>
      <c r="AU68" s="317">
        <v>33840</v>
      </c>
      <c r="AV68" s="317">
        <v>35230</v>
      </c>
      <c r="AW68" s="317">
        <v>36650</v>
      </c>
      <c r="AX68" s="317">
        <v>36050</v>
      </c>
      <c r="AY68" s="317">
        <v>35980</v>
      </c>
      <c r="AZ68" s="317">
        <v>35610</v>
      </c>
      <c r="BA68" s="317">
        <v>35710</v>
      </c>
      <c r="BB68" s="317">
        <v>35310</v>
      </c>
      <c r="BC68" s="317">
        <v>34140</v>
      </c>
      <c r="BD68" s="317">
        <v>34240</v>
      </c>
      <c r="BE68" s="317">
        <v>33860</v>
      </c>
      <c r="BF68" s="317">
        <v>34580</v>
      </c>
    </row>
    <row r="69" spans="1:58" x14ac:dyDescent="0.2">
      <c r="A69" s="318" t="s">
        <v>67</v>
      </c>
      <c r="B69" s="315"/>
      <c r="C69" s="317">
        <v>18400</v>
      </c>
      <c r="D69" s="317">
        <v>19010</v>
      </c>
      <c r="E69" s="317">
        <v>19860</v>
      </c>
      <c r="F69" s="317">
        <v>23520</v>
      </c>
      <c r="G69" s="317">
        <v>23250</v>
      </c>
      <c r="H69" s="317">
        <v>23120</v>
      </c>
      <c r="I69" s="317">
        <v>23300</v>
      </c>
      <c r="J69" s="317">
        <v>23180</v>
      </c>
      <c r="K69" s="317">
        <v>23620</v>
      </c>
      <c r="L69" s="317">
        <v>23810</v>
      </c>
      <c r="M69" s="317">
        <v>24510</v>
      </c>
      <c r="N69" s="317">
        <v>25040</v>
      </c>
      <c r="O69" s="317">
        <v>26090</v>
      </c>
      <c r="P69" s="317">
        <v>26600</v>
      </c>
      <c r="Q69" s="317">
        <v>26680</v>
      </c>
      <c r="R69" s="317">
        <v>27980</v>
      </c>
      <c r="S69" s="317">
        <v>28330</v>
      </c>
      <c r="T69" s="317">
        <v>29240</v>
      </c>
      <c r="U69" s="317">
        <v>29720</v>
      </c>
      <c r="V69" s="317">
        <v>29500</v>
      </c>
      <c r="W69" s="317">
        <v>29140</v>
      </c>
      <c r="X69" s="317">
        <v>28050</v>
      </c>
      <c r="Y69" s="317">
        <v>27680</v>
      </c>
      <c r="Z69" s="317">
        <v>27250</v>
      </c>
      <c r="AA69" s="317">
        <v>27380</v>
      </c>
      <c r="AB69" s="317">
        <v>27760</v>
      </c>
      <c r="AC69" s="317">
        <v>27390</v>
      </c>
      <c r="AD69" s="317">
        <v>27860</v>
      </c>
      <c r="AE69" s="317">
        <v>27480</v>
      </c>
      <c r="AF69" s="317">
        <v>26230</v>
      </c>
      <c r="AG69" s="317">
        <v>25110</v>
      </c>
      <c r="AH69" s="317">
        <v>24340</v>
      </c>
      <c r="AI69" s="317">
        <v>23660</v>
      </c>
      <c r="AJ69" s="317">
        <v>23630</v>
      </c>
      <c r="AK69" s="317">
        <v>23370</v>
      </c>
      <c r="AL69" s="317">
        <v>24170</v>
      </c>
      <c r="AM69" s="317">
        <v>25000</v>
      </c>
      <c r="AN69" s="317">
        <v>25910</v>
      </c>
      <c r="AO69" s="317">
        <v>26900</v>
      </c>
      <c r="AP69" s="317">
        <v>28130</v>
      </c>
      <c r="AQ69" s="317">
        <v>28550</v>
      </c>
      <c r="AR69" s="317">
        <v>29130</v>
      </c>
      <c r="AS69" s="317">
        <v>29980</v>
      </c>
      <c r="AT69" s="317">
        <v>30950</v>
      </c>
      <c r="AU69" s="317">
        <v>32570</v>
      </c>
      <c r="AV69" s="317">
        <v>33820</v>
      </c>
      <c r="AW69" s="317">
        <v>35200</v>
      </c>
      <c r="AX69" s="317">
        <v>36630</v>
      </c>
      <c r="AY69" s="317">
        <v>36030</v>
      </c>
      <c r="AZ69" s="317">
        <v>35960</v>
      </c>
      <c r="BA69" s="317">
        <v>35600</v>
      </c>
      <c r="BB69" s="317">
        <v>35700</v>
      </c>
      <c r="BC69" s="317">
        <v>35300</v>
      </c>
      <c r="BD69" s="317">
        <v>34140</v>
      </c>
      <c r="BE69" s="317">
        <v>34240</v>
      </c>
      <c r="BF69" s="317">
        <v>33860</v>
      </c>
    </row>
    <row r="70" spans="1:58" x14ac:dyDescent="0.2">
      <c r="A70" s="318" t="s">
        <v>68</v>
      </c>
      <c r="B70" s="315"/>
      <c r="C70" s="317">
        <v>16270</v>
      </c>
      <c r="D70" s="317">
        <v>18250</v>
      </c>
      <c r="E70" s="317">
        <v>18880</v>
      </c>
      <c r="F70" s="317">
        <v>19710</v>
      </c>
      <c r="G70" s="317">
        <v>23360</v>
      </c>
      <c r="H70" s="317">
        <v>23080</v>
      </c>
      <c r="I70" s="317">
        <v>22980</v>
      </c>
      <c r="J70" s="317">
        <v>23170</v>
      </c>
      <c r="K70" s="317">
        <v>23070</v>
      </c>
      <c r="L70" s="317">
        <v>23520</v>
      </c>
      <c r="M70" s="317">
        <v>23710</v>
      </c>
      <c r="N70" s="317">
        <v>24400</v>
      </c>
      <c r="O70" s="317">
        <v>24940</v>
      </c>
      <c r="P70" s="317">
        <v>25980</v>
      </c>
      <c r="Q70" s="317">
        <v>26490</v>
      </c>
      <c r="R70" s="317">
        <v>26580</v>
      </c>
      <c r="S70" s="317">
        <v>27880</v>
      </c>
      <c r="T70" s="317">
        <v>28230</v>
      </c>
      <c r="U70" s="317">
        <v>29140</v>
      </c>
      <c r="V70" s="317">
        <v>29610</v>
      </c>
      <c r="W70" s="317">
        <v>29410</v>
      </c>
      <c r="X70" s="317">
        <v>29050</v>
      </c>
      <c r="Y70" s="317">
        <v>27970</v>
      </c>
      <c r="Z70" s="317">
        <v>27610</v>
      </c>
      <c r="AA70" s="317">
        <v>27190</v>
      </c>
      <c r="AB70" s="317">
        <v>27320</v>
      </c>
      <c r="AC70" s="317">
        <v>27700</v>
      </c>
      <c r="AD70" s="317">
        <v>27340</v>
      </c>
      <c r="AE70" s="317">
        <v>27810</v>
      </c>
      <c r="AF70" s="317">
        <v>27430</v>
      </c>
      <c r="AG70" s="317">
        <v>26190</v>
      </c>
      <c r="AH70" s="317">
        <v>25080</v>
      </c>
      <c r="AI70" s="317">
        <v>24320</v>
      </c>
      <c r="AJ70" s="317">
        <v>23640</v>
      </c>
      <c r="AK70" s="317">
        <v>23610</v>
      </c>
      <c r="AL70" s="317">
        <v>23360</v>
      </c>
      <c r="AM70" s="317">
        <v>24160</v>
      </c>
      <c r="AN70" s="317">
        <v>24990</v>
      </c>
      <c r="AO70" s="317">
        <v>25900</v>
      </c>
      <c r="AP70" s="317">
        <v>26890</v>
      </c>
      <c r="AQ70" s="317">
        <v>28120</v>
      </c>
      <c r="AR70" s="317">
        <v>28540</v>
      </c>
      <c r="AS70" s="317">
        <v>29110</v>
      </c>
      <c r="AT70" s="317">
        <v>29970</v>
      </c>
      <c r="AU70" s="317">
        <v>30930</v>
      </c>
      <c r="AV70" s="317">
        <v>32550</v>
      </c>
      <c r="AW70" s="317">
        <v>33800</v>
      </c>
      <c r="AX70" s="317">
        <v>35180</v>
      </c>
      <c r="AY70" s="317">
        <v>36610</v>
      </c>
      <c r="AZ70" s="317">
        <v>36010</v>
      </c>
      <c r="BA70" s="317">
        <v>35950</v>
      </c>
      <c r="BB70" s="317">
        <v>35590</v>
      </c>
      <c r="BC70" s="317">
        <v>35690</v>
      </c>
      <c r="BD70" s="317">
        <v>35290</v>
      </c>
      <c r="BE70" s="317">
        <v>34140</v>
      </c>
      <c r="BF70" s="317">
        <v>34240</v>
      </c>
    </row>
    <row r="71" spans="1:58" x14ac:dyDescent="0.2">
      <c r="A71" s="318" t="s">
        <v>69</v>
      </c>
      <c r="B71" s="315"/>
      <c r="C71" s="317">
        <v>17930</v>
      </c>
      <c r="D71" s="317">
        <v>16110</v>
      </c>
      <c r="E71" s="317">
        <v>18110</v>
      </c>
      <c r="F71" s="317">
        <v>18750</v>
      </c>
      <c r="G71" s="317">
        <v>19630</v>
      </c>
      <c r="H71" s="317">
        <v>23220</v>
      </c>
      <c r="I71" s="317">
        <v>22930</v>
      </c>
      <c r="J71" s="317">
        <v>22840</v>
      </c>
      <c r="K71" s="317">
        <v>23040</v>
      </c>
      <c r="L71" s="317">
        <v>22950</v>
      </c>
      <c r="M71" s="317">
        <v>23410</v>
      </c>
      <c r="N71" s="317">
        <v>23600</v>
      </c>
      <c r="O71" s="317">
        <v>24290</v>
      </c>
      <c r="P71" s="317">
        <v>24830</v>
      </c>
      <c r="Q71" s="317">
        <v>25870</v>
      </c>
      <c r="R71" s="317">
        <v>26390</v>
      </c>
      <c r="S71" s="317">
        <v>26480</v>
      </c>
      <c r="T71" s="317">
        <v>27770</v>
      </c>
      <c r="U71" s="317">
        <v>28120</v>
      </c>
      <c r="V71" s="317">
        <v>29030</v>
      </c>
      <c r="W71" s="317">
        <v>29510</v>
      </c>
      <c r="X71" s="317">
        <v>29310</v>
      </c>
      <c r="Y71" s="317">
        <v>28960</v>
      </c>
      <c r="Z71" s="317">
        <v>27900</v>
      </c>
      <c r="AA71" s="317">
        <v>27540</v>
      </c>
      <c r="AB71" s="317">
        <v>27120</v>
      </c>
      <c r="AC71" s="317">
        <v>27260</v>
      </c>
      <c r="AD71" s="317">
        <v>27640</v>
      </c>
      <c r="AE71" s="317">
        <v>27280</v>
      </c>
      <c r="AF71" s="317">
        <v>27760</v>
      </c>
      <c r="AG71" s="317">
        <v>27380</v>
      </c>
      <c r="AH71" s="317">
        <v>26150</v>
      </c>
      <c r="AI71" s="317">
        <v>25050</v>
      </c>
      <c r="AJ71" s="317">
        <v>24290</v>
      </c>
      <c r="AK71" s="317">
        <v>23620</v>
      </c>
      <c r="AL71" s="317">
        <v>23600</v>
      </c>
      <c r="AM71" s="317">
        <v>23350</v>
      </c>
      <c r="AN71" s="317">
        <v>24150</v>
      </c>
      <c r="AO71" s="317">
        <v>24980</v>
      </c>
      <c r="AP71" s="317">
        <v>25890</v>
      </c>
      <c r="AQ71" s="317">
        <v>26880</v>
      </c>
      <c r="AR71" s="317">
        <v>28100</v>
      </c>
      <c r="AS71" s="317">
        <v>28520</v>
      </c>
      <c r="AT71" s="317">
        <v>29100</v>
      </c>
      <c r="AU71" s="317">
        <v>29960</v>
      </c>
      <c r="AV71" s="317">
        <v>30920</v>
      </c>
      <c r="AW71" s="317">
        <v>32540</v>
      </c>
      <c r="AX71" s="317">
        <v>33780</v>
      </c>
      <c r="AY71" s="317">
        <v>35170</v>
      </c>
      <c r="AZ71" s="317">
        <v>36590</v>
      </c>
      <c r="BA71" s="317">
        <v>36000</v>
      </c>
      <c r="BB71" s="317">
        <v>35940</v>
      </c>
      <c r="BC71" s="317">
        <v>35580</v>
      </c>
      <c r="BD71" s="317">
        <v>35680</v>
      </c>
      <c r="BE71" s="317">
        <v>35290</v>
      </c>
      <c r="BF71" s="317">
        <v>34140</v>
      </c>
    </row>
    <row r="72" spans="1:58" x14ac:dyDescent="0.2">
      <c r="A72" s="318" t="s">
        <v>70</v>
      </c>
      <c r="B72" s="315"/>
      <c r="C72" s="317">
        <v>17660</v>
      </c>
      <c r="D72" s="317">
        <v>17770</v>
      </c>
      <c r="E72" s="317">
        <v>15970</v>
      </c>
      <c r="F72" s="317">
        <v>17950</v>
      </c>
      <c r="G72" s="317">
        <v>18590</v>
      </c>
      <c r="H72" s="317">
        <v>19510</v>
      </c>
      <c r="I72" s="317">
        <v>23060</v>
      </c>
      <c r="J72" s="317">
        <v>22780</v>
      </c>
      <c r="K72" s="317">
        <v>22700</v>
      </c>
      <c r="L72" s="317">
        <v>22910</v>
      </c>
      <c r="M72" s="317">
        <v>22830</v>
      </c>
      <c r="N72" s="317">
        <v>23280</v>
      </c>
      <c r="O72" s="317">
        <v>23480</v>
      </c>
      <c r="P72" s="317">
        <v>24170</v>
      </c>
      <c r="Q72" s="317">
        <v>24710</v>
      </c>
      <c r="R72" s="317">
        <v>25750</v>
      </c>
      <c r="S72" s="317">
        <v>26260</v>
      </c>
      <c r="T72" s="317">
        <v>26360</v>
      </c>
      <c r="U72" s="317">
        <v>27650</v>
      </c>
      <c r="V72" s="317">
        <v>28010</v>
      </c>
      <c r="W72" s="317">
        <v>28910</v>
      </c>
      <c r="X72" s="317">
        <v>29390</v>
      </c>
      <c r="Y72" s="317">
        <v>29200</v>
      </c>
      <c r="Z72" s="317">
        <v>28860</v>
      </c>
      <c r="AA72" s="317">
        <v>27810</v>
      </c>
      <c r="AB72" s="317">
        <v>27460</v>
      </c>
      <c r="AC72" s="317">
        <v>27050</v>
      </c>
      <c r="AD72" s="317">
        <v>27180</v>
      </c>
      <c r="AE72" s="317">
        <v>27570</v>
      </c>
      <c r="AF72" s="317">
        <v>27220</v>
      </c>
      <c r="AG72" s="317">
        <v>27700</v>
      </c>
      <c r="AH72" s="317">
        <v>27330</v>
      </c>
      <c r="AI72" s="317">
        <v>26110</v>
      </c>
      <c r="AJ72" s="317">
        <v>25020</v>
      </c>
      <c r="AK72" s="317">
        <v>24260</v>
      </c>
      <c r="AL72" s="317">
        <v>23600</v>
      </c>
      <c r="AM72" s="317">
        <v>23570</v>
      </c>
      <c r="AN72" s="317">
        <v>23340</v>
      </c>
      <c r="AO72" s="317">
        <v>24130</v>
      </c>
      <c r="AP72" s="317">
        <v>24960</v>
      </c>
      <c r="AQ72" s="317">
        <v>25870</v>
      </c>
      <c r="AR72" s="317">
        <v>26860</v>
      </c>
      <c r="AS72" s="317">
        <v>28080</v>
      </c>
      <c r="AT72" s="317">
        <v>28500</v>
      </c>
      <c r="AU72" s="317">
        <v>29080</v>
      </c>
      <c r="AV72" s="317">
        <v>29940</v>
      </c>
      <c r="AW72" s="317">
        <v>30900</v>
      </c>
      <c r="AX72" s="317">
        <v>32520</v>
      </c>
      <c r="AY72" s="317">
        <v>33760</v>
      </c>
      <c r="AZ72" s="317">
        <v>35140</v>
      </c>
      <c r="BA72" s="317">
        <v>36560</v>
      </c>
      <c r="BB72" s="317">
        <v>35980</v>
      </c>
      <c r="BC72" s="317">
        <v>35920</v>
      </c>
      <c r="BD72" s="317">
        <v>35570</v>
      </c>
      <c r="BE72" s="317">
        <v>35670</v>
      </c>
      <c r="BF72" s="317">
        <v>35290</v>
      </c>
    </row>
    <row r="73" spans="1:58" x14ac:dyDescent="0.2">
      <c r="A73" s="318" t="s">
        <v>71</v>
      </c>
      <c r="B73" s="315"/>
      <c r="C73" s="317">
        <v>16280</v>
      </c>
      <c r="D73" s="317">
        <v>17460</v>
      </c>
      <c r="E73" s="317">
        <v>17580</v>
      </c>
      <c r="F73" s="317">
        <v>15820</v>
      </c>
      <c r="G73" s="317">
        <v>17800</v>
      </c>
      <c r="H73" s="317">
        <v>18430</v>
      </c>
      <c r="I73" s="317">
        <v>19350</v>
      </c>
      <c r="J73" s="317">
        <v>22860</v>
      </c>
      <c r="K73" s="317">
        <v>22600</v>
      </c>
      <c r="L73" s="317">
        <v>22530</v>
      </c>
      <c r="M73" s="317">
        <v>22750</v>
      </c>
      <c r="N73" s="317">
        <v>22670</v>
      </c>
      <c r="O73" s="317">
        <v>23130</v>
      </c>
      <c r="P73" s="317">
        <v>23330</v>
      </c>
      <c r="Q73" s="317">
        <v>24020</v>
      </c>
      <c r="R73" s="317">
        <v>24560</v>
      </c>
      <c r="S73" s="317">
        <v>25600</v>
      </c>
      <c r="T73" s="317">
        <v>26110</v>
      </c>
      <c r="U73" s="317">
        <v>26210</v>
      </c>
      <c r="V73" s="317">
        <v>27500</v>
      </c>
      <c r="W73" s="317">
        <v>27860</v>
      </c>
      <c r="X73" s="317">
        <v>28770</v>
      </c>
      <c r="Y73" s="317">
        <v>29250</v>
      </c>
      <c r="Z73" s="317">
        <v>29060</v>
      </c>
      <c r="AA73" s="317">
        <v>28730</v>
      </c>
      <c r="AB73" s="317">
        <v>27690</v>
      </c>
      <c r="AC73" s="317">
        <v>27350</v>
      </c>
      <c r="AD73" s="317">
        <v>26950</v>
      </c>
      <c r="AE73" s="317">
        <v>27090</v>
      </c>
      <c r="AF73" s="317">
        <v>27480</v>
      </c>
      <c r="AG73" s="317">
        <v>27130</v>
      </c>
      <c r="AH73" s="317">
        <v>27610</v>
      </c>
      <c r="AI73" s="317">
        <v>27250</v>
      </c>
      <c r="AJ73" s="317">
        <v>26040</v>
      </c>
      <c r="AK73" s="317">
        <v>24960</v>
      </c>
      <c r="AL73" s="317">
        <v>24210</v>
      </c>
      <c r="AM73" s="317">
        <v>23550</v>
      </c>
      <c r="AN73" s="317">
        <v>23530</v>
      </c>
      <c r="AO73" s="317">
        <v>23300</v>
      </c>
      <c r="AP73" s="317">
        <v>24090</v>
      </c>
      <c r="AQ73" s="317">
        <v>24920</v>
      </c>
      <c r="AR73" s="317">
        <v>25830</v>
      </c>
      <c r="AS73" s="317">
        <v>26820</v>
      </c>
      <c r="AT73" s="317">
        <v>28040</v>
      </c>
      <c r="AU73" s="317">
        <v>28460</v>
      </c>
      <c r="AV73" s="317">
        <v>29040</v>
      </c>
      <c r="AW73" s="317">
        <v>29900</v>
      </c>
      <c r="AX73" s="317">
        <v>30860</v>
      </c>
      <c r="AY73" s="317">
        <v>32470</v>
      </c>
      <c r="AZ73" s="317">
        <v>33720</v>
      </c>
      <c r="BA73" s="317">
        <v>35100</v>
      </c>
      <c r="BB73" s="317">
        <v>36520</v>
      </c>
      <c r="BC73" s="317">
        <v>35940</v>
      </c>
      <c r="BD73" s="317">
        <v>35880</v>
      </c>
      <c r="BE73" s="317">
        <v>35530</v>
      </c>
      <c r="BF73" s="317">
        <v>35640</v>
      </c>
    </row>
    <row r="74" spans="1:58" x14ac:dyDescent="0.2">
      <c r="A74" s="318" t="s">
        <v>72</v>
      </c>
      <c r="B74" s="315"/>
      <c r="C74" s="317">
        <v>14490</v>
      </c>
      <c r="D74" s="317">
        <v>16090</v>
      </c>
      <c r="E74" s="317">
        <v>17250</v>
      </c>
      <c r="F74" s="317">
        <v>17370</v>
      </c>
      <c r="G74" s="317">
        <v>15630</v>
      </c>
      <c r="H74" s="317">
        <v>17640</v>
      </c>
      <c r="I74" s="317">
        <v>18250</v>
      </c>
      <c r="J74" s="317">
        <v>19160</v>
      </c>
      <c r="K74" s="317">
        <v>22650</v>
      </c>
      <c r="L74" s="317">
        <v>22400</v>
      </c>
      <c r="M74" s="317">
        <v>22340</v>
      </c>
      <c r="N74" s="317">
        <v>22560</v>
      </c>
      <c r="O74" s="317">
        <v>22490</v>
      </c>
      <c r="P74" s="317">
        <v>22940</v>
      </c>
      <c r="Q74" s="317">
        <v>23150</v>
      </c>
      <c r="R74" s="317">
        <v>23840</v>
      </c>
      <c r="S74" s="317">
        <v>24380</v>
      </c>
      <c r="T74" s="317">
        <v>25410</v>
      </c>
      <c r="U74" s="317">
        <v>25930</v>
      </c>
      <c r="V74" s="317">
        <v>26040</v>
      </c>
      <c r="W74" s="317">
        <v>27320</v>
      </c>
      <c r="X74" s="317">
        <v>27680</v>
      </c>
      <c r="Y74" s="317">
        <v>28590</v>
      </c>
      <c r="Z74" s="317">
        <v>29070</v>
      </c>
      <c r="AA74" s="317">
        <v>28900</v>
      </c>
      <c r="AB74" s="317">
        <v>28570</v>
      </c>
      <c r="AC74" s="317">
        <v>27540</v>
      </c>
      <c r="AD74" s="317">
        <v>27210</v>
      </c>
      <c r="AE74" s="317">
        <v>26820</v>
      </c>
      <c r="AF74" s="317">
        <v>26960</v>
      </c>
      <c r="AG74" s="317">
        <v>27350</v>
      </c>
      <c r="AH74" s="317">
        <v>27020</v>
      </c>
      <c r="AI74" s="317">
        <v>27500</v>
      </c>
      <c r="AJ74" s="317">
        <v>27140</v>
      </c>
      <c r="AK74" s="317">
        <v>25940</v>
      </c>
      <c r="AL74" s="317">
        <v>24870</v>
      </c>
      <c r="AM74" s="317">
        <v>24140</v>
      </c>
      <c r="AN74" s="317">
        <v>23490</v>
      </c>
      <c r="AO74" s="317">
        <v>23470</v>
      </c>
      <c r="AP74" s="317">
        <v>23240</v>
      </c>
      <c r="AQ74" s="317">
        <v>24030</v>
      </c>
      <c r="AR74" s="317">
        <v>24860</v>
      </c>
      <c r="AS74" s="317">
        <v>25770</v>
      </c>
      <c r="AT74" s="317">
        <v>26750</v>
      </c>
      <c r="AU74" s="317">
        <v>27970</v>
      </c>
      <c r="AV74" s="317">
        <v>28400</v>
      </c>
      <c r="AW74" s="317">
        <v>28980</v>
      </c>
      <c r="AX74" s="317">
        <v>29830</v>
      </c>
      <c r="AY74" s="317">
        <v>30800</v>
      </c>
      <c r="AZ74" s="317">
        <v>32400</v>
      </c>
      <c r="BA74" s="317">
        <v>33650</v>
      </c>
      <c r="BB74" s="317">
        <v>35030</v>
      </c>
      <c r="BC74" s="317">
        <v>36440</v>
      </c>
      <c r="BD74" s="317">
        <v>35870</v>
      </c>
      <c r="BE74" s="317">
        <v>35820</v>
      </c>
      <c r="BF74" s="317">
        <v>35470</v>
      </c>
    </row>
    <row r="75" spans="1:58" x14ac:dyDescent="0.2">
      <c r="A75" s="318" t="s">
        <v>73</v>
      </c>
      <c r="B75" s="315"/>
      <c r="C75" s="317">
        <v>13990</v>
      </c>
      <c r="D75" s="317">
        <v>14300</v>
      </c>
      <c r="E75" s="317">
        <v>15860</v>
      </c>
      <c r="F75" s="317">
        <v>17050</v>
      </c>
      <c r="G75" s="317">
        <v>17170</v>
      </c>
      <c r="H75" s="317">
        <v>15450</v>
      </c>
      <c r="I75" s="317">
        <v>17440</v>
      </c>
      <c r="J75" s="317">
        <v>18040</v>
      </c>
      <c r="K75" s="317">
        <v>18950</v>
      </c>
      <c r="L75" s="317">
        <v>22400</v>
      </c>
      <c r="M75" s="317">
        <v>22160</v>
      </c>
      <c r="N75" s="317">
        <v>22110</v>
      </c>
      <c r="O75" s="317">
        <v>22330</v>
      </c>
      <c r="P75" s="317">
        <v>22270</v>
      </c>
      <c r="Q75" s="317">
        <v>22730</v>
      </c>
      <c r="R75" s="317">
        <v>22940</v>
      </c>
      <c r="S75" s="317">
        <v>23630</v>
      </c>
      <c r="T75" s="317">
        <v>24170</v>
      </c>
      <c r="U75" s="317">
        <v>25200</v>
      </c>
      <c r="V75" s="317">
        <v>25720</v>
      </c>
      <c r="W75" s="317">
        <v>25830</v>
      </c>
      <c r="X75" s="317">
        <v>27100</v>
      </c>
      <c r="Y75" s="317">
        <v>27470</v>
      </c>
      <c r="Z75" s="317">
        <v>28380</v>
      </c>
      <c r="AA75" s="317">
        <v>28860</v>
      </c>
      <c r="AB75" s="317">
        <v>28700</v>
      </c>
      <c r="AC75" s="317">
        <v>28380</v>
      </c>
      <c r="AD75" s="317">
        <v>27370</v>
      </c>
      <c r="AE75" s="317">
        <v>27040</v>
      </c>
      <c r="AF75" s="317">
        <v>26660</v>
      </c>
      <c r="AG75" s="317">
        <v>26810</v>
      </c>
      <c r="AH75" s="317">
        <v>27200</v>
      </c>
      <c r="AI75" s="317">
        <v>26870</v>
      </c>
      <c r="AJ75" s="317">
        <v>27350</v>
      </c>
      <c r="AK75" s="317">
        <v>27010</v>
      </c>
      <c r="AL75" s="317">
        <v>25820</v>
      </c>
      <c r="AM75" s="317">
        <v>24760</v>
      </c>
      <c r="AN75" s="317">
        <v>24040</v>
      </c>
      <c r="AO75" s="317">
        <v>23390</v>
      </c>
      <c r="AP75" s="317">
        <v>23380</v>
      </c>
      <c r="AQ75" s="317">
        <v>23150</v>
      </c>
      <c r="AR75" s="317">
        <v>23950</v>
      </c>
      <c r="AS75" s="317">
        <v>24780</v>
      </c>
      <c r="AT75" s="317">
        <v>25680</v>
      </c>
      <c r="AU75" s="317">
        <v>26660</v>
      </c>
      <c r="AV75" s="317">
        <v>27880</v>
      </c>
      <c r="AW75" s="317">
        <v>28310</v>
      </c>
      <c r="AX75" s="317">
        <v>28890</v>
      </c>
      <c r="AY75" s="317">
        <v>29750</v>
      </c>
      <c r="AZ75" s="317">
        <v>30710</v>
      </c>
      <c r="BA75" s="317">
        <v>32310</v>
      </c>
      <c r="BB75" s="317">
        <v>33550</v>
      </c>
      <c r="BC75" s="317">
        <v>34930</v>
      </c>
      <c r="BD75" s="317">
        <v>36350</v>
      </c>
      <c r="BE75" s="317">
        <v>35780</v>
      </c>
      <c r="BF75" s="317">
        <v>35730</v>
      </c>
    </row>
    <row r="76" spans="1:58" x14ac:dyDescent="0.2">
      <c r="A76" s="318" t="s">
        <v>74</v>
      </c>
      <c r="B76" s="315"/>
      <c r="C76" s="317">
        <v>13200</v>
      </c>
      <c r="D76" s="317">
        <v>13790</v>
      </c>
      <c r="E76" s="317">
        <v>14080</v>
      </c>
      <c r="F76" s="317">
        <v>15630</v>
      </c>
      <c r="G76" s="317">
        <v>16790</v>
      </c>
      <c r="H76" s="317">
        <v>16940</v>
      </c>
      <c r="I76" s="317">
        <v>15240</v>
      </c>
      <c r="J76" s="317">
        <v>17200</v>
      </c>
      <c r="K76" s="317">
        <v>17810</v>
      </c>
      <c r="L76" s="317">
        <v>18720</v>
      </c>
      <c r="M76" s="317">
        <v>22120</v>
      </c>
      <c r="N76" s="317">
        <v>21900</v>
      </c>
      <c r="O76" s="317">
        <v>21850</v>
      </c>
      <c r="P76" s="317">
        <v>22080</v>
      </c>
      <c r="Q76" s="317">
        <v>22030</v>
      </c>
      <c r="R76" s="317">
        <v>22490</v>
      </c>
      <c r="S76" s="317">
        <v>22700</v>
      </c>
      <c r="T76" s="317">
        <v>23390</v>
      </c>
      <c r="U76" s="317">
        <v>23930</v>
      </c>
      <c r="V76" s="317">
        <v>24950</v>
      </c>
      <c r="W76" s="317">
        <v>25480</v>
      </c>
      <c r="X76" s="317">
        <v>25590</v>
      </c>
      <c r="Y76" s="317">
        <v>26860</v>
      </c>
      <c r="Z76" s="317">
        <v>27230</v>
      </c>
      <c r="AA76" s="317">
        <v>28140</v>
      </c>
      <c r="AB76" s="317">
        <v>28630</v>
      </c>
      <c r="AC76" s="317">
        <v>28470</v>
      </c>
      <c r="AD76" s="317">
        <v>28160</v>
      </c>
      <c r="AE76" s="317">
        <v>27170</v>
      </c>
      <c r="AF76" s="317">
        <v>26850</v>
      </c>
      <c r="AG76" s="317">
        <v>26470</v>
      </c>
      <c r="AH76" s="317">
        <v>26630</v>
      </c>
      <c r="AI76" s="317">
        <v>27030</v>
      </c>
      <c r="AJ76" s="317">
        <v>26710</v>
      </c>
      <c r="AK76" s="317">
        <v>27190</v>
      </c>
      <c r="AL76" s="317">
        <v>26850</v>
      </c>
      <c r="AM76" s="317">
        <v>25680</v>
      </c>
      <c r="AN76" s="317">
        <v>24630</v>
      </c>
      <c r="AO76" s="317">
        <v>23910</v>
      </c>
      <c r="AP76" s="317">
        <v>23280</v>
      </c>
      <c r="AQ76" s="317">
        <v>23270</v>
      </c>
      <c r="AR76" s="317">
        <v>23050</v>
      </c>
      <c r="AS76" s="317">
        <v>23840</v>
      </c>
      <c r="AT76" s="317">
        <v>24670</v>
      </c>
      <c r="AU76" s="317">
        <v>25570</v>
      </c>
      <c r="AV76" s="317">
        <v>26560</v>
      </c>
      <c r="AW76" s="317">
        <v>27770</v>
      </c>
      <c r="AX76" s="317">
        <v>28200</v>
      </c>
      <c r="AY76" s="317">
        <v>28780</v>
      </c>
      <c r="AZ76" s="317">
        <v>29640</v>
      </c>
      <c r="BA76" s="317">
        <v>30600</v>
      </c>
      <c r="BB76" s="317">
        <v>32200</v>
      </c>
      <c r="BC76" s="317">
        <v>33440</v>
      </c>
      <c r="BD76" s="317">
        <v>34810</v>
      </c>
      <c r="BE76" s="317">
        <v>36230</v>
      </c>
      <c r="BF76" s="317">
        <v>35670</v>
      </c>
    </row>
    <row r="77" spans="1:58" x14ac:dyDescent="0.2">
      <c r="A77" s="318" t="s">
        <v>75</v>
      </c>
      <c r="B77" s="315"/>
      <c r="C77" s="317">
        <v>12400</v>
      </c>
      <c r="D77" s="317">
        <v>12950</v>
      </c>
      <c r="E77" s="317">
        <v>13560</v>
      </c>
      <c r="F77" s="317">
        <v>13850</v>
      </c>
      <c r="G77" s="317">
        <v>15400</v>
      </c>
      <c r="H77" s="317">
        <v>16530</v>
      </c>
      <c r="I77" s="317">
        <v>16680</v>
      </c>
      <c r="J77" s="317">
        <v>15010</v>
      </c>
      <c r="K77" s="317">
        <v>16950</v>
      </c>
      <c r="L77" s="317">
        <v>17560</v>
      </c>
      <c r="M77" s="317">
        <v>18460</v>
      </c>
      <c r="N77" s="317">
        <v>21820</v>
      </c>
      <c r="O77" s="317">
        <v>21600</v>
      </c>
      <c r="P77" s="317">
        <v>21570</v>
      </c>
      <c r="Q77" s="317">
        <v>21800</v>
      </c>
      <c r="R77" s="317">
        <v>21760</v>
      </c>
      <c r="S77" s="317">
        <v>22220</v>
      </c>
      <c r="T77" s="317">
        <v>22440</v>
      </c>
      <c r="U77" s="317">
        <v>23130</v>
      </c>
      <c r="V77" s="317">
        <v>23670</v>
      </c>
      <c r="W77" s="317">
        <v>24690</v>
      </c>
      <c r="X77" s="317">
        <v>25210</v>
      </c>
      <c r="Y77" s="317">
        <v>25330</v>
      </c>
      <c r="Z77" s="317">
        <v>26600</v>
      </c>
      <c r="AA77" s="317">
        <v>26970</v>
      </c>
      <c r="AB77" s="317">
        <v>27870</v>
      </c>
      <c r="AC77" s="317">
        <v>28370</v>
      </c>
      <c r="AD77" s="317">
        <v>28220</v>
      </c>
      <c r="AE77" s="317">
        <v>27920</v>
      </c>
      <c r="AF77" s="317">
        <v>26940</v>
      </c>
      <c r="AG77" s="317">
        <v>26640</v>
      </c>
      <c r="AH77" s="317">
        <v>26270</v>
      </c>
      <c r="AI77" s="317">
        <v>26430</v>
      </c>
      <c r="AJ77" s="317">
        <v>26830</v>
      </c>
      <c r="AK77" s="317">
        <v>26520</v>
      </c>
      <c r="AL77" s="317">
        <v>27000</v>
      </c>
      <c r="AM77" s="317">
        <v>26670</v>
      </c>
      <c r="AN77" s="317">
        <v>25520</v>
      </c>
      <c r="AO77" s="317">
        <v>24480</v>
      </c>
      <c r="AP77" s="317">
        <v>23770</v>
      </c>
      <c r="AQ77" s="317">
        <v>23150</v>
      </c>
      <c r="AR77" s="317">
        <v>23140</v>
      </c>
      <c r="AS77" s="317">
        <v>22930</v>
      </c>
      <c r="AT77" s="317">
        <v>23720</v>
      </c>
      <c r="AU77" s="317">
        <v>24550</v>
      </c>
      <c r="AV77" s="317">
        <v>25450</v>
      </c>
      <c r="AW77" s="317">
        <v>26430</v>
      </c>
      <c r="AX77" s="317">
        <v>27640</v>
      </c>
      <c r="AY77" s="317">
        <v>28070</v>
      </c>
      <c r="AZ77" s="317">
        <v>28660</v>
      </c>
      <c r="BA77" s="317">
        <v>29510</v>
      </c>
      <c r="BB77" s="317">
        <v>30470</v>
      </c>
      <c r="BC77" s="317">
        <v>32070</v>
      </c>
      <c r="BD77" s="317">
        <v>33310</v>
      </c>
      <c r="BE77" s="317">
        <v>34680</v>
      </c>
      <c r="BF77" s="317">
        <v>36090</v>
      </c>
    </row>
    <row r="78" spans="1:58" x14ac:dyDescent="0.2">
      <c r="A78" s="318" t="s">
        <v>76</v>
      </c>
      <c r="B78" s="315"/>
      <c r="C78" s="317">
        <v>11940</v>
      </c>
      <c r="D78" s="317">
        <v>12130</v>
      </c>
      <c r="E78" s="317">
        <v>12680</v>
      </c>
      <c r="F78" s="317">
        <v>13290</v>
      </c>
      <c r="G78" s="317">
        <v>13620</v>
      </c>
      <c r="H78" s="317">
        <v>15100</v>
      </c>
      <c r="I78" s="317">
        <v>16230</v>
      </c>
      <c r="J78" s="317">
        <v>16390</v>
      </c>
      <c r="K78" s="317">
        <v>14760</v>
      </c>
      <c r="L78" s="317">
        <v>16680</v>
      </c>
      <c r="M78" s="317">
        <v>17290</v>
      </c>
      <c r="N78" s="317">
        <v>18180</v>
      </c>
      <c r="O78" s="317">
        <v>21490</v>
      </c>
      <c r="P78" s="317">
        <v>21290</v>
      </c>
      <c r="Q78" s="317">
        <v>21260</v>
      </c>
      <c r="R78" s="317">
        <v>21500</v>
      </c>
      <c r="S78" s="317">
        <v>21460</v>
      </c>
      <c r="T78" s="317">
        <v>21920</v>
      </c>
      <c r="U78" s="317">
        <v>22150</v>
      </c>
      <c r="V78" s="317">
        <v>22840</v>
      </c>
      <c r="W78" s="317">
        <v>23380</v>
      </c>
      <c r="X78" s="317">
        <v>24390</v>
      </c>
      <c r="Y78" s="317">
        <v>24920</v>
      </c>
      <c r="Z78" s="317">
        <v>25050</v>
      </c>
      <c r="AA78" s="317">
        <v>26310</v>
      </c>
      <c r="AB78" s="317">
        <v>26690</v>
      </c>
      <c r="AC78" s="317">
        <v>27590</v>
      </c>
      <c r="AD78" s="317">
        <v>28080</v>
      </c>
      <c r="AE78" s="317">
        <v>27940</v>
      </c>
      <c r="AF78" s="317">
        <v>27660</v>
      </c>
      <c r="AG78" s="317">
        <v>26700</v>
      </c>
      <c r="AH78" s="317">
        <v>26400</v>
      </c>
      <c r="AI78" s="317">
        <v>26040</v>
      </c>
      <c r="AJ78" s="317">
        <v>26210</v>
      </c>
      <c r="AK78" s="317">
        <v>26610</v>
      </c>
      <c r="AL78" s="317">
        <v>26310</v>
      </c>
      <c r="AM78" s="317">
        <v>26800</v>
      </c>
      <c r="AN78" s="317">
        <v>26470</v>
      </c>
      <c r="AO78" s="317">
        <v>25340</v>
      </c>
      <c r="AP78" s="317">
        <v>24320</v>
      </c>
      <c r="AQ78" s="317">
        <v>23620</v>
      </c>
      <c r="AR78" s="317">
        <v>23000</v>
      </c>
      <c r="AS78" s="317">
        <v>23000</v>
      </c>
      <c r="AT78" s="317">
        <v>22790</v>
      </c>
      <c r="AU78" s="317">
        <v>23580</v>
      </c>
      <c r="AV78" s="317">
        <v>24410</v>
      </c>
      <c r="AW78" s="317">
        <v>25310</v>
      </c>
      <c r="AX78" s="317">
        <v>26290</v>
      </c>
      <c r="AY78" s="317">
        <v>27500</v>
      </c>
      <c r="AZ78" s="317">
        <v>27930</v>
      </c>
      <c r="BA78" s="317">
        <v>28520</v>
      </c>
      <c r="BB78" s="317">
        <v>29370</v>
      </c>
      <c r="BC78" s="317">
        <v>30330</v>
      </c>
      <c r="BD78" s="317">
        <v>31920</v>
      </c>
      <c r="BE78" s="317">
        <v>33160</v>
      </c>
      <c r="BF78" s="317">
        <v>34530</v>
      </c>
    </row>
    <row r="79" spans="1:58" x14ac:dyDescent="0.2">
      <c r="A79" s="318" t="s">
        <v>77</v>
      </c>
      <c r="B79" s="315"/>
      <c r="C79" s="317">
        <v>11370</v>
      </c>
      <c r="D79" s="317">
        <v>11680</v>
      </c>
      <c r="E79" s="317">
        <v>11880</v>
      </c>
      <c r="F79" s="317">
        <v>12420</v>
      </c>
      <c r="G79" s="317">
        <v>13030</v>
      </c>
      <c r="H79" s="317">
        <v>13340</v>
      </c>
      <c r="I79" s="317">
        <v>14810</v>
      </c>
      <c r="J79" s="317">
        <v>15920</v>
      </c>
      <c r="K79" s="317">
        <v>16090</v>
      </c>
      <c r="L79" s="317">
        <v>14500</v>
      </c>
      <c r="M79" s="317">
        <v>16390</v>
      </c>
      <c r="N79" s="317">
        <v>16990</v>
      </c>
      <c r="O79" s="317">
        <v>17870</v>
      </c>
      <c r="P79" s="317">
        <v>21130</v>
      </c>
      <c r="Q79" s="317">
        <v>20940</v>
      </c>
      <c r="R79" s="317">
        <v>20930</v>
      </c>
      <c r="S79" s="317">
        <v>21170</v>
      </c>
      <c r="T79" s="317">
        <v>21140</v>
      </c>
      <c r="U79" s="317">
        <v>21610</v>
      </c>
      <c r="V79" s="317">
        <v>21840</v>
      </c>
      <c r="W79" s="317">
        <v>22520</v>
      </c>
      <c r="X79" s="317">
        <v>23070</v>
      </c>
      <c r="Y79" s="317">
        <v>24080</v>
      </c>
      <c r="Z79" s="317">
        <v>24610</v>
      </c>
      <c r="AA79" s="317">
        <v>24740</v>
      </c>
      <c r="AB79" s="317">
        <v>25990</v>
      </c>
      <c r="AC79" s="317">
        <v>26370</v>
      </c>
      <c r="AD79" s="317">
        <v>27270</v>
      </c>
      <c r="AE79" s="317">
        <v>27770</v>
      </c>
      <c r="AF79" s="317">
        <v>27640</v>
      </c>
      <c r="AG79" s="317">
        <v>27370</v>
      </c>
      <c r="AH79" s="317">
        <v>26430</v>
      </c>
      <c r="AI79" s="317">
        <v>26140</v>
      </c>
      <c r="AJ79" s="317">
        <v>25800</v>
      </c>
      <c r="AK79" s="317">
        <v>25970</v>
      </c>
      <c r="AL79" s="317">
        <v>26370</v>
      </c>
      <c r="AM79" s="317">
        <v>26080</v>
      </c>
      <c r="AN79" s="317">
        <v>26570</v>
      </c>
      <c r="AO79" s="317">
        <v>26260</v>
      </c>
      <c r="AP79" s="317">
        <v>25140</v>
      </c>
      <c r="AQ79" s="317">
        <v>24130</v>
      </c>
      <c r="AR79" s="317">
        <v>23440</v>
      </c>
      <c r="AS79" s="317">
        <v>22840</v>
      </c>
      <c r="AT79" s="317">
        <v>22840</v>
      </c>
      <c r="AU79" s="317">
        <v>22640</v>
      </c>
      <c r="AV79" s="317">
        <v>23430</v>
      </c>
      <c r="AW79" s="317">
        <v>24260</v>
      </c>
      <c r="AX79" s="317">
        <v>25150</v>
      </c>
      <c r="AY79" s="317">
        <v>26130</v>
      </c>
      <c r="AZ79" s="317">
        <v>27340</v>
      </c>
      <c r="BA79" s="317">
        <v>27770</v>
      </c>
      <c r="BB79" s="317">
        <v>28360</v>
      </c>
      <c r="BC79" s="317">
        <v>29210</v>
      </c>
      <c r="BD79" s="317">
        <v>30170</v>
      </c>
      <c r="BE79" s="317">
        <v>31760</v>
      </c>
      <c r="BF79" s="317">
        <v>32990</v>
      </c>
    </row>
    <row r="80" spans="1:58" x14ac:dyDescent="0.2">
      <c r="A80" s="318" t="s">
        <v>78</v>
      </c>
      <c r="B80" s="315"/>
      <c r="C80" s="317">
        <v>10890</v>
      </c>
      <c r="D80" s="317">
        <v>11050</v>
      </c>
      <c r="E80" s="317">
        <v>11410</v>
      </c>
      <c r="F80" s="317">
        <v>11580</v>
      </c>
      <c r="G80" s="317">
        <v>12150</v>
      </c>
      <c r="H80" s="317">
        <v>12730</v>
      </c>
      <c r="I80" s="317">
        <v>13050</v>
      </c>
      <c r="J80" s="317">
        <v>14490</v>
      </c>
      <c r="K80" s="317">
        <v>15590</v>
      </c>
      <c r="L80" s="317">
        <v>15760</v>
      </c>
      <c r="M80" s="317">
        <v>14220</v>
      </c>
      <c r="N80" s="317">
        <v>16070</v>
      </c>
      <c r="O80" s="317">
        <v>16670</v>
      </c>
      <c r="P80" s="317">
        <v>17540</v>
      </c>
      <c r="Q80" s="317">
        <v>20750</v>
      </c>
      <c r="R80" s="317">
        <v>20570</v>
      </c>
      <c r="S80" s="317">
        <v>20570</v>
      </c>
      <c r="T80" s="317">
        <v>20820</v>
      </c>
      <c r="U80" s="317">
        <v>20800</v>
      </c>
      <c r="V80" s="317">
        <v>21260</v>
      </c>
      <c r="W80" s="317">
        <v>21500</v>
      </c>
      <c r="X80" s="317">
        <v>22190</v>
      </c>
      <c r="Y80" s="317">
        <v>22730</v>
      </c>
      <c r="Z80" s="317">
        <v>23730</v>
      </c>
      <c r="AA80" s="317">
        <v>24260</v>
      </c>
      <c r="AB80" s="317">
        <v>24410</v>
      </c>
      <c r="AC80" s="317">
        <v>25650</v>
      </c>
      <c r="AD80" s="317">
        <v>26030</v>
      </c>
      <c r="AE80" s="317">
        <v>26930</v>
      </c>
      <c r="AF80" s="317">
        <v>27430</v>
      </c>
      <c r="AG80" s="317">
        <v>27310</v>
      </c>
      <c r="AH80" s="317">
        <v>27050</v>
      </c>
      <c r="AI80" s="317">
        <v>26130</v>
      </c>
      <c r="AJ80" s="317">
        <v>25860</v>
      </c>
      <c r="AK80" s="317">
        <v>25530</v>
      </c>
      <c r="AL80" s="317">
        <v>25700</v>
      </c>
      <c r="AM80" s="317">
        <v>26110</v>
      </c>
      <c r="AN80" s="317">
        <v>25830</v>
      </c>
      <c r="AO80" s="317">
        <v>26320</v>
      </c>
      <c r="AP80" s="317">
        <v>26020</v>
      </c>
      <c r="AQ80" s="317">
        <v>24910</v>
      </c>
      <c r="AR80" s="317">
        <v>23930</v>
      </c>
      <c r="AS80" s="317">
        <v>23250</v>
      </c>
      <c r="AT80" s="317">
        <v>22660</v>
      </c>
      <c r="AU80" s="317">
        <v>22670</v>
      </c>
      <c r="AV80" s="317">
        <v>22470</v>
      </c>
      <c r="AW80" s="317">
        <v>23260</v>
      </c>
      <c r="AX80" s="317">
        <v>24080</v>
      </c>
      <c r="AY80" s="317">
        <v>24980</v>
      </c>
      <c r="AZ80" s="317">
        <v>25950</v>
      </c>
      <c r="BA80" s="317">
        <v>27150</v>
      </c>
      <c r="BB80" s="317">
        <v>27590</v>
      </c>
      <c r="BC80" s="317">
        <v>28180</v>
      </c>
      <c r="BD80" s="317">
        <v>29030</v>
      </c>
      <c r="BE80" s="317">
        <v>29990</v>
      </c>
      <c r="BF80" s="317">
        <v>31570</v>
      </c>
    </row>
    <row r="81" spans="1:58" x14ac:dyDescent="0.2">
      <c r="A81" s="318" t="s">
        <v>79</v>
      </c>
      <c r="B81" s="315"/>
      <c r="C81" s="317">
        <v>10790</v>
      </c>
      <c r="D81" s="317">
        <v>10560</v>
      </c>
      <c r="E81" s="317">
        <v>10740</v>
      </c>
      <c r="F81" s="317">
        <v>11090</v>
      </c>
      <c r="G81" s="317">
        <v>11290</v>
      </c>
      <c r="H81" s="317">
        <v>11880</v>
      </c>
      <c r="I81" s="317">
        <v>12410</v>
      </c>
      <c r="J81" s="317">
        <v>12730</v>
      </c>
      <c r="K81" s="317">
        <v>14140</v>
      </c>
      <c r="L81" s="317">
        <v>15230</v>
      </c>
      <c r="M81" s="317">
        <v>15410</v>
      </c>
      <c r="N81" s="317">
        <v>13910</v>
      </c>
      <c r="O81" s="317">
        <v>15730</v>
      </c>
      <c r="P81" s="317">
        <v>16320</v>
      </c>
      <c r="Q81" s="317">
        <v>17190</v>
      </c>
      <c r="R81" s="317">
        <v>20330</v>
      </c>
      <c r="S81" s="317">
        <v>20170</v>
      </c>
      <c r="T81" s="317">
        <v>20180</v>
      </c>
      <c r="U81" s="317">
        <v>20430</v>
      </c>
      <c r="V81" s="317">
        <v>20430</v>
      </c>
      <c r="W81" s="317">
        <v>20890</v>
      </c>
      <c r="X81" s="317">
        <v>21130</v>
      </c>
      <c r="Y81" s="317">
        <v>21820</v>
      </c>
      <c r="Z81" s="317">
        <v>22360</v>
      </c>
      <c r="AA81" s="317">
        <v>23360</v>
      </c>
      <c r="AB81" s="317">
        <v>23890</v>
      </c>
      <c r="AC81" s="317">
        <v>24040</v>
      </c>
      <c r="AD81" s="317">
        <v>25270</v>
      </c>
      <c r="AE81" s="317">
        <v>25660</v>
      </c>
      <c r="AF81" s="317">
        <v>26550</v>
      </c>
      <c r="AG81" s="317">
        <v>27060</v>
      </c>
      <c r="AH81" s="317">
        <v>26950</v>
      </c>
      <c r="AI81" s="317">
        <v>26710</v>
      </c>
      <c r="AJ81" s="317">
        <v>25810</v>
      </c>
      <c r="AK81" s="317">
        <v>25540</v>
      </c>
      <c r="AL81" s="317">
        <v>25230</v>
      </c>
      <c r="AM81" s="317">
        <v>25410</v>
      </c>
      <c r="AN81" s="317">
        <v>25820</v>
      </c>
      <c r="AO81" s="317">
        <v>25550</v>
      </c>
      <c r="AP81" s="317">
        <v>26040</v>
      </c>
      <c r="AQ81" s="317">
        <v>25750</v>
      </c>
      <c r="AR81" s="317">
        <v>24670</v>
      </c>
      <c r="AS81" s="317">
        <v>23700</v>
      </c>
      <c r="AT81" s="317">
        <v>23040</v>
      </c>
      <c r="AU81" s="317">
        <v>22450</v>
      </c>
      <c r="AV81" s="317">
        <v>22470</v>
      </c>
      <c r="AW81" s="317">
        <v>22280</v>
      </c>
      <c r="AX81" s="317">
        <v>23070</v>
      </c>
      <c r="AY81" s="317">
        <v>23890</v>
      </c>
      <c r="AZ81" s="317">
        <v>24780</v>
      </c>
      <c r="BA81" s="317">
        <v>25750</v>
      </c>
      <c r="BB81" s="317">
        <v>26950</v>
      </c>
      <c r="BC81" s="317">
        <v>27390</v>
      </c>
      <c r="BD81" s="317">
        <v>27980</v>
      </c>
      <c r="BE81" s="317">
        <v>28830</v>
      </c>
      <c r="BF81" s="317">
        <v>29780</v>
      </c>
    </row>
    <row r="82" spans="1:58" x14ac:dyDescent="0.2">
      <c r="A82" s="318" t="s">
        <v>80</v>
      </c>
      <c r="B82" s="315"/>
      <c r="C82" s="317">
        <v>10770</v>
      </c>
      <c r="D82" s="317">
        <v>10470</v>
      </c>
      <c r="E82" s="317">
        <v>10240</v>
      </c>
      <c r="F82" s="317">
        <v>10400</v>
      </c>
      <c r="G82" s="317">
        <v>10750</v>
      </c>
      <c r="H82" s="317">
        <v>10980</v>
      </c>
      <c r="I82" s="317">
        <v>11550</v>
      </c>
      <c r="J82" s="317">
        <v>12070</v>
      </c>
      <c r="K82" s="317">
        <v>12390</v>
      </c>
      <c r="L82" s="317">
        <v>13780</v>
      </c>
      <c r="M82" s="317">
        <v>14840</v>
      </c>
      <c r="N82" s="317">
        <v>15020</v>
      </c>
      <c r="O82" s="317">
        <v>13580</v>
      </c>
      <c r="P82" s="317">
        <v>15360</v>
      </c>
      <c r="Q82" s="317">
        <v>15950</v>
      </c>
      <c r="R82" s="317">
        <v>16800</v>
      </c>
      <c r="S82" s="317">
        <v>19880</v>
      </c>
      <c r="T82" s="317">
        <v>19740</v>
      </c>
      <c r="U82" s="317">
        <v>19750</v>
      </c>
      <c r="V82" s="317">
        <v>20020</v>
      </c>
      <c r="W82" s="317">
        <v>20020</v>
      </c>
      <c r="X82" s="317">
        <v>20490</v>
      </c>
      <c r="Y82" s="317">
        <v>20730</v>
      </c>
      <c r="Z82" s="317">
        <v>21410</v>
      </c>
      <c r="AA82" s="317">
        <v>21960</v>
      </c>
      <c r="AB82" s="317">
        <v>22950</v>
      </c>
      <c r="AC82" s="317">
        <v>23480</v>
      </c>
      <c r="AD82" s="317">
        <v>23640</v>
      </c>
      <c r="AE82" s="317">
        <v>24860</v>
      </c>
      <c r="AF82" s="317">
        <v>25260</v>
      </c>
      <c r="AG82" s="317">
        <v>26140</v>
      </c>
      <c r="AH82" s="317">
        <v>26650</v>
      </c>
      <c r="AI82" s="317">
        <v>26560</v>
      </c>
      <c r="AJ82" s="317">
        <v>26330</v>
      </c>
      <c r="AK82" s="317">
        <v>25450</v>
      </c>
      <c r="AL82" s="317">
        <v>25200</v>
      </c>
      <c r="AM82" s="317">
        <v>24900</v>
      </c>
      <c r="AN82" s="317">
        <v>25090</v>
      </c>
      <c r="AO82" s="317">
        <v>25500</v>
      </c>
      <c r="AP82" s="317">
        <v>25240</v>
      </c>
      <c r="AQ82" s="317">
        <v>25740</v>
      </c>
      <c r="AR82" s="317">
        <v>25460</v>
      </c>
      <c r="AS82" s="317">
        <v>24390</v>
      </c>
      <c r="AT82" s="317">
        <v>23440</v>
      </c>
      <c r="AU82" s="317">
        <v>22800</v>
      </c>
      <c r="AV82" s="317">
        <v>22230</v>
      </c>
      <c r="AW82" s="317">
        <v>22250</v>
      </c>
      <c r="AX82" s="317">
        <v>22070</v>
      </c>
      <c r="AY82" s="317">
        <v>22850</v>
      </c>
      <c r="AZ82" s="317">
        <v>23670</v>
      </c>
      <c r="BA82" s="317">
        <v>24560</v>
      </c>
      <c r="BB82" s="317">
        <v>25530</v>
      </c>
      <c r="BC82" s="317">
        <v>26720</v>
      </c>
      <c r="BD82" s="317">
        <v>27160</v>
      </c>
      <c r="BE82" s="317">
        <v>27750</v>
      </c>
      <c r="BF82" s="317">
        <v>28600</v>
      </c>
    </row>
    <row r="83" spans="1:58" x14ac:dyDescent="0.2">
      <c r="A83" s="318" t="s">
        <v>81</v>
      </c>
      <c r="B83" s="315"/>
      <c r="C83" s="317">
        <v>10040</v>
      </c>
      <c r="D83" s="317">
        <v>10400</v>
      </c>
      <c r="E83" s="317">
        <v>10120</v>
      </c>
      <c r="F83" s="317">
        <v>9890</v>
      </c>
      <c r="G83" s="317">
        <v>10060</v>
      </c>
      <c r="H83" s="317">
        <v>10430</v>
      </c>
      <c r="I83" s="317">
        <v>10640</v>
      </c>
      <c r="J83" s="317">
        <v>11190</v>
      </c>
      <c r="K83" s="317">
        <v>11710</v>
      </c>
      <c r="L83" s="317">
        <v>12030</v>
      </c>
      <c r="M83" s="317">
        <v>13380</v>
      </c>
      <c r="N83" s="317">
        <v>14430</v>
      </c>
      <c r="O83" s="317">
        <v>14610</v>
      </c>
      <c r="P83" s="317">
        <v>13220</v>
      </c>
      <c r="Q83" s="317">
        <v>14960</v>
      </c>
      <c r="R83" s="317">
        <v>15540</v>
      </c>
      <c r="S83" s="317">
        <v>16380</v>
      </c>
      <c r="T83" s="317">
        <v>19400</v>
      </c>
      <c r="U83" s="317">
        <v>19270</v>
      </c>
      <c r="V83" s="317">
        <v>19300</v>
      </c>
      <c r="W83" s="317">
        <v>19560</v>
      </c>
      <c r="X83" s="317">
        <v>19580</v>
      </c>
      <c r="Y83" s="317">
        <v>20050</v>
      </c>
      <c r="Z83" s="317">
        <v>20300</v>
      </c>
      <c r="AA83" s="317">
        <v>20980</v>
      </c>
      <c r="AB83" s="317">
        <v>21520</v>
      </c>
      <c r="AC83" s="317">
        <v>22500</v>
      </c>
      <c r="AD83" s="317">
        <v>23030</v>
      </c>
      <c r="AE83" s="317">
        <v>23200</v>
      </c>
      <c r="AF83" s="317">
        <v>24410</v>
      </c>
      <c r="AG83" s="317">
        <v>24810</v>
      </c>
      <c r="AH83" s="317">
        <v>25690</v>
      </c>
      <c r="AI83" s="317">
        <v>26200</v>
      </c>
      <c r="AJ83" s="317">
        <v>26120</v>
      </c>
      <c r="AK83" s="317">
        <v>25910</v>
      </c>
      <c r="AL83" s="317">
        <v>25050</v>
      </c>
      <c r="AM83" s="317">
        <v>24820</v>
      </c>
      <c r="AN83" s="317">
        <v>24530</v>
      </c>
      <c r="AO83" s="317">
        <v>24730</v>
      </c>
      <c r="AP83" s="317">
        <v>25140</v>
      </c>
      <c r="AQ83" s="317">
        <v>24900</v>
      </c>
      <c r="AR83" s="317">
        <v>25400</v>
      </c>
      <c r="AS83" s="317">
        <v>25130</v>
      </c>
      <c r="AT83" s="317">
        <v>24090</v>
      </c>
      <c r="AU83" s="317">
        <v>23160</v>
      </c>
      <c r="AV83" s="317">
        <v>22520</v>
      </c>
      <c r="AW83" s="317">
        <v>21970</v>
      </c>
      <c r="AX83" s="317">
        <v>22000</v>
      </c>
      <c r="AY83" s="317">
        <v>21830</v>
      </c>
      <c r="AZ83" s="317">
        <v>22610</v>
      </c>
      <c r="BA83" s="317">
        <v>23420</v>
      </c>
      <c r="BB83" s="317">
        <v>24310</v>
      </c>
      <c r="BC83" s="317">
        <v>25280</v>
      </c>
      <c r="BD83" s="317">
        <v>26460</v>
      </c>
      <c r="BE83" s="317">
        <v>26910</v>
      </c>
      <c r="BF83" s="317">
        <v>27500</v>
      </c>
    </row>
    <row r="84" spans="1:58" x14ac:dyDescent="0.2">
      <c r="A84" s="318" t="s">
        <v>82</v>
      </c>
      <c r="B84" s="315"/>
      <c r="C84" s="317">
        <v>9480</v>
      </c>
      <c r="D84" s="317">
        <v>9630</v>
      </c>
      <c r="E84" s="317">
        <v>10010</v>
      </c>
      <c r="F84" s="317">
        <v>9740</v>
      </c>
      <c r="G84" s="317">
        <v>9540</v>
      </c>
      <c r="H84" s="317">
        <v>9710</v>
      </c>
      <c r="I84" s="317">
        <v>10050</v>
      </c>
      <c r="J84" s="317">
        <v>10270</v>
      </c>
      <c r="K84" s="317">
        <v>10810</v>
      </c>
      <c r="L84" s="317">
        <v>11320</v>
      </c>
      <c r="M84" s="317">
        <v>11640</v>
      </c>
      <c r="N84" s="317">
        <v>12960</v>
      </c>
      <c r="O84" s="317">
        <v>13980</v>
      </c>
      <c r="P84" s="317">
        <v>14170</v>
      </c>
      <c r="Q84" s="317">
        <v>12820</v>
      </c>
      <c r="R84" s="317">
        <v>14530</v>
      </c>
      <c r="S84" s="317">
        <v>15100</v>
      </c>
      <c r="T84" s="317">
        <v>15930</v>
      </c>
      <c r="U84" s="317">
        <v>18870</v>
      </c>
      <c r="V84" s="317">
        <v>18760</v>
      </c>
      <c r="W84" s="317">
        <v>18800</v>
      </c>
      <c r="X84" s="317">
        <v>19070</v>
      </c>
      <c r="Y84" s="317">
        <v>19100</v>
      </c>
      <c r="Z84" s="317">
        <v>19570</v>
      </c>
      <c r="AA84" s="317">
        <v>19820</v>
      </c>
      <c r="AB84" s="317">
        <v>20500</v>
      </c>
      <c r="AC84" s="317">
        <v>21040</v>
      </c>
      <c r="AD84" s="317">
        <v>22010</v>
      </c>
      <c r="AE84" s="317">
        <v>22540</v>
      </c>
      <c r="AF84" s="317">
        <v>22720</v>
      </c>
      <c r="AG84" s="317">
        <v>23910</v>
      </c>
      <c r="AH84" s="317">
        <v>24320</v>
      </c>
      <c r="AI84" s="317">
        <v>25200</v>
      </c>
      <c r="AJ84" s="317">
        <v>25710</v>
      </c>
      <c r="AK84" s="317">
        <v>25640</v>
      </c>
      <c r="AL84" s="317">
        <v>25440</v>
      </c>
      <c r="AM84" s="317">
        <v>24610</v>
      </c>
      <c r="AN84" s="317">
        <v>24400</v>
      </c>
      <c r="AO84" s="317">
        <v>24120</v>
      </c>
      <c r="AP84" s="317">
        <v>24320</v>
      </c>
      <c r="AQ84" s="317">
        <v>24740</v>
      </c>
      <c r="AR84" s="317">
        <v>24510</v>
      </c>
      <c r="AS84" s="317">
        <v>25010</v>
      </c>
      <c r="AT84" s="317">
        <v>24760</v>
      </c>
      <c r="AU84" s="317">
        <v>23740</v>
      </c>
      <c r="AV84" s="317">
        <v>22830</v>
      </c>
      <c r="AW84" s="317">
        <v>22220</v>
      </c>
      <c r="AX84" s="317">
        <v>21680</v>
      </c>
      <c r="AY84" s="317">
        <v>21710</v>
      </c>
      <c r="AZ84" s="317">
        <v>21550</v>
      </c>
      <c r="BA84" s="317">
        <v>22330</v>
      </c>
      <c r="BB84" s="317">
        <v>23140</v>
      </c>
      <c r="BC84" s="317">
        <v>24020</v>
      </c>
      <c r="BD84" s="317">
        <v>24990</v>
      </c>
      <c r="BE84" s="317">
        <v>26170</v>
      </c>
      <c r="BF84" s="317">
        <v>26610</v>
      </c>
    </row>
    <row r="85" spans="1:58" x14ac:dyDescent="0.2">
      <c r="A85" s="318" t="s">
        <v>83</v>
      </c>
      <c r="B85" s="315"/>
      <c r="C85" s="317">
        <v>9060</v>
      </c>
      <c r="D85" s="317">
        <v>9070</v>
      </c>
      <c r="E85" s="317">
        <v>9200</v>
      </c>
      <c r="F85" s="317">
        <v>9560</v>
      </c>
      <c r="G85" s="317">
        <v>9400</v>
      </c>
      <c r="H85" s="317">
        <v>9090</v>
      </c>
      <c r="I85" s="317">
        <v>9310</v>
      </c>
      <c r="J85" s="317">
        <v>9660</v>
      </c>
      <c r="K85" s="317">
        <v>9870</v>
      </c>
      <c r="L85" s="317">
        <v>10410</v>
      </c>
      <c r="M85" s="317">
        <v>10910</v>
      </c>
      <c r="N85" s="317">
        <v>11220</v>
      </c>
      <c r="O85" s="317">
        <v>12500</v>
      </c>
      <c r="P85" s="317">
        <v>13500</v>
      </c>
      <c r="Q85" s="317">
        <v>13690</v>
      </c>
      <c r="R85" s="317">
        <v>12400</v>
      </c>
      <c r="S85" s="317">
        <v>14060</v>
      </c>
      <c r="T85" s="317">
        <v>14620</v>
      </c>
      <c r="U85" s="317">
        <v>15440</v>
      </c>
      <c r="V85" s="317">
        <v>18300</v>
      </c>
      <c r="W85" s="317">
        <v>18210</v>
      </c>
      <c r="X85" s="317">
        <v>18260</v>
      </c>
      <c r="Y85" s="317">
        <v>18530</v>
      </c>
      <c r="Z85" s="317">
        <v>18570</v>
      </c>
      <c r="AA85" s="317">
        <v>19040</v>
      </c>
      <c r="AB85" s="317">
        <v>19300</v>
      </c>
      <c r="AC85" s="317">
        <v>19970</v>
      </c>
      <c r="AD85" s="317">
        <v>20510</v>
      </c>
      <c r="AE85" s="317">
        <v>21470</v>
      </c>
      <c r="AF85" s="317">
        <v>22000</v>
      </c>
      <c r="AG85" s="317">
        <v>22190</v>
      </c>
      <c r="AH85" s="317">
        <v>23370</v>
      </c>
      <c r="AI85" s="317">
        <v>23780</v>
      </c>
      <c r="AJ85" s="317">
        <v>24650</v>
      </c>
      <c r="AK85" s="317">
        <v>25160</v>
      </c>
      <c r="AL85" s="317">
        <v>25110</v>
      </c>
      <c r="AM85" s="317">
        <v>24920</v>
      </c>
      <c r="AN85" s="317">
        <v>24130</v>
      </c>
      <c r="AO85" s="317">
        <v>23920</v>
      </c>
      <c r="AP85" s="317">
        <v>23660</v>
      </c>
      <c r="AQ85" s="317">
        <v>23870</v>
      </c>
      <c r="AR85" s="317">
        <v>24300</v>
      </c>
      <c r="AS85" s="317">
        <v>24080</v>
      </c>
      <c r="AT85" s="317">
        <v>24580</v>
      </c>
      <c r="AU85" s="317">
        <v>24340</v>
      </c>
      <c r="AV85" s="317">
        <v>23350</v>
      </c>
      <c r="AW85" s="317">
        <v>22470</v>
      </c>
      <c r="AX85" s="317">
        <v>21870</v>
      </c>
      <c r="AY85" s="317">
        <v>21350</v>
      </c>
      <c r="AZ85" s="317">
        <v>21390</v>
      </c>
      <c r="BA85" s="317">
        <v>21240</v>
      </c>
      <c r="BB85" s="317">
        <v>22010</v>
      </c>
      <c r="BC85" s="317">
        <v>22820</v>
      </c>
      <c r="BD85" s="317">
        <v>23700</v>
      </c>
      <c r="BE85" s="317">
        <v>24650</v>
      </c>
      <c r="BF85" s="317">
        <v>25830</v>
      </c>
    </row>
    <row r="86" spans="1:58" x14ac:dyDescent="0.2">
      <c r="A86" s="318" t="s">
        <v>84</v>
      </c>
      <c r="B86" s="315"/>
      <c r="C86" s="317">
        <v>8220</v>
      </c>
      <c r="D86" s="317">
        <v>8570</v>
      </c>
      <c r="E86" s="317">
        <v>8640</v>
      </c>
      <c r="F86" s="317">
        <v>8730</v>
      </c>
      <c r="G86" s="317">
        <v>9140</v>
      </c>
      <c r="H86" s="317">
        <v>8980</v>
      </c>
      <c r="I86" s="317">
        <v>8680</v>
      </c>
      <c r="J86" s="317">
        <v>8900</v>
      </c>
      <c r="K86" s="317">
        <v>9240</v>
      </c>
      <c r="L86" s="317">
        <v>9450</v>
      </c>
      <c r="M86" s="317">
        <v>9970</v>
      </c>
      <c r="N86" s="317">
        <v>10460</v>
      </c>
      <c r="O86" s="317">
        <v>10770</v>
      </c>
      <c r="P86" s="317">
        <v>12010</v>
      </c>
      <c r="Q86" s="317">
        <v>12980</v>
      </c>
      <c r="R86" s="317">
        <v>13180</v>
      </c>
      <c r="S86" s="317">
        <v>11950</v>
      </c>
      <c r="T86" s="317">
        <v>13550</v>
      </c>
      <c r="U86" s="317">
        <v>14110</v>
      </c>
      <c r="V86" s="317">
        <v>14910</v>
      </c>
      <c r="W86" s="317">
        <v>17690</v>
      </c>
      <c r="X86" s="317">
        <v>17610</v>
      </c>
      <c r="Y86" s="317">
        <v>17670</v>
      </c>
      <c r="Z86" s="317">
        <v>17950</v>
      </c>
      <c r="AA86" s="317">
        <v>18000</v>
      </c>
      <c r="AB86" s="317">
        <v>18470</v>
      </c>
      <c r="AC86" s="317">
        <v>18730</v>
      </c>
      <c r="AD86" s="317">
        <v>19390</v>
      </c>
      <c r="AE86" s="317">
        <v>19930</v>
      </c>
      <c r="AF86" s="317">
        <v>20880</v>
      </c>
      <c r="AG86" s="317">
        <v>21410</v>
      </c>
      <c r="AH86" s="317">
        <v>21600</v>
      </c>
      <c r="AI86" s="317">
        <v>22760</v>
      </c>
      <c r="AJ86" s="317">
        <v>23170</v>
      </c>
      <c r="AK86" s="317">
        <v>24040</v>
      </c>
      <c r="AL86" s="317">
        <v>24550</v>
      </c>
      <c r="AM86" s="317">
        <v>24510</v>
      </c>
      <c r="AN86" s="317">
        <v>24350</v>
      </c>
      <c r="AO86" s="317">
        <v>23580</v>
      </c>
      <c r="AP86" s="317">
        <v>23390</v>
      </c>
      <c r="AQ86" s="317">
        <v>23150</v>
      </c>
      <c r="AR86" s="317">
        <v>23370</v>
      </c>
      <c r="AS86" s="317">
        <v>23790</v>
      </c>
      <c r="AT86" s="317">
        <v>23590</v>
      </c>
      <c r="AU86" s="317">
        <v>24090</v>
      </c>
      <c r="AV86" s="317">
        <v>23870</v>
      </c>
      <c r="AW86" s="317">
        <v>22910</v>
      </c>
      <c r="AX86" s="317">
        <v>22050</v>
      </c>
      <c r="AY86" s="317">
        <v>21470</v>
      </c>
      <c r="AZ86" s="317">
        <v>20970</v>
      </c>
      <c r="BA86" s="317">
        <v>21020</v>
      </c>
      <c r="BB86" s="317">
        <v>20880</v>
      </c>
      <c r="BC86" s="317">
        <v>21650</v>
      </c>
      <c r="BD86" s="317">
        <v>22450</v>
      </c>
      <c r="BE86" s="317">
        <v>23320</v>
      </c>
      <c r="BF86" s="317">
        <v>24270</v>
      </c>
    </row>
    <row r="87" spans="1:58" x14ac:dyDescent="0.2">
      <c r="A87" s="318" t="s">
        <v>85</v>
      </c>
      <c r="B87" s="315"/>
      <c r="C87" s="317">
        <v>7520</v>
      </c>
      <c r="D87" s="317">
        <v>7770</v>
      </c>
      <c r="E87" s="317">
        <v>8060</v>
      </c>
      <c r="F87" s="317">
        <v>8160</v>
      </c>
      <c r="G87" s="317">
        <v>8270</v>
      </c>
      <c r="H87" s="317">
        <v>8700</v>
      </c>
      <c r="I87" s="317">
        <v>8520</v>
      </c>
      <c r="J87" s="317">
        <v>8240</v>
      </c>
      <c r="K87" s="317">
        <v>8460</v>
      </c>
      <c r="L87" s="317">
        <v>8790</v>
      </c>
      <c r="M87" s="317">
        <v>9000</v>
      </c>
      <c r="N87" s="317">
        <v>9510</v>
      </c>
      <c r="O87" s="317">
        <v>9990</v>
      </c>
      <c r="P87" s="317">
        <v>10290</v>
      </c>
      <c r="Q87" s="317">
        <v>11490</v>
      </c>
      <c r="R87" s="317">
        <v>12420</v>
      </c>
      <c r="S87" s="317">
        <v>12630</v>
      </c>
      <c r="T87" s="317">
        <v>11460</v>
      </c>
      <c r="U87" s="317">
        <v>13010</v>
      </c>
      <c r="V87" s="317">
        <v>13560</v>
      </c>
      <c r="W87" s="317">
        <v>14330</v>
      </c>
      <c r="X87" s="317">
        <v>17020</v>
      </c>
      <c r="Y87" s="317">
        <v>16950</v>
      </c>
      <c r="Z87" s="317">
        <v>17030</v>
      </c>
      <c r="AA87" s="317">
        <v>17310</v>
      </c>
      <c r="AB87" s="317">
        <v>17370</v>
      </c>
      <c r="AC87" s="317">
        <v>17840</v>
      </c>
      <c r="AD87" s="317">
        <v>18110</v>
      </c>
      <c r="AE87" s="317">
        <v>18760</v>
      </c>
      <c r="AF87" s="317">
        <v>19300</v>
      </c>
      <c r="AG87" s="317">
        <v>20220</v>
      </c>
      <c r="AH87" s="317">
        <v>20750</v>
      </c>
      <c r="AI87" s="317">
        <v>20950</v>
      </c>
      <c r="AJ87" s="317">
        <v>22090</v>
      </c>
      <c r="AK87" s="317">
        <v>22510</v>
      </c>
      <c r="AL87" s="317">
        <v>23360</v>
      </c>
      <c r="AM87" s="317">
        <v>23870</v>
      </c>
      <c r="AN87" s="317">
        <v>23850</v>
      </c>
      <c r="AO87" s="317">
        <v>23700</v>
      </c>
      <c r="AP87" s="317">
        <v>22970</v>
      </c>
      <c r="AQ87" s="317">
        <v>22800</v>
      </c>
      <c r="AR87" s="317">
        <v>22580</v>
      </c>
      <c r="AS87" s="317">
        <v>22800</v>
      </c>
      <c r="AT87" s="317">
        <v>23220</v>
      </c>
      <c r="AU87" s="317">
        <v>23040</v>
      </c>
      <c r="AV87" s="317">
        <v>23540</v>
      </c>
      <c r="AW87" s="317">
        <v>23330</v>
      </c>
      <c r="AX87" s="317">
        <v>22410</v>
      </c>
      <c r="AY87" s="317">
        <v>21580</v>
      </c>
      <c r="AZ87" s="317">
        <v>21020</v>
      </c>
      <c r="BA87" s="317">
        <v>20540</v>
      </c>
      <c r="BB87" s="317">
        <v>20600</v>
      </c>
      <c r="BC87" s="317">
        <v>20470</v>
      </c>
      <c r="BD87" s="317">
        <v>21230</v>
      </c>
      <c r="BE87" s="317">
        <v>22030</v>
      </c>
      <c r="BF87" s="317">
        <v>22890</v>
      </c>
    </row>
    <row r="88" spans="1:58" x14ac:dyDescent="0.2">
      <c r="A88" s="318" t="s">
        <v>86</v>
      </c>
      <c r="B88" s="315"/>
      <c r="C88" s="317">
        <v>6900</v>
      </c>
      <c r="D88" s="317">
        <v>7020</v>
      </c>
      <c r="E88" s="317">
        <v>7250</v>
      </c>
      <c r="F88" s="317">
        <v>7570</v>
      </c>
      <c r="G88" s="317">
        <v>7690</v>
      </c>
      <c r="H88" s="317">
        <v>7840</v>
      </c>
      <c r="I88" s="317">
        <v>8200</v>
      </c>
      <c r="J88" s="317">
        <v>8040</v>
      </c>
      <c r="K88" s="317">
        <v>7790</v>
      </c>
      <c r="L88" s="317">
        <v>8000</v>
      </c>
      <c r="M88" s="317">
        <v>8320</v>
      </c>
      <c r="N88" s="317">
        <v>8530</v>
      </c>
      <c r="O88" s="317">
        <v>9020</v>
      </c>
      <c r="P88" s="317">
        <v>9480</v>
      </c>
      <c r="Q88" s="317">
        <v>9780</v>
      </c>
      <c r="R88" s="317">
        <v>10930</v>
      </c>
      <c r="S88" s="317">
        <v>11830</v>
      </c>
      <c r="T88" s="317">
        <v>12040</v>
      </c>
      <c r="U88" s="317">
        <v>10930</v>
      </c>
      <c r="V88" s="317">
        <v>12420</v>
      </c>
      <c r="W88" s="317">
        <v>12960</v>
      </c>
      <c r="X88" s="317">
        <v>13710</v>
      </c>
      <c r="Y88" s="317">
        <v>16290</v>
      </c>
      <c r="Z88" s="317">
        <v>16250</v>
      </c>
      <c r="AA88" s="317">
        <v>16330</v>
      </c>
      <c r="AB88" s="317">
        <v>16620</v>
      </c>
      <c r="AC88" s="317">
        <v>16690</v>
      </c>
      <c r="AD88" s="317">
        <v>17150</v>
      </c>
      <c r="AE88" s="317">
        <v>17420</v>
      </c>
      <c r="AF88" s="317">
        <v>18070</v>
      </c>
      <c r="AG88" s="317">
        <v>18590</v>
      </c>
      <c r="AH88" s="317">
        <v>19500</v>
      </c>
      <c r="AI88" s="317">
        <v>20030</v>
      </c>
      <c r="AJ88" s="317">
        <v>20230</v>
      </c>
      <c r="AK88" s="317">
        <v>21350</v>
      </c>
      <c r="AL88" s="317">
        <v>21760</v>
      </c>
      <c r="AM88" s="317">
        <v>22600</v>
      </c>
      <c r="AN88" s="317">
        <v>23110</v>
      </c>
      <c r="AO88" s="317">
        <v>23110</v>
      </c>
      <c r="AP88" s="317">
        <v>22980</v>
      </c>
      <c r="AQ88" s="317">
        <v>22280</v>
      </c>
      <c r="AR88" s="317">
        <v>22130</v>
      </c>
      <c r="AS88" s="317">
        <v>21930</v>
      </c>
      <c r="AT88" s="317">
        <v>22160</v>
      </c>
      <c r="AU88" s="317">
        <v>22580</v>
      </c>
      <c r="AV88" s="317">
        <v>22420</v>
      </c>
      <c r="AW88" s="317">
        <v>22920</v>
      </c>
      <c r="AX88" s="317">
        <v>22730</v>
      </c>
      <c r="AY88" s="317">
        <v>21830</v>
      </c>
      <c r="AZ88" s="317">
        <v>21040</v>
      </c>
      <c r="BA88" s="317">
        <v>20510</v>
      </c>
      <c r="BB88" s="317">
        <v>20050</v>
      </c>
      <c r="BC88" s="317">
        <v>20110</v>
      </c>
      <c r="BD88" s="317">
        <v>20000</v>
      </c>
      <c r="BE88" s="317">
        <v>20750</v>
      </c>
      <c r="BF88" s="317">
        <v>21540</v>
      </c>
    </row>
    <row r="89" spans="1:58" x14ac:dyDescent="0.2">
      <c r="A89" s="318" t="s">
        <v>87</v>
      </c>
      <c r="B89" s="315"/>
      <c r="C89" s="317">
        <v>5900</v>
      </c>
      <c r="D89" s="317">
        <v>6440</v>
      </c>
      <c r="E89" s="317">
        <v>6520</v>
      </c>
      <c r="F89" s="317">
        <v>6780</v>
      </c>
      <c r="G89" s="317">
        <v>7050</v>
      </c>
      <c r="H89" s="317">
        <v>7200</v>
      </c>
      <c r="I89" s="317">
        <v>7330</v>
      </c>
      <c r="J89" s="317">
        <v>7680</v>
      </c>
      <c r="K89" s="317">
        <v>7540</v>
      </c>
      <c r="L89" s="317">
        <v>7310</v>
      </c>
      <c r="M89" s="317">
        <v>7520</v>
      </c>
      <c r="N89" s="317">
        <v>7830</v>
      </c>
      <c r="O89" s="317">
        <v>8040</v>
      </c>
      <c r="P89" s="317">
        <v>8510</v>
      </c>
      <c r="Q89" s="317">
        <v>8950</v>
      </c>
      <c r="R89" s="317">
        <v>9240</v>
      </c>
      <c r="S89" s="317">
        <v>10340</v>
      </c>
      <c r="T89" s="317">
        <v>11200</v>
      </c>
      <c r="U89" s="317">
        <v>11400</v>
      </c>
      <c r="V89" s="317">
        <v>10370</v>
      </c>
      <c r="W89" s="317">
        <v>11790</v>
      </c>
      <c r="X89" s="317">
        <v>12310</v>
      </c>
      <c r="Y89" s="317">
        <v>13040</v>
      </c>
      <c r="Z89" s="317">
        <v>15510</v>
      </c>
      <c r="AA89" s="317">
        <v>15480</v>
      </c>
      <c r="AB89" s="317">
        <v>15570</v>
      </c>
      <c r="AC89" s="317">
        <v>15860</v>
      </c>
      <c r="AD89" s="317">
        <v>15950</v>
      </c>
      <c r="AE89" s="317">
        <v>16400</v>
      </c>
      <c r="AF89" s="317">
        <v>16670</v>
      </c>
      <c r="AG89" s="317">
        <v>17300</v>
      </c>
      <c r="AH89" s="317">
        <v>17820</v>
      </c>
      <c r="AI89" s="317">
        <v>18710</v>
      </c>
      <c r="AJ89" s="317">
        <v>19220</v>
      </c>
      <c r="AK89" s="317">
        <v>19440</v>
      </c>
      <c r="AL89" s="317">
        <v>20520</v>
      </c>
      <c r="AM89" s="317">
        <v>20940</v>
      </c>
      <c r="AN89" s="317">
        <v>21760</v>
      </c>
      <c r="AO89" s="317">
        <v>22270</v>
      </c>
      <c r="AP89" s="317">
        <v>22280</v>
      </c>
      <c r="AQ89" s="317">
        <v>22170</v>
      </c>
      <c r="AR89" s="317">
        <v>21510</v>
      </c>
      <c r="AS89" s="317">
        <v>21380</v>
      </c>
      <c r="AT89" s="317">
        <v>21200</v>
      </c>
      <c r="AU89" s="317">
        <v>21430</v>
      </c>
      <c r="AV89" s="317">
        <v>21860</v>
      </c>
      <c r="AW89" s="317">
        <v>21710</v>
      </c>
      <c r="AX89" s="317">
        <v>22210</v>
      </c>
      <c r="AY89" s="317">
        <v>22030</v>
      </c>
      <c r="AZ89" s="317">
        <v>21180</v>
      </c>
      <c r="BA89" s="317">
        <v>20420</v>
      </c>
      <c r="BB89" s="317">
        <v>19920</v>
      </c>
      <c r="BC89" s="317">
        <v>19480</v>
      </c>
      <c r="BD89" s="317">
        <v>19550</v>
      </c>
      <c r="BE89" s="317">
        <v>19450</v>
      </c>
      <c r="BF89" s="317">
        <v>20190</v>
      </c>
    </row>
    <row r="90" spans="1:58" x14ac:dyDescent="0.2">
      <c r="A90" s="318" t="s">
        <v>88</v>
      </c>
      <c r="B90" s="315"/>
      <c r="C90" s="317">
        <v>5210</v>
      </c>
      <c r="D90" s="317">
        <v>5470</v>
      </c>
      <c r="E90" s="317">
        <v>5890</v>
      </c>
      <c r="F90" s="317">
        <v>6030</v>
      </c>
      <c r="G90" s="317">
        <v>6290</v>
      </c>
      <c r="H90" s="317">
        <v>6510</v>
      </c>
      <c r="I90" s="317">
        <v>6670</v>
      </c>
      <c r="J90" s="317">
        <v>6810</v>
      </c>
      <c r="K90" s="317">
        <v>7140</v>
      </c>
      <c r="L90" s="317">
        <v>7010</v>
      </c>
      <c r="M90" s="317">
        <v>6810</v>
      </c>
      <c r="N90" s="317">
        <v>7010</v>
      </c>
      <c r="O90" s="317">
        <v>7310</v>
      </c>
      <c r="P90" s="317">
        <v>7510</v>
      </c>
      <c r="Q90" s="317">
        <v>7960</v>
      </c>
      <c r="R90" s="317">
        <v>8380</v>
      </c>
      <c r="S90" s="317">
        <v>8670</v>
      </c>
      <c r="T90" s="317">
        <v>9700</v>
      </c>
      <c r="U90" s="317">
        <v>10530</v>
      </c>
      <c r="V90" s="317">
        <v>10730</v>
      </c>
      <c r="W90" s="317">
        <v>9770</v>
      </c>
      <c r="X90" s="317">
        <v>11120</v>
      </c>
      <c r="Y90" s="317">
        <v>11620</v>
      </c>
      <c r="Z90" s="317">
        <v>12320</v>
      </c>
      <c r="AA90" s="317">
        <v>14670</v>
      </c>
      <c r="AB90" s="317">
        <v>14650</v>
      </c>
      <c r="AC90" s="317">
        <v>14750</v>
      </c>
      <c r="AD90" s="317">
        <v>15040</v>
      </c>
      <c r="AE90" s="317">
        <v>15130</v>
      </c>
      <c r="AF90" s="317">
        <v>15580</v>
      </c>
      <c r="AG90" s="317">
        <v>15850</v>
      </c>
      <c r="AH90" s="317">
        <v>16460</v>
      </c>
      <c r="AI90" s="317">
        <v>16970</v>
      </c>
      <c r="AJ90" s="317">
        <v>17830</v>
      </c>
      <c r="AK90" s="317">
        <v>18340</v>
      </c>
      <c r="AL90" s="317">
        <v>18560</v>
      </c>
      <c r="AM90" s="317">
        <v>19610</v>
      </c>
      <c r="AN90" s="317">
        <v>20020</v>
      </c>
      <c r="AO90" s="317">
        <v>20820</v>
      </c>
      <c r="AP90" s="317">
        <v>21330</v>
      </c>
      <c r="AQ90" s="317">
        <v>21350</v>
      </c>
      <c r="AR90" s="317">
        <v>21260</v>
      </c>
      <c r="AS90" s="317">
        <v>20640</v>
      </c>
      <c r="AT90" s="317">
        <v>20530</v>
      </c>
      <c r="AU90" s="317">
        <v>20370</v>
      </c>
      <c r="AV90" s="317">
        <v>20610</v>
      </c>
      <c r="AW90" s="317">
        <v>21030</v>
      </c>
      <c r="AX90" s="317">
        <v>20900</v>
      </c>
      <c r="AY90" s="317">
        <v>21400</v>
      </c>
      <c r="AZ90" s="317">
        <v>21240</v>
      </c>
      <c r="BA90" s="317">
        <v>20440</v>
      </c>
      <c r="BB90" s="317">
        <v>19710</v>
      </c>
      <c r="BC90" s="317">
        <v>19240</v>
      </c>
      <c r="BD90" s="317">
        <v>18830</v>
      </c>
      <c r="BE90" s="317">
        <v>18910</v>
      </c>
      <c r="BF90" s="317">
        <v>18820</v>
      </c>
    </row>
    <row r="91" spans="1:58" x14ac:dyDescent="0.2">
      <c r="A91" s="318" t="s">
        <v>89</v>
      </c>
      <c r="B91" s="315"/>
      <c r="C91" s="317">
        <v>4650</v>
      </c>
      <c r="D91" s="317">
        <v>4740</v>
      </c>
      <c r="E91" s="317">
        <v>5000</v>
      </c>
      <c r="F91" s="317">
        <v>5390</v>
      </c>
      <c r="G91" s="317">
        <v>5500</v>
      </c>
      <c r="H91" s="317">
        <v>5790</v>
      </c>
      <c r="I91" s="317">
        <v>5980</v>
      </c>
      <c r="J91" s="317">
        <v>6130</v>
      </c>
      <c r="K91" s="317">
        <v>6260</v>
      </c>
      <c r="L91" s="317">
        <v>6580</v>
      </c>
      <c r="M91" s="317">
        <v>6470</v>
      </c>
      <c r="N91" s="317">
        <v>6290</v>
      </c>
      <c r="O91" s="317">
        <v>6490</v>
      </c>
      <c r="P91" s="317">
        <v>6770</v>
      </c>
      <c r="Q91" s="317">
        <v>6960</v>
      </c>
      <c r="R91" s="317">
        <v>7390</v>
      </c>
      <c r="S91" s="317">
        <v>7790</v>
      </c>
      <c r="T91" s="317">
        <v>8070</v>
      </c>
      <c r="U91" s="317">
        <v>9040</v>
      </c>
      <c r="V91" s="317">
        <v>9810</v>
      </c>
      <c r="W91" s="317">
        <v>10010</v>
      </c>
      <c r="X91" s="317">
        <v>9130</v>
      </c>
      <c r="Y91" s="317">
        <v>10400</v>
      </c>
      <c r="Z91" s="317">
        <v>10880</v>
      </c>
      <c r="AA91" s="317">
        <v>11550</v>
      </c>
      <c r="AB91" s="317">
        <v>13760</v>
      </c>
      <c r="AC91" s="317">
        <v>13760</v>
      </c>
      <c r="AD91" s="317">
        <v>13870</v>
      </c>
      <c r="AE91" s="317">
        <v>14150</v>
      </c>
      <c r="AF91" s="317">
        <v>14250</v>
      </c>
      <c r="AG91" s="317">
        <v>14680</v>
      </c>
      <c r="AH91" s="317">
        <v>14960</v>
      </c>
      <c r="AI91" s="317">
        <v>15550</v>
      </c>
      <c r="AJ91" s="317">
        <v>16040</v>
      </c>
      <c r="AK91" s="317">
        <v>16870</v>
      </c>
      <c r="AL91" s="317">
        <v>17360</v>
      </c>
      <c r="AM91" s="317">
        <v>17590</v>
      </c>
      <c r="AN91" s="317">
        <v>18600</v>
      </c>
      <c r="AO91" s="317">
        <v>19000</v>
      </c>
      <c r="AP91" s="317">
        <v>19780</v>
      </c>
      <c r="AQ91" s="317">
        <v>20280</v>
      </c>
      <c r="AR91" s="317">
        <v>20310</v>
      </c>
      <c r="AS91" s="317">
        <v>20240</v>
      </c>
      <c r="AT91" s="317">
        <v>19670</v>
      </c>
      <c r="AU91" s="317">
        <v>19580</v>
      </c>
      <c r="AV91" s="317">
        <v>19440</v>
      </c>
      <c r="AW91" s="317">
        <v>19680</v>
      </c>
      <c r="AX91" s="317">
        <v>20100</v>
      </c>
      <c r="AY91" s="317">
        <v>19990</v>
      </c>
      <c r="AZ91" s="317">
        <v>20480</v>
      </c>
      <c r="BA91" s="317">
        <v>20350</v>
      </c>
      <c r="BB91" s="317">
        <v>19590</v>
      </c>
      <c r="BC91" s="317">
        <v>18910</v>
      </c>
      <c r="BD91" s="317">
        <v>18460</v>
      </c>
      <c r="BE91" s="317">
        <v>18080</v>
      </c>
      <c r="BF91" s="317">
        <v>18170</v>
      </c>
    </row>
    <row r="92" spans="1:58" x14ac:dyDescent="0.2">
      <c r="A92" s="318" t="s">
        <v>90</v>
      </c>
      <c r="B92" s="315"/>
      <c r="C92" s="317">
        <v>3850</v>
      </c>
      <c r="D92" s="317">
        <v>4160</v>
      </c>
      <c r="E92" s="317">
        <v>4290</v>
      </c>
      <c r="F92" s="317">
        <v>4520</v>
      </c>
      <c r="G92" s="317">
        <v>4880</v>
      </c>
      <c r="H92" s="317">
        <v>4980</v>
      </c>
      <c r="I92" s="317">
        <v>5260</v>
      </c>
      <c r="J92" s="317">
        <v>5430</v>
      </c>
      <c r="K92" s="317">
        <v>5580</v>
      </c>
      <c r="L92" s="317">
        <v>5710</v>
      </c>
      <c r="M92" s="317">
        <v>6000</v>
      </c>
      <c r="N92" s="317">
        <v>5910</v>
      </c>
      <c r="O92" s="317">
        <v>5750</v>
      </c>
      <c r="P92" s="317">
        <v>5940</v>
      </c>
      <c r="Q92" s="317">
        <v>6210</v>
      </c>
      <c r="R92" s="317">
        <v>6400</v>
      </c>
      <c r="S92" s="317">
        <v>6790</v>
      </c>
      <c r="T92" s="317">
        <v>7170</v>
      </c>
      <c r="U92" s="317">
        <v>7430</v>
      </c>
      <c r="V92" s="317">
        <v>8340</v>
      </c>
      <c r="W92" s="317">
        <v>9060</v>
      </c>
      <c r="X92" s="317">
        <v>9260</v>
      </c>
      <c r="Y92" s="317">
        <v>8450</v>
      </c>
      <c r="Z92" s="317">
        <v>9640</v>
      </c>
      <c r="AA92" s="317">
        <v>10090</v>
      </c>
      <c r="AB92" s="317">
        <v>10720</v>
      </c>
      <c r="AC92" s="317">
        <v>12790</v>
      </c>
      <c r="AD92" s="317">
        <v>12800</v>
      </c>
      <c r="AE92" s="317">
        <v>12920</v>
      </c>
      <c r="AF92" s="317">
        <v>13200</v>
      </c>
      <c r="AG92" s="317">
        <v>13300</v>
      </c>
      <c r="AH92" s="317">
        <v>13720</v>
      </c>
      <c r="AI92" s="317">
        <v>13990</v>
      </c>
      <c r="AJ92" s="317">
        <v>14560</v>
      </c>
      <c r="AK92" s="317">
        <v>15030</v>
      </c>
      <c r="AL92" s="317">
        <v>15820</v>
      </c>
      <c r="AM92" s="317">
        <v>16300</v>
      </c>
      <c r="AN92" s="317">
        <v>16530</v>
      </c>
      <c r="AO92" s="317">
        <v>17490</v>
      </c>
      <c r="AP92" s="317">
        <v>17890</v>
      </c>
      <c r="AQ92" s="317">
        <v>18630</v>
      </c>
      <c r="AR92" s="317">
        <v>19120</v>
      </c>
      <c r="AS92" s="317">
        <v>19170</v>
      </c>
      <c r="AT92" s="317">
        <v>19120</v>
      </c>
      <c r="AU92" s="317">
        <v>18590</v>
      </c>
      <c r="AV92" s="317">
        <v>18520</v>
      </c>
      <c r="AW92" s="317">
        <v>18410</v>
      </c>
      <c r="AX92" s="317">
        <v>18650</v>
      </c>
      <c r="AY92" s="317">
        <v>19060</v>
      </c>
      <c r="AZ92" s="317">
        <v>18970</v>
      </c>
      <c r="BA92" s="317">
        <v>19450</v>
      </c>
      <c r="BB92" s="317">
        <v>19340</v>
      </c>
      <c r="BC92" s="317">
        <v>18630</v>
      </c>
      <c r="BD92" s="317">
        <v>17990</v>
      </c>
      <c r="BE92" s="317">
        <v>17580</v>
      </c>
      <c r="BF92" s="317">
        <v>17230</v>
      </c>
    </row>
    <row r="93" spans="1:58" x14ac:dyDescent="0.2">
      <c r="A93" s="318" t="s">
        <v>91</v>
      </c>
      <c r="B93" s="315"/>
      <c r="C93" s="317">
        <v>3290</v>
      </c>
      <c r="D93" s="317">
        <v>3440</v>
      </c>
      <c r="E93" s="317">
        <v>3690</v>
      </c>
      <c r="F93" s="317">
        <v>3840</v>
      </c>
      <c r="G93" s="317">
        <v>4070</v>
      </c>
      <c r="H93" s="317">
        <v>4410</v>
      </c>
      <c r="I93" s="317">
        <v>4470</v>
      </c>
      <c r="J93" s="317">
        <v>4720</v>
      </c>
      <c r="K93" s="317">
        <v>4880</v>
      </c>
      <c r="L93" s="317">
        <v>5020</v>
      </c>
      <c r="M93" s="317">
        <v>5140</v>
      </c>
      <c r="N93" s="317">
        <v>5420</v>
      </c>
      <c r="O93" s="317">
        <v>5340</v>
      </c>
      <c r="P93" s="317">
        <v>5210</v>
      </c>
      <c r="Q93" s="317">
        <v>5380</v>
      </c>
      <c r="R93" s="317">
        <v>5630</v>
      </c>
      <c r="S93" s="317">
        <v>5810</v>
      </c>
      <c r="T93" s="317">
        <v>6180</v>
      </c>
      <c r="U93" s="317">
        <v>6530</v>
      </c>
      <c r="V93" s="317">
        <v>6780</v>
      </c>
      <c r="W93" s="317">
        <v>7610</v>
      </c>
      <c r="X93" s="317">
        <v>8280</v>
      </c>
      <c r="Y93" s="317">
        <v>8470</v>
      </c>
      <c r="Z93" s="317">
        <v>7740</v>
      </c>
      <c r="AA93" s="317">
        <v>8840</v>
      </c>
      <c r="AB93" s="317">
        <v>9270</v>
      </c>
      <c r="AC93" s="317">
        <v>9860</v>
      </c>
      <c r="AD93" s="317">
        <v>11770</v>
      </c>
      <c r="AE93" s="317">
        <v>11790</v>
      </c>
      <c r="AF93" s="317">
        <v>11910</v>
      </c>
      <c r="AG93" s="317">
        <v>12180</v>
      </c>
      <c r="AH93" s="317">
        <v>12290</v>
      </c>
      <c r="AI93" s="317">
        <v>12690</v>
      </c>
      <c r="AJ93" s="317">
        <v>12950</v>
      </c>
      <c r="AK93" s="317">
        <v>13490</v>
      </c>
      <c r="AL93" s="317">
        <v>13950</v>
      </c>
      <c r="AM93" s="317">
        <v>14690</v>
      </c>
      <c r="AN93" s="317">
        <v>15150</v>
      </c>
      <c r="AO93" s="317">
        <v>15370</v>
      </c>
      <c r="AP93" s="317">
        <v>16290</v>
      </c>
      <c r="AQ93" s="317">
        <v>16670</v>
      </c>
      <c r="AR93" s="317">
        <v>17380</v>
      </c>
      <c r="AS93" s="317">
        <v>17850</v>
      </c>
      <c r="AT93" s="317">
        <v>17910</v>
      </c>
      <c r="AU93" s="317">
        <v>17880</v>
      </c>
      <c r="AV93" s="317">
        <v>17410</v>
      </c>
      <c r="AW93" s="317">
        <v>17360</v>
      </c>
      <c r="AX93" s="317">
        <v>17260</v>
      </c>
      <c r="AY93" s="317">
        <v>17500</v>
      </c>
      <c r="AZ93" s="317">
        <v>17910</v>
      </c>
      <c r="BA93" s="317">
        <v>17840</v>
      </c>
      <c r="BB93" s="317">
        <v>18300</v>
      </c>
      <c r="BC93" s="317">
        <v>18210</v>
      </c>
      <c r="BD93" s="317">
        <v>17550</v>
      </c>
      <c r="BE93" s="317">
        <v>16970</v>
      </c>
      <c r="BF93" s="317">
        <v>16590</v>
      </c>
    </row>
    <row r="94" spans="1:58" x14ac:dyDescent="0.2">
      <c r="A94" s="318" t="s">
        <v>92</v>
      </c>
      <c r="B94" s="315"/>
      <c r="C94" s="317">
        <v>2380</v>
      </c>
      <c r="D94" s="317">
        <v>2870</v>
      </c>
      <c r="E94" s="317">
        <v>3020</v>
      </c>
      <c r="F94" s="317">
        <v>3270</v>
      </c>
      <c r="G94" s="317">
        <v>3410</v>
      </c>
      <c r="H94" s="317">
        <v>3620</v>
      </c>
      <c r="I94" s="317">
        <v>3900</v>
      </c>
      <c r="J94" s="317">
        <v>3960</v>
      </c>
      <c r="K94" s="317">
        <v>4180</v>
      </c>
      <c r="L94" s="317">
        <v>4340</v>
      </c>
      <c r="M94" s="317">
        <v>4470</v>
      </c>
      <c r="N94" s="317">
        <v>4580</v>
      </c>
      <c r="O94" s="317">
        <v>4830</v>
      </c>
      <c r="P94" s="317">
        <v>4770</v>
      </c>
      <c r="Q94" s="317">
        <v>4660</v>
      </c>
      <c r="R94" s="317">
        <v>4820</v>
      </c>
      <c r="S94" s="317">
        <v>5050</v>
      </c>
      <c r="T94" s="317">
        <v>5220</v>
      </c>
      <c r="U94" s="317">
        <v>5550</v>
      </c>
      <c r="V94" s="317">
        <v>5880</v>
      </c>
      <c r="W94" s="317">
        <v>6110</v>
      </c>
      <c r="X94" s="317">
        <v>6870</v>
      </c>
      <c r="Y94" s="317">
        <v>7480</v>
      </c>
      <c r="Z94" s="317">
        <v>7660</v>
      </c>
      <c r="AA94" s="317">
        <v>7010</v>
      </c>
      <c r="AB94" s="317">
        <v>8010</v>
      </c>
      <c r="AC94" s="317">
        <v>8410</v>
      </c>
      <c r="AD94" s="317">
        <v>8950</v>
      </c>
      <c r="AE94" s="317">
        <v>10700</v>
      </c>
      <c r="AF94" s="317">
        <v>10740</v>
      </c>
      <c r="AG94" s="317">
        <v>10860</v>
      </c>
      <c r="AH94" s="317">
        <v>11110</v>
      </c>
      <c r="AI94" s="317">
        <v>11230</v>
      </c>
      <c r="AJ94" s="317">
        <v>11600</v>
      </c>
      <c r="AK94" s="317">
        <v>11860</v>
      </c>
      <c r="AL94" s="317">
        <v>12360</v>
      </c>
      <c r="AM94" s="317">
        <v>12790</v>
      </c>
      <c r="AN94" s="317">
        <v>13490</v>
      </c>
      <c r="AO94" s="317">
        <v>13920</v>
      </c>
      <c r="AP94" s="317">
        <v>14140</v>
      </c>
      <c r="AQ94" s="317">
        <v>15000</v>
      </c>
      <c r="AR94" s="317">
        <v>15370</v>
      </c>
      <c r="AS94" s="317">
        <v>16040</v>
      </c>
      <c r="AT94" s="317">
        <v>16480</v>
      </c>
      <c r="AU94" s="317">
        <v>16560</v>
      </c>
      <c r="AV94" s="317">
        <v>16550</v>
      </c>
      <c r="AW94" s="317">
        <v>16120</v>
      </c>
      <c r="AX94" s="317">
        <v>16090</v>
      </c>
      <c r="AY94" s="317">
        <v>16010</v>
      </c>
      <c r="AZ94" s="317">
        <v>16250</v>
      </c>
      <c r="BA94" s="317">
        <v>16640</v>
      </c>
      <c r="BB94" s="317">
        <v>16590</v>
      </c>
      <c r="BC94" s="317">
        <v>17030</v>
      </c>
      <c r="BD94" s="317">
        <v>16960</v>
      </c>
      <c r="BE94" s="317">
        <v>16360</v>
      </c>
      <c r="BF94" s="317">
        <v>15830</v>
      </c>
    </row>
    <row r="95" spans="1:58" x14ac:dyDescent="0.2">
      <c r="A95" s="318" t="s">
        <v>93</v>
      </c>
      <c r="B95" s="315"/>
      <c r="C95" s="317">
        <v>1930</v>
      </c>
      <c r="D95" s="317">
        <v>2040</v>
      </c>
      <c r="E95" s="317">
        <v>2500</v>
      </c>
      <c r="F95" s="317">
        <v>2640</v>
      </c>
      <c r="G95" s="317">
        <v>2870</v>
      </c>
      <c r="H95" s="317">
        <v>3020</v>
      </c>
      <c r="I95" s="317">
        <v>3150</v>
      </c>
      <c r="J95" s="317">
        <v>3400</v>
      </c>
      <c r="K95" s="317">
        <v>3460</v>
      </c>
      <c r="L95" s="317">
        <v>3660</v>
      </c>
      <c r="M95" s="317">
        <v>3800</v>
      </c>
      <c r="N95" s="317">
        <v>3920</v>
      </c>
      <c r="O95" s="317">
        <v>4030</v>
      </c>
      <c r="P95" s="317">
        <v>4250</v>
      </c>
      <c r="Q95" s="317">
        <v>4200</v>
      </c>
      <c r="R95" s="317">
        <v>4110</v>
      </c>
      <c r="S95" s="317">
        <v>4260</v>
      </c>
      <c r="T95" s="317">
        <v>4470</v>
      </c>
      <c r="U95" s="317">
        <v>4620</v>
      </c>
      <c r="V95" s="317">
        <v>4930</v>
      </c>
      <c r="W95" s="317">
        <v>5220</v>
      </c>
      <c r="X95" s="317">
        <v>5430</v>
      </c>
      <c r="Y95" s="317">
        <v>6110</v>
      </c>
      <c r="Z95" s="317">
        <v>6670</v>
      </c>
      <c r="AA95" s="317">
        <v>6840</v>
      </c>
      <c r="AB95" s="317">
        <v>6260</v>
      </c>
      <c r="AC95" s="317">
        <v>7170</v>
      </c>
      <c r="AD95" s="317">
        <v>7530</v>
      </c>
      <c r="AE95" s="317">
        <v>8030</v>
      </c>
      <c r="AF95" s="317">
        <v>9610</v>
      </c>
      <c r="AG95" s="317">
        <v>9650</v>
      </c>
      <c r="AH95" s="317">
        <v>9770</v>
      </c>
      <c r="AI95" s="317">
        <v>10010</v>
      </c>
      <c r="AJ95" s="317">
        <v>10130</v>
      </c>
      <c r="AK95" s="317">
        <v>10470</v>
      </c>
      <c r="AL95" s="317">
        <v>10710</v>
      </c>
      <c r="AM95" s="317">
        <v>11180</v>
      </c>
      <c r="AN95" s="317">
        <v>11580</v>
      </c>
      <c r="AO95" s="317">
        <v>12230</v>
      </c>
      <c r="AP95" s="317">
        <v>12640</v>
      </c>
      <c r="AQ95" s="317">
        <v>12850</v>
      </c>
      <c r="AR95" s="317">
        <v>13640</v>
      </c>
      <c r="AS95" s="317">
        <v>13990</v>
      </c>
      <c r="AT95" s="317">
        <v>14610</v>
      </c>
      <c r="AU95" s="317">
        <v>15030</v>
      </c>
      <c r="AV95" s="317">
        <v>15120</v>
      </c>
      <c r="AW95" s="317">
        <v>15120</v>
      </c>
      <c r="AX95" s="317">
        <v>14740</v>
      </c>
      <c r="AY95" s="317">
        <v>14730</v>
      </c>
      <c r="AZ95" s="317">
        <v>14670</v>
      </c>
      <c r="BA95" s="317">
        <v>14900</v>
      </c>
      <c r="BB95" s="317">
        <v>15270</v>
      </c>
      <c r="BC95" s="317">
        <v>15240</v>
      </c>
      <c r="BD95" s="317">
        <v>15660</v>
      </c>
      <c r="BE95" s="317">
        <v>15610</v>
      </c>
      <c r="BF95" s="317">
        <v>15070</v>
      </c>
    </row>
    <row r="96" spans="1:58" x14ac:dyDescent="0.2">
      <c r="A96" s="318" t="s">
        <v>94</v>
      </c>
      <c r="B96" s="315"/>
      <c r="C96" s="317">
        <v>1720</v>
      </c>
      <c r="D96" s="317">
        <v>1630</v>
      </c>
      <c r="E96" s="317">
        <v>1740</v>
      </c>
      <c r="F96" s="317">
        <v>2160</v>
      </c>
      <c r="G96" s="317">
        <v>2260</v>
      </c>
      <c r="H96" s="317">
        <v>2470</v>
      </c>
      <c r="I96" s="317">
        <v>2590</v>
      </c>
      <c r="J96" s="317">
        <v>2700</v>
      </c>
      <c r="K96" s="317">
        <v>2920</v>
      </c>
      <c r="L96" s="317">
        <v>2980</v>
      </c>
      <c r="M96" s="317">
        <v>3160</v>
      </c>
      <c r="N96" s="317">
        <v>3280</v>
      </c>
      <c r="O96" s="317">
        <v>3390</v>
      </c>
      <c r="P96" s="317">
        <v>3490</v>
      </c>
      <c r="Q96" s="317">
        <v>3690</v>
      </c>
      <c r="R96" s="317">
        <v>3650</v>
      </c>
      <c r="S96" s="317">
        <v>3570</v>
      </c>
      <c r="T96" s="317">
        <v>3710</v>
      </c>
      <c r="U96" s="317">
        <v>3900</v>
      </c>
      <c r="V96" s="317">
        <v>4030</v>
      </c>
      <c r="W96" s="317">
        <v>4310</v>
      </c>
      <c r="X96" s="317">
        <v>4570</v>
      </c>
      <c r="Y96" s="317">
        <v>4760</v>
      </c>
      <c r="Z96" s="317">
        <v>5360</v>
      </c>
      <c r="AA96" s="317">
        <v>5860</v>
      </c>
      <c r="AB96" s="317">
        <v>6020</v>
      </c>
      <c r="AC96" s="317">
        <v>5520</v>
      </c>
      <c r="AD96" s="317">
        <v>6320</v>
      </c>
      <c r="AE96" s="317">
        <v>6650</v>
      </c>
      <c r="AF96" s="317">
        <v>7100</v>
      </c>
      <c r="AG96" s="317">
        <v>8500</v>
      </c>
      <c r="AH96" s="317">
        <v>8550</v>
      </c>
      <c r="AI96" s="317">
        <v>8670</v>
      </c>
      <c r="AJ96" s="317">
        <v>8890</v>
      </c>
      <c r="AK96" s="317">
        <v>9000</v>
      </c>
      <c r="AL96" s="317">
        <v>9320</v>
      </c>
      <c r="AM96" s="317">
        <v>9550</v>
      </c>
      <c r="AN96" s="317">
        <v>9980</v>
      </c>
      <c r="AO96" s="317">
        <v>10350</v>
      </c>
      <c r="AP96" s="317">
        <v>10930</v>
      </c>
      <c r="AQ96" s="317">
        <v>11310</v>
      </c>
      <c r="AR96" s="317">
        <v>11510</v>
      </c>
      <c r="AS96" s="317">
        <v>12230</v>
      </c>
      <c r="AT96" s="317">
        <v>12560</v>
      </c>
      <c r="AU96" s="317">
        <v>13130</v>
      </c>
      <c r="AV96" s="317">
        <v>13520</v>
      </c>
      <c r="AW96" s="317">
        <v>13610</v>
      </c>
      <c r="AX96" s="317">
        <v>13630</v>
      </c>
      <c r="AY96" s="317">
        <v>13300</v>
      </c>
      <c r="AZ96" s="317">
        <v>13300</v>
      </c>
      <c r="BA96" s="317">
        <v>13260</v>
      </c>
      <c r="BB96" s="317">
        <v>13490</v>
      </c>
      <c r="BC96" s="317">
        <v>13830</v>
      </c>
      <c r="BD96" s="317">
        <v>13810</v>
      </c>
      <c r="BE96" s="317">
        <v>14210</v>
      </c>
      <c r="BF96" s="317">
        <v>14180</v>
      </c>
    </row>
    <row r="97" spans="1:58" x14ac:dyDescent="0.2">
      <c r="A97" s="318" t="s">
        <v>95</v>
      </c>
      <c r="B97" s="315"/>
      <c r="C97" s="317">
        <v>5020</v>
      </c>
      <c r="D97" s="317">
        <v>5330</v>
      </c>
      <c r="E97" s="317">
        <v>5570</v>
      </c>
      <c r="F97" s="317">
        <v>5830</v>
      </c>
      <c r="G97" s="317">
        <v>6410</v>
      </c>
      <c r="H97" s="317">
        <v>7030</v>
      </c>
      <c r="I97" s="317">
        <v>7630</v>
      </c>
      <c r="J97" s="317">
        <v>8230</v>
      </c>
      <c r="K97" s="317">
        <v>8820</v>
      </c>
      <c r="L97" s="317">
        <v>9480</v>
      </c>
      <c r="M97" s="317">
        <v>10070</v>
      </c>
      <c r="N97" s="317">
        <v>10690</v>
      </c>
      <c r="O97" s="317">
        <v>11310</v>
      </c>
      <c r="P97" s="317">
        <v>11900</v>
      </c>
      <c r="Q97" s="317">
        <v>12470</v>
      </c>
      <c r="R97" s="317">
        <v>13100</v>
      </c>
      <c r="S97" s="317">
        <v>13590</v>
      </c>
      <c r="T97" s="317">
        <v>13920</v>
      </c>
      <c r="U97" s="317">
        <v>14310</v>
      </c>
      <c r="V97" s="317">
        <v>14790</v>
      </c>
      <c r="W97" s="317">
        <v>15310</v>
      </c>
      <c r="X97" s="317">
        <v>15990</v>
      </c>
      <c r="Y97" s="317">
        <v>16780</v>
      </c>
      <c r="Z97" s="317">
        <v>17610</v>
      </c>
      <c r="AA97" s="317">
        <v>18830</v>
      </c>
      <c r="AB97" s="317">
        <v>20280</v>
      </c>
      <c r="AC97" s="317">
        <v>21640</v>
      </c>
      <c r="AD97" s="317">
        <v>22340</v>
      </c>
      <c r="AE97" s="317">
        <v>23610</v>
      </c>
      <c r="AF97" s="317">
        <v>24960</v>
      </c>
      <c r="AG97" s="317">
        <v>26480</v>
      </c>
      <c r="AH97" s="317">
        <v>28970</v>
      </c>
      <c r="AI97" s="317">
        <v>31120</v>
      </c>
      <c r="AJ97" s="317">
        <v>33020</v>
      </c>
      <c r="AK97" s="317">
        <v>34800</v>
      </c>
      <c r="AL97" s="317">
        <v>36380</v>
      </c>
      <c r="AM97" s="317">
        <v>37960</v>
      </c>
      <c r="AN97" s="317">
        <v>39470</v>
      </c>
      <c r="AO97" s="317">
        <v>41110</v>
      </c>
      <c r="AP97" s="317">
        <v>42810</v>
      </c>
      <c r="AQ97" s="317">
        <v>44750</v>
      </c>
      <c r="AR97" s="317">
        <v>46740</v>
      </c>
      <c r="AS97" s="317">
        <v>48590</v>
      </c>
      <c r="AT97" s="317">
        <v>50790</v>
      </c>
      <c r="AU97" s="317">
        <v>52950</v>
      </c>
      <c r="AV97" s="317">
        <v>55300</v>
      </c>
      <c r="AW97" s="317">
        <v>57650</v>
      </c>
      <c r="AX97" s="317">
        <v>59720</v>
      </c>
      <c r="AY97" s="317">
        <v>61490</v>
      </c>
      <c r="AZ97" s="317">
        <v>62700</v>
      </c>
      <c r="BA97" s="317">
        <v>63710</v>
      </c>
      <c r="BB97" s="317">
        <v>64520</v>
      </c>
      <c r="BC97" s="317">
        <v>65400</v>
      </c>
      <c r="BD97" s="317">
        <v>66480</v>
      </c>
      <c r="BE97" s="317">
        <v>67410</v>
      </c>
      <c r="BF97" s="317">
        <v>68580</v>
      </c>
    </row>
    <row r="98" spans="1:58" x14ac:dyDescent="0.2">
      <c r="A98" s="314" t="s">
        <v>97</v>
      </c>
      <c r="B98" s="315"/>
      <c r="C98" s="316">
        <f t="shared" ref="C98:AH98" si="1">SUM(C$7:C$97)/1000000</f>
        <v>2.0483799999999999</v>
      </c>
      <c r="D98" s="316">
        <f t="shared" si="1"/>
        <v>2.0707</v>
      </c>
      <c r="E98" s="316">
        <f t="shared" si="1"/>
        <v>2.0921799999999999</v>
      </c>
      <c r="F98" s="316">
        <f t="shared" si="1"/>
        <v>2.1174900000000001</v>
      </c>
      <c r="G98" s="316">
        <f t="shared" si="1"/>
        <v>2.1446000000000001</v>
      </c>
      <c r="H98" s="316">
        <f t="shared" si="1"/>
        <v>2.1645400000000001</v>
      </c>
      <c r="I98" s="316">
        <f t="shared" si="1"/>
        <v>2.1794500000000001</v>
      </c>
      <c r="J98" s="316">
        <f t="shared" si="1"/>
        <v>2.1955</v>
      </c>
      <c r="K98" s="316">
        <f t="shared" si="1"/>
        <v>2.2149700000000001</v>
      </c>
      <c r="L98" s="316">
        <f t="shared" si="1"/>
        <v>2.2368299999999999</v>
      </c>
      <c r="M98" s="316">
        <f t="shared" si="1"/>
        <v>2.2586300000000001</v>
      </c>
      <c r="N98" s="316">
        <f t="shared" si="1"/>
        <v>2.2803300000000002</v>
      </c>
      <c r="O98" s="316">
        <f t="shared" si="1"/>
        <v>2.3020900000000002</v>
      </c>
      <c r="P98" s="316">
        <f t="shared" si="1"/>
        <v>2.3238599999999998</v>
      </c>
      <c r="Q98" s="316">
        <f t="shared" si="1"/>
        <v>2.3454600000000001</v>
      </c>
      <c r="R98" s="316">
        <f t="shared" si="1"/>
        <v>2.3669899999999999</v>
      </c>
      <c r="S98" s="316">
        <f t="shared" si="1"/>
        <v>2.3883700000000001</v>
      </c>
      <c r="T98" s="316">
        <f t="shared" si="1"/>
        <v>2.4096299999999999</v>
      </c>
      <c r="U98" s="316">
        <f t="shared" si="1"/>
        <v>2.4306899999999998</v>
      </c>
      <c r="V98" s="316">
        <f t="shared" si="1"/>
        <v>2.4514200000000002</v>
      </c>
      <c r="W98" s="316">
        <f t="shared" si="1"/>
        <v>2.4718800000000001</v>
      </c>
      <c r="X98" s="316">
        <f t="shared" si="1"/>
        <v>2.4920200000000001</v>
      </c>
      <c r="Y98" s="316">
        <f t="shared" si="1"/>
        <v>2.5117400000000001</v>
      </c>
      <c r="Z98" s="316">
        <f t="shared" si="1"/>
        <v>2.5310999999999999</v>
      </c>
      <c r="AA98" s="316">
        <f t="shared" si="1"/>
        <v>2.5499700000000001</v>
      </c>
      <c r="AB98" s="316">
        <f t="shared" si="1"/>
        <v>2.56839</v>
      </c>
      <c r="AC98" s="316">
        <f t="shared" si="1"/>
        <v>2.58636</v>
      </c>
      <c r="AD98" s="316">
        <f t="shared" si="1"/>
        <v>2.6039300000000001</v>
      </c>
      <c r="AE98" s="316">
        <f t="shared" si="1"/>
        <v>2.6210399999999998</v>
      </c>
      <c r="AF98" s="316">
        <f t="shared" si="1"/>
        <v>2.63781</v>
      </c>
      <c r="AG98" s="316">
        <f t="shared" si="1"/>
        <v>2.6541700000000001</v>
      </c>
      <c r="AH98" s="316">
        <f t="shared" si="1"/>
        <v>2.6702499999999998</v>
      </c>
      <c r="AI98" s="316">
        <f t="shared" ref="AI98:BF98" si="2">SUM(AI$7:AI$97)/1000000</f>
        <v>2.6861000000000002</v>
      </c>
      <c r="AJ98" s="316">
        <f t="shared" si="2"/>
        <v>2.7016300000000002</v>
      </c>
      <c r="AK98" s="316">
        <f t="shared" si="2"/>
        <v>2.7169300000000001</v>
      </c>
      <c r="AL98" s="316">
        <f t="shared" si="2"/>
        <v>2.73203</v>
      </c>
      <c r="AM98" s="316">
        <f t="shared" si="2"/>
        <v>2.7468900000000001</v>
      </c>
      <c r="AN98" s="316">
        <f t="shared" si="2"/>
        <v>2.7615599999999998</v>
      </c>
      <c r="AO98" s="316">
        <f t="shared" si="2"/>
        <v>2.7759999999999998</v>
      </c>
      <c r="AP98" s="316">
        <f t="shared" si="2"/>
        <v>2.7902399999999998</v>
      </c>
      <c r="AQ98" s="316">
        <f t="shared" si="2"/>
        <v>2.8042699999999998</v>
      </c>
      <c r="AR98" s="316">
        <f t="shared" si="2"/>
        <v>2.8180900000000002</v>
      </c>
      <c r="AS98" s="316">
        <f t="shared" si="2"/>
        <v>2.8317700000000001</v>
      </c>
      <c r="AT98" s="316">
        <f t="shared" si="2"/>
        <v>2.84524</v>
      </c>
      <c r="AU98" s="316">
        <f t="shared" si="2"/>
        <v>2.8586299999999998</v>
      </c>
      <c r="AV98" s="316">
        <f t="shared" si="2"/>
        <v>2.87195</v>
      </c>
      <c r="AW98" s="316">
        <f t="shared" si="2"/>
        <v>2.8852000000000002</v>
      </c>
      <c r="AX98" s="316">
        <f t="shared" si="2"/>
        <v>2.8983599999999998</v>
      </c>
      <c r="AY98" s="316">
        <f t="shared" si="2"/>
        <v>2.9115099999999998</v>
      </c>
      <c r="AZ98" s="316">
        <f t="shared" si="2"/>
        <v>2.9246599999999998</v>
      </c>
      <c r="BA98" s="316">
        <f t="shared" si="2"/>
        <v>2.9378899999999999</v>
      </c>
      <c r="BB98" s="316">
        <f t="shared" si="2"/>
        <v>2.9511099999999999</v>
      </c>
      <c r="BC98" s="316">
        <f t="shared" si="2"/>
        <v>2.9643700000000002</v>
      </c>
      <c r="BD98" s="316">
        <f t="shared" si="2"/>
        <v>2.97776</v>
      </c>
      <c r="BE98" s="316">
        <f t="shared" si="2"/>
        <v>2.99125</v>
      </c>
      <c r="BF98" s="316">
        <f t="shared" si="2"/>
        <v>3.0047100000000002</v>
      </c>
    </row>
    <row r="99" spans="1:58" x14ac:dyDescent="0.2">
      <c r="A99" s="314"/>
      <c r="B99" s="315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</row>
    <row r="100" spans="1:58" x14ac:dyDescent="0.2">
      <c r="A100" s="314" t="s">
        <v>96</v>
      </c>
      <c r="B100" s="315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</row>
    <row r="101" spans="1:58" x14ac:dyDescent="0.2">
      <c r="A101" s="318" t="s">
        <v>5</v>
      </c>
      <c r="B101" s="315"/>
      <c r="C101" s="317">
        <v>28910</v>
      </c>
      <c r="D101" s="317">
        <v>30110</v>
      </c>
      <c r="E101" s="317">
        <v>31140</v>
      </c>
      <c r="F101" s="317">
        <v>30440</v>
      </c>
      <c r="G101" s="317">
        <v>31140</v>
      </c>
      <c r="H101" s="317">
        <v>30370</v>
      </c>
      <c r="I101" s="317">
        <v>29520</v>
      </c>
      <c r="J101" s="317">
        <v>29460</v>
      </c>
      <c r="K101" s="317">
        <v>29500</v>
      </c>
      <c r="L101" s="317">
        <v>29630</v>
      </c>
      <c r="M101" s="317">
        <v>29800</v>
      </c>
      <c r="N101" s="317">
        <v>29980</v>
      </c>
      <c r="O101" s="317">
        <v>30170</v>
      </c>
      <c r="P101" s="317">
        <v>30350</v>
      </c>
      <c r="Q101" s="317">
        <v>30510</v>
      </c>
      <c r="R101" s="317">
        <v>30650</v>
      </c>
      <c r="S101" s="317">
        <v>30760</v>
      </c>
      <c r="T101" s="317">
        <v>30840</v>
      </c>
      <c r="U101" s="317">
        <v>30890</v>
      </c>
      <c r="V101" s="317">
        <v>30920</v>
      </c>
      <c r="W101" s="317">
        <v>30910</v>
      </c>
      <c r="X101" s="317">
        <v>30890</v>
      </c>
      <c r="Y101" s="317">
        <v>30840</v>
      </c>
      <c r="Z101" s="317">
        <v>30770</v>
      </c>
      <c r="AA101" s="317">
        <v>30690</v>
      </c>
      <c r="AB101" s="317">
        <v>30600</v>
      </c>
      <c r="AC101" s="317">
        <v>30520</v>
      </c>
      <c r="AD101" s="317">
        <v>30460</v>
      </c>
      <c r="AE101" s="317">
        <v>30420</v>
      </c>
      <c r="AF101" s="317">
        <v>30420</v>
      </c>
      <c r="AG101" s="317">
        <v>30450</v>
      </c>
      <c r="AH101" s="317">
        <v>30510</v>
      </c>
      <c r="AI101" s="317">
        <v>30580</v>
      </c>
      <c r="AJ101" s="317">
        <v>30680</v>
      </c>
      <c r="AK101" s="317">
        <v>30770</v>
      </c>
      <c r="AL101" s="317">
        <v>30870</v>
      </c>
      <c r="AM101" s="317">
        <v>30960</v>
      </c>
      <c r="AN101" s="317">
        <v>31050</v>
      </c>
      <c r="AO101" s="317">
        <v>31120</v>
      </c>
      <c r="AP101" s="317">
        <v>31190</v>
      </c>
      <c r="AQ101" s="317">
        <v>31250</v>
      </c>
      <c r="AR101" s="317">
        <v>31310</v>
      </c>
      <c r="AS101" s="317">
        <v>31370</v>
      </c>
      <c r="AT101" s="317">
        <v>31430</v>
      </c>
      <c r="AU101" s="317">
        <v>31490</v>
      </c>
      <c r="AV101" s="317">
        <v>31540</v>
      </c>
      <c r="AW101" s="317">
        <v>31590</v>
      </c>
      <c r="AX101" s="317">
        <v>31640</v>
      </c>
      <c r="AY101" s="317">
        <v>31690</v>
      </c>
      <c r="AZ101" s="317">
        <v>31740</v>
      </c>
      <c r="BA101" s="317">
        <v>31780</v>
      </c>
      <c r="BB101" s="317">
        <v>31810</v>
      </c>
      <c r="BC101" s="317">
        <v>31840</v>
      </c>
      <c r="BD101" s="317">
        <v>31860</v>
      </c>
      <c r="BE101" s="317">
        <v>31870</v>
      </c>
      <c r="BF101" s="317">
        <v>31880</v>
      </c>
    </row>
    <row r="102" spans="1:58" x14ac:dyDescent="0.2">
      <c r="A102" s="318" t="s">
        <v>6</v>
      </c>
      <c r="B102" s="315"/>
      <c r="C102" s="317">
        <v>27990</v>
      </c>
      <c r="D102" s="317">
        <v>28840</v>
      </c>
      <c r="E102" s="317">
        <v>30040</v>
      </c>
      <c r="F102" s="317">
        <v>31110</v>
      </c>
      <c r="G102" s="317">
        <v>30410</v>
      </c>
      <c r="H102" s="317">
        <v>31030</v>
      </c>
      <c r="I102" s="317">
        <v>30220</v>
      </c>
      <c r="J102" s="317">
        <v>29390</v>
      </c>
      <c r="K102" s="317">
        <v>29360</v>
      </c>
      <c r="L102" s="317">
        <v>29440</v>
      </c>
      <c r="M102" s="317">
        <v>29570</v>
      </c>
      <c r="N102" s="317">
        <v>29740</v>
      </c>
      <c r="O102" s="317">
        <v>29930</v>
      </c>
      <c r="P102" s="317">
        <v>30110</v>
      </c>
      <c r="Q102" s="317">
        <v>30290</v>
      </c>
      <c r="R102" s="317">
        <v>30450</v>
      </c>
      <c r="S102" s="317">
        <v>30590</v>
      </c>
      <c r="T102" s="317">
        <v>30700</v>
      </c>
      <c r="U102" s="317">
        <v>30790</v>
      </c>
      <c r="V102" s="317">
        <v>30840</v>
      </c>
      <c r="W102" s="317">
        <v>30860</v>
      </c>
      <c r="X102" s="317">
        <v>30860</v>
      </c>
      <c r="Y102" s="317">
        <v>30840</v>
      </c>
      <c r="Z102" s="317">
        <v>30780</v>
      </c>
      <c r="AA102" s="317">
        <v>30720</v>
      </c>
      <c r="AB102" s="317">
        <v>30630</v>
      </c>
      <c r="AC102" s="317">
        <v>30550</v>
      </c>
      <c r="AD102" s="317">
        <v>30470</v>
      </c>
      <c r="AE102" s="317">
        <v>30410</v>
      </c>
      <c r="AF102" s="317">
        <v>30370</v>
      </c>
      <c r="AG102" s="317">
        <v>30370</v>
      </c>
      <c r="AH102" s="317">
        <v>30400</v>
      </c>
      <c r="AI102" s="317">
        <v>30460</v>
      </c>
      <c r="AJ102" s="317">
        <v>30540</v>
      </c>
      <c r="AK102" s="317">
        <v>30630</v>
      </c>
      <c r="AL102" s="317">
        <v>30730</v>
      </c>
      <c r="AM102" s="317">
        <v>30820</v>
      </c>
      <c r="AN102" s="317">
        <v>30920</v>
      </c>
      <c r="AO102" s="317">
        <v>31000</v>
      </c>
      <c r="AP102" s="317">
        <v>31070</v>
      </c>
      <c r="AQ102" s="317">
        <v>31140</v>
      </c>
      <c r="AR102" s="317">
        <v>31210</v>
      </c>
      <c r="AS102" s="317">
        <v>31270</v>
      </c>
      <c r="AT102" s="317">
        <v>31330</v>
      </c>
      <c r="AU102" s="317">
        <v>31380</v>
      </c>
      <c r="AV102" s="317">
        <v>31440</v>
      </c>
      <c r="AW102" s="317">
        <v>31490</v>
      </c>
      <c r="AX102" s="317">
        <v>31550</v>
      </c>
      <c r="AY102" s="317">
        <v>31600</v>
      </c>
      <c r="AZ102" s="317">
        <v>31650</v>
      </c>
      <c r="BA102" s="317">
        <v>31690</v>
      </c>
      <c r="BB102" s="317">
        <v>31730</v>
      </c>
      <c r="BC102" s="317">
        <v>31770</v>
      </c>
      <c r="BD102" s="317">
        <v>31790</v>
      </c>
      <c r="BE102" s="317">
        <v>31810</v>
      </c>
      <c r="BF102" s="317">
        <v>31830</v>
      </c>
    </row>
    <row r="103" spans="1:58" x14ac:dyDescent="0.2">
      <c r="A103" s="318" t="s">
        <v>7</v>
      </c>
      <c r="B103" s="315"/>
      <c r="C103" s="317">
        <v>28180</v>
      </c>
      <c r="D103" s="317">
        <v>28020</v>
      </c>
      <c r="E103" s="317">
        <v>28820</v>
      </c>
      <c r="F103" s="317">
        <v>30120</v>
      </c>
      <c r="G103" s="317">
        <v>31140</v>
      </c>
      <c r="H103" s="317">
        <v>30320</v>
      </c>
      <c r="I103" s="317">
        <v>30890</v>
      </c>
      <c r="J103" s="317">
        <v>30100</v>
      </c>
      <c r="K103" s="317">
        <v>29310</v>
      </c>
      <c r="L103" s="317">
        <v>29320</v>
      </c>
      <c r="M103" s="317">
        <v>29400</v>
      </c>
      <c r="N103" s="317">
        <v>29530</v>
      </c>
      <c r="O103" s="317">
        <v>29700</v>
      </c>
      <c r="P103" s="317">
        <v>29890</v>
      </c>
      <c r="Q103" s="317">
        <v>30070</v>
      </c>
      <c r="R103" s="317">
        <v>30250</v>
      </c>
      <c r="S103" s="317">
        <v>30420</v>
      </c>
      <c r="T103" s="317">
        <v>30550</v>
      </c>
      <c r="U103" s="317">
        <v>30670</v>
      </c>
      <c r="V103" s="317">
        <v>30750</v>
      </c>
      <c r="W103" s="317">
        <v>30800</v>
      </c>
      <c r="X103" s="317">
        <v>30830</v>
      </c>
      <c r="Y103" s="317">
        <v>30820</v>
      </c>
      <c r="Z103" s="317">
        <v>30800</v>
      </c>
      <c r="AA103" s="317">
        <v>30750</v>
      </c>
      <c r="AB103" s="317">
        <v>30680</v>
      </c>
      <c r="AC103" s="317">
        <v>30600</v>
      </c>
      <c r="AD103" s="317">
        <v>30520</v>
      </c>
      <c r="AE103" s="317">
        <v>30440</v>
      </c>
      <c r="AF103" s="317">
        <v>30380</v>
      </c>
      <c r="AG103" s="317">
        <v>30340</v>
      </c>
      <c r="AH103" s="317">
        <v>30330</v>
      </c>
      <c r="AI103" s="317">
        <v>30360</v>
      </c>
      <c r="AJ103" s="317">
        <v>30420</v>
      </c>
      <c r="AK103" s="317">
        <v>30500</v>
      </c>
      <c r="AL103" s="317">
        <v>30590</v>
      </c>
      <c r="AM103" s="317">
        <v>30690</v>
      </c>
      <c r="AN103" s="317">
        <v>30790</v>
      </c>
      <c r="AO103" s="317">
        <v>30880</v>
      </c>
      <c r="AP103" s="317">
        <v>30960</v>
      </c>
      <c r="AQ103" s="317">
        <v>31040</v>
      </c>
      <c r="AR103" s="317">
        <v>31110</v>
      </c>
      <c r="AS103" s="317">
        <v>31170</v>
      </c>
      <c r="AT103" s="317">
        <v>31230</v>
      </c>
      <c r="AU103" s="317">
        <v>31290</v>
      </c>
      <c r="AV103" s="317">
        <v>31350</v>
      </c>
      <c r="AW103" s="317">
        <v>31410</v>
      </c>
      <c r="AX103" s="317">
        <v>31460</v>
      </c>
      <c r="AY103" s="317">
        <v>31510</v>
      </c>
      <c r="AZ103" s="317">
        <v>31570</v>
      </c>
      <c r="BA103" s="317">
        <v>31620</v>
      </c>
      <c r="BB103" s="317">
        <v>31660</v>
      </c>
      <c r="BC103" s="317">
        <v>31700</v>
      </c>
      <c r="BD103" s="317">
        <v>31730</v>
      </c>
      <c r="BE103" s="317">
        <v>31760</v>
      </c>
      <c r="BF103" s="317">
        <v>31780</v>
      </c>
    </row>
    <row r="104" spans="1:58" x14ac:dyDescent="0.2">
      <c r="A104" s="318" t="s">
        <v>8</v>
      </c>
      <c r="B104" s="315"/>
      <c r="C104" s="317">
        <v>27310</v>
      </c>
      <c r="D104" s="317">
        <v>28230</v>
      </c>
      <c r="E104" s="317">
        <v>28010</v>
      </c>
      <c r="F104" s="317">
        <v>28860</v>
      </c>
      <c r="G104" s="317">
        <v>30190</v>
      </c>
      <c r="H104" s="317">
        <v>31050</v>
      </c>
      <c r="I104" s="317">
        <v>30190</v>
      </c>
      <c r="J104" s="317">
        <v>30780</v>
      </c>
      <c r="K104" s="317">
        <v>30030</v>
      </c>
      <c r="L104" s="317">
        <v>29280</v>
      </c>
      <c r="M104" s="317">
        <v>29290</v>
      </c>
      <c r="N104" s="317">
        <v>29370</v>
      </c>
      <c r="O104" s="317">
        <v>29500</v>
      </c>
      <c r="P104" s="317">
        <v>29670</v>
      </c>
      <c r="Q104" s="317">
        <v>29860</v>
      </c>
      <c r="R104" s="317">
        <v>30040</v>
      </c>
      <c r="S104" s="317">
        <v>30220</v>
      </c>
      <c r="T104" s="317">
        <v>30390</v>
      </c>
      <c r="U104" s="317">
        <v>30530</v>
      </c>
      <c r="V104" s="317">
        <v>30640</v>
      </c>
      <c r="W104" s="317">
        <v>30720</v>
      </c>
      <c r="X104" s="317">
        <v>30770</v>
      </c>
      <c r="Y104" s="317">
        <v>30800</v>
      </c>
      <c r="Z104" s="317">
        <v>30800</v>
      </c>
      <c r="AA104" s="317">
        <v>30770</v>
      </c>
      <c r="AB104" s="317">
        <v>30720</v>
      </c>
      <c r="AC104" s="317">
        <v>30650</v>
      </c>
      <c r="AD104" s="317">
        <v>30570</v>
      </c>
      <c r="AE104" s="317">
        <v>30490</v>
      </c>
      <c r="AF104" s="317">
        <v>30410</v>
      </c>
      <c r="AG104" s="317">
        <v>30350</v>
      </c>
      <c r="AH104" s="317">
        <v>30310</v>
      </c>
      <c r="AI104" s="317">
        <v>30310</v>
      </c>
      <c r="AJ104" s="317">
        <v>30330</v>
      </c>
      <c r="AK104" s="317">
        <v>30390</v>
      </c>
      <c r="AL104" s="317">
        <v>30470</v>
      </c>
      <c r="AM104" s="317">
        <v>30570</v>
      </c>
      <c r="AN104" s="317">
        <v>30670</v>
      </c>
      <c r="AO104" s="317">
        <v>30760</v>
      </c>
      <c r="AP104" s="317">
        <v>30850</v>
      </c>
      <c r="AQ104" s="317">
        <v>30940</v>
      </c>
      <c r="AR104" s="317">
        <v>31010</v>
      </c>
      <c r="AS104" s="317">
        <v>31080</v>
      </c>
      <c r="AT104" s="317">
        <v>31150</v>
      </c>
      <c r="AU104" s="317">
        <v>31210</v>
      </c>
      <c r="AV104" s="317">
        <v>31270</v>
      </c>
      <c r="AW104" s="317">
        <v>31320</v>
      </c>
      <c r="AX104" s="317">
        <v>31380</v>
      </c>
      <c r="AY104" s="317">
        <v>31430</v>
      </c>
      <c r="AZ104" s="317">
        <v>31490</v>
      </c>
      <c r="BA104" s="317">
        <v>31540</v>
      </c>
      <c r="BB104" s="317">
        <v>31590</v>
      </c>
      <c r="BC104" s="317">
        <v>31630</v>
      </c>
      <c r="BD104" s="317">
        <v>31670</v>
      </c>
      <c r="BE104" s="317">
        <v>31710</v>
      </c>
      <c r="BF104" s="317">
        <v>31730</v>
      </c>
    </row>
    <row r="105" spans="1:58" x14ac:dyDescent="0.2">
      <c r="A105" s="318" t="s">
        <v>9</v>
      </c>
      <c r="B105" s="315"/>
      <c r="C105" s="317">
        <v>27400</v>
      </c>
      <c r="D105" s="317">
        <v>27380</v>
      </c>
      <c r="E105" s="317">
        <v>28240</v>
      </c>
      <c r="F105" s="317">
        <v>28070</v>
      </c>
      <c r="G105" s="317">
        <v>28950</v>
      </c>
      <c r="H105" s="317">
        <v>30140</v>
      </c>
      <c r="I105" s="317">
        <v>30930</v>
      </c>
      <c r="J105" s="317">
        <v>30090</v>
      </c>
      <c r="K105" s="317">
        <v>30730</v>
      </c>
      <c r="L105" s="317">
        <v>30010</v>
      </c>
      <c r="M105" s="317">
        <v>29260</v>
      </c>
      <c r="N105" s="317">
        <v>29270</v>
      </c>
      <c r="O105" s="317">
        <v>29350</v>
      </c>
      <c r="P105" s="317">
        <v>29480</v>
      </c>
      <c r="Q105" s="317">
        <v>29650</v>
      </c>
      <c r="R105" s="317">
        <v>29830</v>
      </c>
      <c r="S105" s="317">
        <v>30020</v>
      </c>
      <c r="T105" s="317">
        <v>30200</v>
      </c>
      <c r="U105" s="317">
        <v>30360</v>
      </c>
      <c r="V105" s="317">
        <v>30500</v>
      </c>
      <c r="W105" s="317">
        <v>30610</v>
      </c>
      <c r="X105" s="317">
        <v>30700</v>
      </c>
      <c r="Y105" s="317">
        <v>30750</v>
      </c>
      <c r="Z105" s="317">
        <v>30770</v>
      </c>
      <c r="AA105" s="317">
        <v>30770</v>
      </c>
      <c r="AB105" s="317">
        <v>30750</v>
      </c>
      <c r="AC105" s="317">
        <v>30700</v>
      </c>
      <c r="AD105" s="317">
        <v>30630</v>
      </c>
      <c r="AE105" s="317">
        <v>30550</v>
      </c>
      <c r="AF105" s="317">
        <v>30470</v>
      </c>
      <c r="AG105" s="317">
        <v>30390</v>
      </c>
      <c r="AH105" s="317">
        <v>30330</v>
      </c>
      <c r="AI105" s="317">
        <v>30290</v>
      </c>
      <c r="AJ105" s="317">
        <v>30280</v>
      </c>
      <c r="AK105" s="317">
        <v>30310</v>
      </c>
      <c r="AL105" s="317">
        <v>30370</v>
      </c>
      <c r="AM105" s="317">
        <v>30450</v>
      </c>
      <c r="AN105" s="317">
        <v>30540</v>
      </c>
      <c r="AO105" s="317">
        <v>30640</v>
      </c>
      <c r="AP105" s="317">
        <v>30740</v>
      </c>
      <c r="AQ105" s="317">
        <v>30830</v>
      </c>
      <c r="AR105" s="317">
        <v>30920</v>
      </c>
      <c r="AS105" s="317">
        <v>30990</v>
      </c>
      <c r="AT105" s="317">
        <v>31060</v>
      </c>
      <c r="AU105" s="317">
        <v>31120</v>
      </c>
      <c r="AV105" s="317">
        <v>31190</v>
      </c>
      <c r="AW105" s="317">
        <v>31240</v>
      </c>
      <c r="AX105" s="317">
        <v>31300</v>
      </c>
      <c r="AY105" s="317">
        <v>31360</v>
      </c>
      <c r="AZ105" s="317">
        <v>31410</v>
      </c>
      <c r="BA105" s="317">
        <v>31470</v>
      </c>
      <c r="BB105" s="317">
        <v>31520</v>
      </c>
      <c r="BC105" s="317">
        <v>31570</v>
      </c>
      <c r="BD105" s="317">
        <v>31610</v>
      </c>
      <c r="BE105" s="317">
        <v>31650</v>
      </c>
      <c r="BF105" s="317">
        <v>31690</v>
      </c>
    </row>
    <row r="106" spans="1:58" x14ac:dyDescent="0.2">
      <c r="A106" s="318" t="s">
        <v>10</v>
      </c>
      <c r="B106" s="315"/>
      <c r="C106" s="317">
        <v>28370</v>
      </c>
      <c r="D106" s="317">
        <v>27510</v>
      </c>
      <c r="E106" s="317">
        <v>27400</v>
      </c>
      <c r="F106" s="317">
        <v>28300</v>
      </c>
      <c r="G106" s="317">
        <v>28160</v>
      </c>
      <c r="H106" s="317">
        <v>28950</v>
      </c>
      <c r="I106" s="317">
        <v>30020</v>
      </c>
      <c r="J106" s="317">
        <v>30830</v>
      </c>
      <c r="K106" s="317">
        <v>30040</v>
      </c>
      <c r="L106" s="317">
        <v>30700</v>
      </c>
      <c r="M106" s="317">
        <v>29980</v>
      </c>
      <c r="N106" s="317">
        <v>29230</v>
      </c>
      <c r="O106" s="317">
        <v>29240</v>
      </c>
      <c r="P106" s="317">
        <v>29320</v>
      </c>
      <c r="Q106" s="317">
        <v>29450</v>
      </c>
      <c r="R106" s="317">
        <v>29620</v>
      </c>
      <c r="S106" s="317">
        <v>29810</v>
      </c>
      <c r="T106" s="317">
        <v>29990</v>
      </c>
      <c r="U106" s="317">
        <v>30170</v>
      </c>
      <c r="V106" s="317">
        <v>30340</v>
      </c>
      <c r="W106" s="317">
        <v>30480</v>
      </c>
      <c r="X106" s="317">
        <v>30590</v>
      </c>
      <c r="Y106" s="317">
        <v>30670</v>
      </c>
      <c r="Z106" s="317">
        <v>30730</v>
      </c>
      <c r="AA106" s="317">
        <v>30750</v>
      </c>
      <c r="AB106" s="317">
        <v>30750</v>
      </c>
      <c r="AC106" s="317">
        <v>30720</v>
      </c>
      <c r="AD106" s="317">
        <v>30670</v>
      </c>
      <c r="AE106" s="317">
        <v>30600</v>
      </c>
      <c r="AF106" s="317">
        <v>30520</v>
      </c>
      <c r="AG106" s="317">
        <v>30440</v>
      </c>
      <c r="AH106" s="317">
        <v>30360</v>
      </c>
      <c r="AI106" s="317">
        <v>30300</v>
      </c>
      <c r="AJ106" s="317">
        <v>30260</v>
      </c>
      <c r="AK106" s="317">
        <v>30260</v>
      </c>
      <c r="AL106" s="317">
        <v>30290</v>
      </c>
      <c r="AM106" s="317">
        <v>30350</v>
      </c>
      <c r="AN106" s="317">
        <v>30430</v>
      </c>
      <c r="AO106" s="317">
        <v>30520</v>
      </c>
      <c r="AP106" s="317">
        <v>30620</v>
      </c>
      <c r="AQ106" s="317">
        <v>30720</v>
      </c>
      <c r="AR106" s="317">
        <v>30810</v>
      </c>
      <c r="AS106" s="317">
        <v>30890</v>
      </c>
      <c r="AT106" s="317">
        <v>30970</v>
      </c>
      <c r="AU106" s="317">
        <v>31040</v>
      </c>
      <c r="AV106" s="317">
        <v>31100</v>
      </c>
      <c r="AW106" s="317">
        <v>31160</v>
      </c>
      <c r="AX106" s="317">
        <v>31220</v>
      </c>
      <c r="AY106" s="317">
        <v>31280</v>
      </c>
      <c r="AZ106" s="317">
        <v>31330</v>
      </c>
      <c r="BA106" s="317">
        <v>31390</v>
      </c>
      <c r="BB106" s="317">
        <v>31440</v>
      </c>
      <c r="BC106" s="317">
        <v>31500</v>
      </c>
      <c r="BD106" s="317">
        <v>31540</v>
      </c>
      <c r="BE106" s="317">
        <v>31590</v>
      </c>
      <c r="BF106" s="317">
        <v>31630</v>
      </c>
    </row>
    <row r="107" spans="1:58" x14ac:dyDescent="0.2">
      <c r="A107" s="318" t="s">
        <v>11</v>
      </c>
      <c r="B107" s="315"/>
      <c r="C107" s="317">
        <v>28910</v>
      </c>
      <c r="D107" s="317">
        <v>28430</v>
      </c>
      <c r="E107" s="317">
        <v>27520</v>
      </c>
      <c r="F107" s="317">
        <v>27430</v>
      </c>
      <c r="G107" s="317">
        <v>28400</v>
      </c>
      <c r="H107" s="317">
        <v>28130</v>
      </c>
      <c r="I107" s="317">
        <v>28840</v>
      </c>
      <c r="J107" s="317">
        <v>29930</v>
      </c>
      <c r="K107" s="317">
        <v>30770</v>
      </c>
      <c r="L107" s="317">
        <v>30000</v>
      </c>
      <c r="M107" s="317">
        <v>30670</v>
      </c>
      <c r="N107" s="317">
        <v>29950</v>
      </c>
      <c r="O107" s="317">
        <v>29200</v>
      </c>
      <c r="P107" s="317">
        <v>29210</v>
      </c>
      <c r="Q107" s="317">
        <v>29290</v>
      </c>
      <c r="R107" s="317">
        <v>29420</v>
      </c>
      <c r="S107" s="317">
        <v>29590</v>
      </c>
      <c r="T107" s="317">
        <v>29780</v>
      </c>
      <c r="U107" s="317">
        <v>29960</v>
      </c>
      <c r="V107" s="317">
        <v>30140</v>
      </c>
      <c r="W107" s="317">
        <v>30310</v>
      </c>
      <c r="X107" s="317">
        <v>30450</v>
      </c>
      <c r="Y107" s="317">
        <v>30560</v>
      </c>
      <c r="Z107" s="317">
        <v>30640</v>
      </c>
      <c r="AA107" s="317">
        <v>30700</v>
      </c>
      <c r="AB107" s="317">
        <v>30720</v>
      </c>
      <c r="AC107" s="317">
        <v>30720</v>
      </c>
      <c r="AD107" s="317">
        <v>30690</v>
      </c>
      <c r="AE107" s="317">
        <v>30640</v>
      </c>
      <c r="AF107" s="317">
        <v>30570</v>
      </c>
      <c r="AG107" s="317">
        <v>30490</v>
      </c>
      <c r="AH107" s="317">
        <v>30410</v>
      </c>
      <c r="AI107" s="317">
        <v>30330</v>
      </c>
      <c r="AJ107" s="317">
        <v>30270</v>
      </c>
      <c r="AK107" s="317">
        <v>30240</v>
      </c>
      <c r="AL107" s="317">
        <v>30230</v>
      </c>
      <c r="AM107" s="317">
        <v>30260</v>
      </c>
      <c r="AN107" s="317">
        <v>30320</v>
      </c>
      <c r="AO107" s="317">
        <v>30400</v>
      </c>
      <c r="AP107" s="317">
        <v>30490</v>
      </c>
      <c r="AQ107" s="317">
        <v>30590</v>
      </c>
      <c r="AR107" s="317">
        <v>30690</v>
      </c>
      <c r="AS107" s="317">
        <v>30780</v>
      </c>
      <c r="AT107" s="317">
        <v>30860</v>
      </c>
      <c r="AU107" s="317">
        <v>30940</v>
      </c>
      <c r="AV107" s="317">
        <v>31010</v>
      </c>
      <c r="AW107" s="317">
        <v>31070</v>
      </c>
      <c r="AX107" s="317">
        <v>31130</v>
      </c>
      <c r="AY107" s="317">
        <v>31190</v>
      </c>
      <c r="AZ107" s="317">
        <v>31250</v>
      </c>
      <c r="BA107" s="317">
        <v>31310</v>
      </c>
      <c r="BB107" s="317">
        <v>31360</v>
      </c>
      <c r="BC107" s="317">
        <v>31410</v>
      </c>
      <c r="BD107" s="317">
        <v>31470</v>
      </c>
      <c r="BE107" s="317">
        <v>31510</v>
      </c>
      <c r="BF107" s="317">
        <v>31560</v>
      </c>
    </row>
    <row r="108" spans="1:58" x14ac:dyDescent="0.2">
      <c r="A108" s="318" t="s">
        <v>12</v>
      </c>
      <c r="B108" s="315"/>
      <c r="C108" s="317">
        <v>27980</v>
      </c>
      <c r="D108" s="317">
        <v>29000</v>
      </c>
      <c r="E108" s="317">
        <v>28410</v>
      </c>
      <c r="F108" s="317">
        <v>27520</v>
      </c>
      <c r="G108" s="317">
        <v>27430</v>
      </c>
      <c r="H108" s="317">
        <v>28360</v>
      </c>
      <c r="I108" s="317">
        <v>28020</v>
      </c>
      <c r="J108" s="317">
        <v>28740</v>
      </c>
      <c r="K108" s="317">
        <v>29860</v>
      </c>
      <c r="L108" s="317">
        <v>30740</v>
      </c>
      <c r="M108" s="317">
        <v>29970</v>
      </c>
      <c r="N108" s="317">
        <v>30630</v>
      </c>
      <c r="O108" s="317">
        <v>29920</v>
      </c>
      <c r="P108" s="317">
        <v>29170</v>
      </c>
      <c r="Q108" s="317">
        <v>29180</v>
      </c>
      <c r="R108" s="317">
        <v>29260</v>
      </c>
      <c r="S108" s="317">
        <v>29390</v>
      </c>
      <c r="T108" s="317">
        <v>29560</v>
      </c>
      <c r="U108" s="317">
        <v>29740</v>
      </c>
      <c r="V108" s="317">
        <v>29930</v>
      </c>
      <c r="W108" s="317">
        <v>30110</v>
      </c>
      <c r="X108" s="317">
        <v>30270</v>
      </c>
      <c r="Y108" s="317">
        <v>30410</v>
      </c>
      <c r="Z108" s="317">
        <v>30520</v>
      </c>
      <c r="AA108" s="317">
        <v>30610</v>
      </c>
      <c r="AB108" s="317">
        <v>30660</v>
      </c>
      <c r="AC108" s="317">
        <v>30690</v>
      </c>
      <c r="AD108" s="317">
        <v>30680</v>
      </c>
      <c r="AE108" s="317">
        <v>30660</v>
      </c>
      <c r="AF108" s="317">
        <v>30610</v>
      </c>
      <c r="AG108" s="317">
        <v>30540</v>
      </c>
      <c r="AH108" s="317">
        <v>30460</v>
      </c>
      <c r="AI108" s="317">
        <v>30380</v>
      </c>
      <c r="AJ108" s="317">
        <v>30300</v>
      </c>
      <c r="AK108" s="317">
        <v>30240</v>
      </c>
      <c r="AL108" s="317">
        <v>30200</v>
      </c>
      <c r="AM108" s="317">
        <v>30200</v>
      </c>
      <c r="AN108" s="317">
        <v>30220</v>
      </c>
      <c r="AO108" s="317">
        <v>30290</v>
      </c>
      <c r="AP108" s="317">
        <v>30360</v>
      </c>
      <c r="AQ108" s="317">
        <v>30460</v>
      </c>
      <c r="AR108" s="317">
        <v>30560</v>
      </c>
      <c r="AS108" s="317">
        <v>30650</v>
      </c>
      <c r="AT108" s="317">
        <v>30750</v>
      </c>
      <c r="AU108" s="317">
        <v>30830</v>
      </c>
      <c r="AV108" s="317">
        <v>30900</v>
      </c>
      <c r="AW108" s="317">
        <v>30970</v>
      </c>
      <c r="AX108" s="317">
        <v>31040</v>
      </c>
      <c r="AY108" s="317">
        <v>31100</v>
      </c>
      <c r="AZ108" s="317">
        <v>31160</v>
      </c>
      <c r="BA108" s="317">
        <v>31220</v>
      </c>
      <c r="BB108" s="317">
        <v>31270</v>
      </c>
      <c r="BC108" s="317">
        <v>31330</v>
      </c>
      <c r="BD108" s="317">
        <v>31380</v>
      </c>
      <c r="BE108" s="317">
        <v>31430</v>
      </c>
      <c r="BF108" s="317">
        <v>31480</v>
      </c>
    </row>
    <row r="109" spans="1:58" x14ac:dyDescent="0.2">
      <c r="A109" s="318" t="s">
        <v>13</v>
      </c>
      <c r="B109" s="315"/>
      <c r="C109" s="317">
        <v>28620</v>
      </c>
      <c r="D109" s="317">
        <v>28050</v>
      </c>
      <c r="E109" s="317">
        <v>29030</v>
      </c>
      <c r="F109" s="317">
        <v>28410</v>
      </c>
      <c r="G109" s="317">
        <v>27510</v>
      </c>
      <c r="H109" s="317">
        <v>27370</v>
      </c>
      <c r="I109" s="317">
        <v>28250</v>
      </c>
      <c r="J109" s="317">
        <v>27930</v>
      </c>
      <c r="K109" s="317">
        <v>28680</v>
      </c>
      <c r="L109" s="317">
        <v>29830</v>
      </c>
      <c r="M109" s="317">
        <v>30700</v>
      </c>
      <c r="N109" s="317">
        <v>29930</v>
      </c>
      <c r="O109" s="317">
        <v>30600</v>
      </c>
      <c r="P109" s="317">
        <v>29880</v>
      </c>
      <c r="Q109" s="317">
        <v>29130</v>
      </c>
      <c r="R109" s="317">
        <v>29140</v>
      </c>
      <c r="S109" s="317">
        <v>29220</v>
      </c>
      <c r="T109" s="317">
        <v>29350</v>
      </c>
      <c r="U109" s="317">
        <v>29520</v>
      </c>
      <c r="V109" s="317">
        <v>29710</v>
      </c>
      <c r="W109" s="317">
        <v>29890</v>
      </c>
      <c r="X109" s="317">
        <v>30070</v>
      </c>
      <c r="Y109" s="317">
        <v>30240</v>
      </c>
      <c r="Z109" s="317">
        <v>30370</v>
      </c>
      <c r="AA109" s="317">
        <v>30490</v>
      </c>
      <c r="AB109" s="317">
        <v>30570</v>
      </c>
      <c r="AC109" s="317">
        <v>30630</v>
      </c>
      <c r="AD109" s="317">
        <v>30650</v>
      </c>
      <c r="AE109" s="317">
        <v>30650</v>
      </c>
      <c r="AF109" s="317">
        <v>30620</v>
      </c>
      <c r="AG109" s="317">
        <v>30570</v>
      </c>
      <c r="AH109" s="317">
        <v>30500</v>
      </c>
      <c r="AI109" s="317">
        <v>30420</v>
      </c>
      <c r="AJ109" s="317">
        <v>30340</v>
      </c>
      <c r="AK109" s="317">
        <v>30260</v>
      </c>
      <c r="AL109" s="317">
        <v>30200</v>
      </c>
      <c r="AM109" s="317">
        <v>30170</v>
      </c>
      <c r="AN109" s="317">
        <v>30160</v>
      </c>
      <c r="AO109" s="317">
        <v>30190</v>
      </c>
      <c r="AP109" s="317">
        <v>30250</v>
      </c>
      <c r="AQ109" s="317">
        <v>30330</v>
      </c>
      <c r="AR109" s="317">
        <v>30420</v>
      </c>
      <c r="AS109" s="317">
        <v>30520</v>
      </c>
      <c r="AT109" s="317">
        <v>30620</v>
      </c>
      <c r="AU109" s="317">
        <v>30710</v>
      </c>
      <c r="AV109" s="317">
        <v>30790</v>
      </c>
      <c r="AW109" s="317">
        <v>30870</v>
      </c>
      <c r="AX109" s="317">
        <v>30940</v>
      </c>
      <c r="AY109" s="317">
        <v>31000</v>
      </c>
      <c r="AZ109" s="317">
        <v>31060</v>
      </c>
      <c r="BA109" s="317">
        <v>31120</v>
      </c>
      <c r="BB109" s="317">
        <v>31180</v>
      </c>
      <c r="BC109" s="317">
        <v>31240</v>
      </c>
      <c r="BD109" s="317">
        <v>31290</v>
      </c>
      <c r="BE109" s="317">
        <v>31340</v>
      </c>
      <c r="BF109" s="317">
        <v>31400</v>
      </c>
    </row>
    <row r="110" spans="1:58" x14ac:dyDescent="0.2">
      <c r="A110" s="318" t="s">
        <v>14</v>
      </c>
      <c r="B110" s="315"/>
      <c r="C110" s="317">
        <v>28770</v>
      </c>
      <c r="D110" s="317">
        <v>28700</v>
      </c>
      <c r="E110" s="317">
        <v>28050</v>
      </c>
      <c r="F110" s="317">
        <v>29080</v>
      </c>
      <c r="G110" s="317">
        <v>28420</v>
      </c>
      <c r="H110" s="317">
        <v>27480</v>
      </c>
      <c r="I110" s="317">
        <v>27260</v>
      </c>
      <c r="J110" s="317">
        <v>28160</v>
      </c>
      <c r="K110" s="317">
        <v>27870</v>
      </c>
      <c r="L110" s="317">
        <v>28640</v>
      </c>
      <c r="M110" s="317">
        <v>29790</v>
      </c>
      <c r="N110" s="317">
        <v>30660</v>
      </c>
      <c r="O110" s="317">
        <v>29890</v>
      </c>
      <c r="P110" s="317">
        <v>30560</v>
      </c>
      <c r="Q110" s="317">
        <v>29840</v>
      </c>
      <c r="R110" s="317">
        <v>29090</v>
      </c>
      <c r="S110" s="317">
        <v>29100</v>
      </c>
      <c r="T110" s="317">
        <v>29180</v>
      </c>
      <c r="U110" s="317">
        <v>29310</v>
      </c>
      <c r="V110" s="317">
        <v>29480</v>
      </c>
      <c r="W110" s="317">
        <v>29670</v>
      </c>
      <c r="X110" s="317">
        <v>29850</v>
      </c>
      <c r="Y110" s="317">
        <v>30030</v>
      </c>
      <c r="Z110" s="317">
        <v>30200</v>
      </c>
      <c r="AA110" s="317">
        <v>30340</v>
      </c>
      <c r="AB110" s="317">
        <v>30450</v>
      </c>
      <c r="AC110" s="317">
        <v>30530</v>
      </c>
      <c r="AD110" s="317">
        <v>30590</v>
      </c>
      <c r="AE110" s="317">
        <v>30610</v>
      </c>
      <c r="AF110" s="317">
        <v>30610</v>
      </c>
      <c r="AG110" s="317">
        <v>30580</v>
      </c>
      <c r="AH110" s="317">
        <v>30540</v>
      </c>
      <c r="AI110" s="317">
        <v>30470</v>
      </c>
      <c r="AJ110" s="317">
        <v>30390</v>
      </c>
      <c r="AK110" s="317">
        <v>30300</v>
      </c>
      <c r="AL110" s="317">
        <v>30230</v>
      </c>
      <c r="AM110" s="317">
        <v>30160</v>
      </c>
      <c r="AN110" s="317">
        <v>30130</v>
      </c>
      <c r="AO110" s="317">
        <v>30120</v>
      </c>
      <c r="AP110" s="317">
        <v>30150</v>
      </c>
      <c r="AQ110" s="317">
        <v>30210</v>
      </c>
      <c r="AR110" s="317">
        <v>30290</v>
      </c>
      <c r="AS110" s="317">
        <v>30380</v>
      </c>
      <c r="AT110" s="317">
        <v>30480</v>
      </c>
      <c r="AU110" s="317">
        <v>30580</v>
      </c>
      <c r="AV110" s="317">
        <v>30670</v>
      </c>
      <c r="AW110" s="317">
        <v>30760</v>
      </c>
      <c r="AX110" s="317">
        <v>30830</v>
      </c>
      <c r="AY110" s="317">
        <v>30900</v>
      </c>
      <c r="AZ110" s="317">
        <v>30970</v>
      </c>
      <c r="BA110" s="317">
        <v>31030</v>
      </c>
      <c r="BB110" s="317">
        <v>31080</v>
      </c>
      <c r="BC110" s="317">
        <v>31140</v>
      </c>
      <c r="BD110" s="317">
        <v>31200</v>
      </c>
      <c r="BE110" s="317">
        <v>31250</v>
      </c>
      <c r="BF110" s="317">
        <v>31310</v>
      </c>
    </row>
    <row r="111" spans="1:58" x14ac:dyDescent="0.2">
      <c r="A111" s="318" t="s">
        <v>15</v>
      </c>
      <c r="B111" s="315"/>
      <c r="C111" s="317">
        <v>29250</v>
      </c>
      <c r="D111" s="317">
        <v>28830</v>
      </c>
      <c r="E111" s="317">
        <v>28670</v>
      </c>
      <c r="F111" s="317">
        <v>28080</v>
      </c>
      <c r="G111" s="317">
        <v>29130</v>
      </c>
      <c r="H111" s="317">
        <v>28380</v>
      </c>
      <c r="I111" s="317">
        <v>27370</v>
      </c>
      <c r="J111" s="317">
        <v>27160</v>
      </c>
      <c r="K111" s="317">
        <v>28090</v>
      </c>
      <c r="L111" s="317">
        <v>27820</v>
      </c>
      <c r="M111" s="317">
        <v>28600</v>
      </c>
      <c r="N111" s="317">
        <v>29750</v>
      </c>
      <c r="O111" s="317">
        <v>30620</v>
      </c>
      <c r="P111" s="317">
        <v>29850</v>
      </c>
      <c r="Q111" s="317">
        <v>30520</v>
      </c>
      <c r="R111" s="317">
        <v>29800</v>
      </c>
      <c r="S111" s="317">
        <v>29050</v>
      </c>
      <c r="T111" s="317">
        <v>29060</v>
      </c>
      <c r="U111" s="317">
        <v>29140</v>
      </c>
      <c r="V111" s="317">
        <v>29270</v>
      </c>
      <c r="W111" s="317">
        <v>29440</v>
      </c>
      <c r="X111" s="317">
        <v>29630</v>
      </c>
      <c r="Y111" s="317">
        <v>29810</v>
      </c>
      <c r="Z111" s="317">
        <v>29990</v>
      </c>
      <c r="AA111" s="317">
        <v>30160</v>
      </c>
      <c r="AB111" s="317">
        <v>30300</v>
      </c>
      <c r="AC111" s="317">
        <v>30410</v>
      </c>
      <c r="AD111" s="317">
        <v>30490</v>
      </c>
      <c r="AE111" s="317">
        <v>30550</v>
      </c>
      <c r="AF111" s="317">
        <v>30570</v>
      </c>
      <c r="AG111" s="317">
        <v>30570</v>
      </c>
      <c r="AH111" s="317">
        <v>30550</v>
      </c>
      <c r="AI111" s="317">
        <v>30500</v>
      </c>
      <c r="AJ111" s="317">
        <v>30430</v>
      </c>
      <c r="AK111" s="317">
        <v>30350</v>
      </c>
      <c r="AL111" s="317">
        <v>30260</v>
      </c>
      <c r="AM111" s="317">
        <v>30190</v>
      </c>
      <c r="AN111" s="317">
        <v>30130</v>
      </c>
      <c r="AO111" s="317">
        <v>30090</v>
      </c>
      <c r="AP111" s="317">
        <v>30080</v>
      </c>
      <c r="AQ111" s="317">
        <v>30110</v>
      </c>
      <c r="AR111" s="317">
        <v>30170</v>
      </c>
      <c r="AS111" s="317">
        <v>30250</v>
      </c>
      <c r="AT111" s="317">
        <v>30350</v>
      </c>
      <c r="AU111" s="317">
        <v>30440</v>
      </c>
      <c r="AV111" s="317">
        <v>30540</v>
      </c>
      <c r="AW111" s="317">
        <v>30630</v>
      </c>
      <c r="AX111" s="317">
        <v>30720</v>
      </c>
      <c r="AY111" s="317">
        <v>30790</v>
      </c>
      <c r="AZ111" s="317">
        <v>30860</v>
      </c>
      <c r="BA111" s="317">
        <v>30930</v>
      </c>
      <c r="BB111" s="317">
        <v>30990</v>
      </c>
      <c r="BC111" s="317">
        <v>31050</v>
      </c>
      <c r="BD111" s="317">
        <v>31100</v>
      </c>
      <c r="BE111" s="317">
        <v>31160</v>
      </c>
      <c r="BF111" s="317">
        <v>31220</v>
      </c>
    </row>
    <row r="112" spans="1:58" x14ac:dyDescent="0.2">
      <c r="A112" s="318" t="s">
        <v>16</v>
      </c>
      <c r="B112" s="315"/>
      <c r="C112" s="317">
        <v>29970</v>
      </c>
      <c r="D112" s="317">
        <v>29320</v>
      </c>
      <c r="E112" s="317">
        <v>28830</v>
      </c>
      <c r="F112" s="317">
        <v>28640</v>
      </c>
      <c r="G112" s="317">
        <v>28070</v>
      </c>
      <c r="H112" s="317">
        <v>29090</v>
      </c>
      <c r="I112" s="317">
        <v>28270</v>
      </c>
      <c r="J112" s="317">
        <v>27270</v>
      </c>
      <c r="K112" s="317">
        <v>27090</v>
      </c>
      <c r="L112" s="317">
        <v>28050</v>
      </c>
      <c r="M112" s="317">
        <v>27780</v>
      </c>
      <c r="N112" s="317">
        <v>28560</v>
      </c>
      <c r="O112" s="317">
        <v>29700</v>
      </c>
      <c r="P112" s="317">
        <v>30580</v>
      </c>
      <c r="Q112" s="317">
        <v>29810</v>
      </c>
      <c r="R112" s="317">
        <v>30480</v>
      </c>
      <c r="S112" s="317">
        <v>29760</v>
      </c>
      <c r="T112" s="317">
        <v>29010</v>
      </c>
      <c r="U112" s="317">
        <v>29020</v>
      </c>
      <c r="V112" s="317">
        <v>29100</v>
      </c>
      <c r="W112" s="317">
        <v>29230</v>
      </c>
      <c r="X112" s="317">
        <v>29400</v>
      </c>
      <c r="Y112" s="317">
        <v>29590</v>
      </c>
      <c r="Z112" s="317">
        <v>29770</v>
      </c>
      <c r="AA112" s="317">
        <v>29950</v>
      </c>
      <c r="AB112" s="317">
        <v>30120</v>
      </c>
      <c r="AC112" s="317">
        <v>30260</v>
      </c>
      <c r="AD112" s="317">
        <v>30370</v>
      </c>
      <c r="AE112" s="317">
        <v>30450</v>
      </c>
      <c r="AF112" s="317">
        <v>30510</v>
      </c>
      <c r="AG112" s="317">
        <v>30530</v>
      </c>
      <c r="AH112" s="317">
        <v>30530</v>
      </c>
      <c r="AI112" s="317">
        <v>30500</v>
      </c>
      <c r="AJ112" s="317">
        <v>30450</v>
      </c>
      <c r="AK112" s="317">
        <v>30390</v>
      </c>
      <c r="AL112" s="317">
        <v>30310</v>
      </c>
      <c r="AM112" s="317">
        <v>30220</v>
      </c>
      <c r="AN112" s="317">
        <v>30150</v>
      </c>
      <c r="AO112" s="317">
        <v>30090</v>
      </c>
      <c r="AP112" s="317">
        <v>30050</v>
      </c>
      <c r="AQ112" s="317">
        <v>30040</v>
      </c>
      <c r="AR112" s="317">
        <v>30070</v>
      </c>
      <c r="AS112" s="317">
        <v>30130</v>
      </c>
      <c r="AT112" s="317">
        <v>30210</v>
      </c>
      <c r="AU112" s="317">
        <v>30310</v>
      </c>
      <c r="AV112" s="317">
        <v>30400</v>
      </c>
      <c r="AW112" s="317">
        <v>30500</v>
      </c>
      <c r="AX112" s="317">
        <v>30590</v>
      </c>
      <c r="AY112" s="317">
        <v>30680</v>
      </c>
      <c r="AZ112" s="317">
        <v>30750</v>
      </c>
      <c r="BA112" s="317">
        <v>30820</v>
      </c>
      <c r="BB112" s="317">
        <v>30890</v>
      </c>
      <c r="BC112" s="317">
        <v>30950</v>
      </c>
      <c r="BD112" s="317">
        <v>31010</v>
      </c>
      <c r="BE112" s="317">
        <v>31060</v>
      </c>
      <c r="BF112" s="317">
        <v>31120</v>
      </c>
    </row>
    <row r="113" spans="1:58" x14ac:dyDescent="0.2">
      <c r="A113" s="318" t="s">
        <v>17</v>
      </c>
      <c r="B113" s="315"/>
      <c r="C113" s="317">
        <v>29990</v>
      </c>
      <c r="D113" s="317">
        <v>30050</v>
      </c>
      <c r="E113" s="317">
        <v>29330</v>
      </c>
      <c r="F113" s="317">
        <v>28830</v>
      </c>
      <c r="G113" s="317">
        <v>28670</v>
      </c>
      <c r="H113" s="317">
        <v>28040</v>
      </c>
      <c r="I113" s="317">
        <v>28980</v>
      </c>
      <c r="J113" s="317">
        <v>28170</v>
      </c>
      <c r="K113" s="317">
        <v>27210</v>
      </c>
      <c r="L113" s="317">
        <v>27050</v>
      </c>
      <c r="M113" s="317">
        <v>28010</v>
      </c>
      <c r="N113" s="317">
        <v>27740</v>
      </c>
      <c r="O113" s="317">
        <v>28510</v>
      </c>
      <c r="P113" s="317">
        <v>29660</v>
      </c>
      <c r="Q113" s="317">
        <v>30530</v>
      </c>
      <c r="R113" s="317">
        <v>29770</v>
      </c>
      <c r="S113" s="317">
        <v>30430</v>
      </c>
      <c r="T113" s="317">
        <v>29710</v>
      </c>
      <c r="U113" s="317">
        <v>28970</v>
      </c>
      <c r="V113" s="317">
        <v>28980</v>
      </c>
      <c r="W113" s="317">
        <v>29060</v>
      </c>
      <c r="X113" s="317">
        <v>29190</v>
      </c>
      <c r="Y113" s="317">
        <v>29360</v>
      </c>
      <c r="Z113" s="317">
        <v>29540</v>
      </c>
      <c r="AA113" s="317">
        <v>29730</v>
      </c>
      <c r="AB113" s="317">
        <v>29910</v>
      </c>
      <c r="AC113" s="317">
        <v>30070</v>
      </c>
      <c r="AD113" s="317">
        <v>30210</v>
      </c>
      <c r="AE113" s="317">
        <v>30330</v>
      </c>
      <c r="AF113" s="317">
        <v>30410</v>
      </c>
      <c r="AG113" s="317">
        <v>30460</v>
      </c>
      <c r="AH113" s="317">
        <v>30490</v>
      </c>
      <c r="AI113" s="317">
        <v>30490</v>
      </c>
      <c r="AJ113" s="317">
        <v>30460</v>
      </c>
      <c r="AK113" s="317">
        <v>30410</v>
      </c>
      <c r="AL113" s="317">
        <v>30340</v>
      </c>
      <c r="AM113" s="317">
        <v>30260</v>
      </c>
      <c r="AN113" s="317">
        <v>30180</v>
      </c>
      <c r="AO113" s="317">
        <v>30100</v>
      </c>
      <c r="AP113" s="317">
        <v>30040</v>
      </c>
      <c r="AQ113" s="317">
        <v>30010</v>
      </c>
      <c r="AR113" s="317">
        <v>30000</v>
      </c>
      <c r="AS113" s="317">
        <v>30030</v>
      </c>
      <c r="AT113" s="317">
        <v>30090</v>
      </c>
      <c r="AU113" s="317">
        <v>30170</v>
      </c>
      <c r="AV113" s="317">
        <v>30260</v>
      </c>
      <c r="AW113" s="317">
        <v>30360</v>
      </c>
      <c r="AX113" s="317">
        <v>30460</v>
      </c>
      <c r="AY113" s="317">
        <v>30550</v>
      </c>
      <c r="AZ113" s="317">
        <v>30640</v>
      </c>
      <c r="BA113" s="317">
        <v>30710</v>
      </c>
      <c r="BB113" s="317">
        <v>30780</v>
      </c>
      <c r="BC113" s="317">
        <v>30840</v>
      </c>
      <c r="BD113" s="317">
        <v>30910</v>
      </c>
      <c r="BE113" s="317">
        <v>30960</v>
      </c>
      <c r="BF113" s="317">
        <v>31020</v>
      </c>
    </row>
    <row r="114" spans="1:58" x14ac:dyDescent="0.2">
      <c r="A114" s="318" t="s">
        <v>18</v>
      </c>
      <c r="B114" s="315"/>
      <c r="C114" s="317">
        <v>30750</v>
      </c>
      <c r="D114" s="317">
        <v>30070</v>
      </c>
      <c r="E114" s="317">
        <v>30040</v>
      </c>
      <c r="F114" s="317">
        <v>29340</v>
      </c>
      <c r="G114" s="317">
        <v>28880</v>
      </c>
      <c r="H114" s="317">
        <v>28640</v>
      </c>
      <c r="I114" s="317">
        <v>27920</v>
      </c>
      <c r="J114" s="317">
        <v>28880</v>
      </c>
      <c r="K114" s="317">
        <v>28110</v>
      </c>
      <c r="L114" s="317">
        <v>27160</v>
      </c>
      <c r="M114" s="317">
        <v>27010</v>
      </c>
      <c r="N114" s="317">
        <v>27960</v>
      </c>
      <c r="O114" s="317">
        <v>27690</v>
      </c>
      <c r="P114" s="317">
        <v>28470</v>
      </c>
      <c r="Q114" s="317">
        <v>29620</v>
      </c>
      <c r="R114" s="317">
        <v>30490</v>
      </c>
      <c r="S114" s="317">
        <v>29720</v>
      </c>
      <c r="T114" s="317">
        <v>30390</v>
      </c>
      <c r="U114" s="317">
        <v>29670</v>
      </c>
      <c r="V114" s="317">
        <v>28920</v>
      </c>
      <c r="W114" s="317">
        <v>28930</v>
      </c>
      <c r="X114" s="317">
        <v>29010</v>
      </c>
      <c r="Y114" s="317">
        <v>29140</v>
      </c>
      <c r="Z114" s="317">
        <v>29320</v>
      </c>
      <c r="AA114" s="317">
        <v>29500</v>
      </c>
      <c r="AB114" s="317">
        <v>29690</v>
      </c>
      <c r="AC114" s="317">
        <v>29870</v>
      </c>
      <c r="AD114" s="317">
        <v>30030</v>
      </c>
      <c r="AE114" s="317">
        <v>30170</v>
      </c>
      <c r="AF114" s="317">
        <v>30280</v>
      </c>
      <c r="AG114" s="317">
        <v>30370</v>
      </c>
      <c r="AH114" s="317">
        <v>30420</v>
      </c>
      <c r="AI114" s="317">
        <v>30450</v>
      </c>
      <c r="AJ114" s="317">
        <v>30440</v>
      </c>
      <c r="AK114" s="317">
        <v>30420</v>
      </c>
      <c r="AL114" s="317">
        <v>30370</v>
      </c>
      <c r="AM114" s="317">
        <v>30300</v>
      </c>
      <c r="AN114" s="317">
        <v>30220</v>
      </c>
      <c r="AO114" s="317">
        <v>30140</v>
      </c>
      <c r="AP114" s="317">
        <v>30060</v>
      </c>
      <c r="AQ114" s="317">
        <v>30000</v>
      </c>
      <c r="AR114" s="317">
        <v>29960</v>
      </c>
      <c r="AS114" s="317">
        <v>29960</v>
      </c>
      <c r="AT114" s="317">
        <v>29990</v>
      </c>
      <c r="AU114" s="317">
        <v>30050</v>
      </c>
      <c r="AV114" s="317">
        <v>30130</v>
      </c>
      <c r="AW114" s="317">
        <v>30220</v>
      </c>
      <c r="AX114" s="317">
        <v>30320</v>
      </c>
      <c r="AY114" s="317">
        <v>30420</v>
      </c>
      <c r="AZ114" s="317">
        <v>30510</v>
      </c>
      <c r="BA114" s="317">
        <v>30590</v>
      </c>
      <c r="BB114" s="317">
        <v>30670</v>
      </c>
      <c r="BC114" s="317">
        <v>30740</v>
      </c>
      <c r="BD114" s="317">
        <v>30800</v>
      </c>
      <c r="BE114" s="317">
        <v>30860</v>
      </c>
      <c r="BF114" s="317">
        <v>30920</v>
      </c>
    </row>
    <row r="115" spans="1:58" x14ac:dyDescent="0.2">
      <c r="A115" s="318" t="s">
        <v>19</v>
      </c>
      <c r="B115" s="315"/>
      <c r="C115" s="317">
        <v>30960</v>
      </c>
      <c r="D115" s="317">
        <v>30820</v>
      </c>
      <c r="E115" s="317">
        <v>30090</v>
      </c>
      <c r="F115" s="317">
        <v>30070</v>
      </c>
      <c r="G115" s="317">
        <v>29450</v>
      </c>
      <c r="H115" s="317">
        <v>28860</v>
      </c>
      <c r="I115" s="317">
        <v>28570</v>
      </c>
      <c r="J115" s="317">
        <v>27870</v>
      </c>
      <c r="K115" s="317">
        <v>28850</v>
      </c>
      <c r="L115" s="317">
        <v>28110</v>
      </c>
      <c r="M115" s="317">
        <v>27170</v>
      </c>
      <c r="N115" s="317">
        <v>27010</v>
      </c>
      <c r="O115" s="317">
        <v>27970</v>
      </c>
      <c r="P115" s="317">
        <v>27700</v>
      </c>
      <c r="Q115" s="317">
        <v>28470</v>
      </c>
      <c r="R115" s="317">
        <v>29620</v>
      </c>
      <c r="S115" s="317">
        <v>30490</v>
      </c>
      <c r="T115" s="317">
        <v>29730</v>
      </c>
      <c r="U115" s="317">
        <v>30390</v>
      </c>
      <c r="V115" s="317">
        <v>29670</v>
      </c>
      <c r="W115" s="317">
        <v>28930</v>
      </c>
      <c r="X115" s="317">
        <v>28940</v>
      </c>
      <c r="Y115" s="317">
        <v>29020</v>
      </c>
      <c r="Z115" s="317">
        <v>29150</v>
      </c>
      <c r="AA115" s="317">
        <v>29320</v>
      </c>
      <c r="AB115" s="317">
        <v>29500</v>
      </c>
      <c r="AC115" s="317">
        <v>29690</v>
      </c>
      <c r="AD115" s="317">
        <v>29870</v>
      </c>
      <c r="AE115" s="317">
        <v>30040</v>
      </c>
      <c r="AF115" s="317">
        <v>30170</v>
      </c>
      <c r="AG115" s="317">
        <v>30290</v>
      </c>
      <c r="AH115" s="317">
        <v>30370</v>
      </c>
      <c r="AI115" s="317">
        <v>30430</v>
      </c>
      <c r="AJ115" s="317">
        <v>30450</v>
      </c>
      <c r="AK115" s="317">
        <v>30450</v>
      </c>
      <c r="AL115" s="317">
        <v>30420</v>
      </c>
      <c r="AM115" s="317">
        <v>30370</v>
      </c>
      <c r="AN115" s="317">
        <v>30310</v>
      </c>
      <c r="AO115" s="317">
        <v>30230</v>
      </c>
      <c r="AP115" s="317">
        <v>30140</v>
      </c>
      <c r="AQ115" s="317">
        <v>30070</v>
      </c>
      <c r="AR115" s="317">
        <v>30010</v>
      </c>
      <c r="AS115" s="317">
        <v>29970</v>
      </c>
      <c r="AT115" s="317">
        <v>29960</v>
      </c>
      <c r="AU115" s="317">
        <v>29990</v>
      </c>
      <c r="AV115" s="317">
        <v>30050</v>
      </c>
      <c r="AW115" s="317">
        <v>30130</v>
      </c>
      <c r="AX115" s="317">
        <v>30230</v>
      </c>
      <c r="AY115" s="317">
        <v>30330</v>
      </c>
      <c r="AZ115" s="317">
        <v>30420</v>
      </c>
      <c r="BA115" s="317">
        <v>30520</v>
      </c>
      <c r="BB115" s="317">
        <v>30600</v>
      </c>
      <c r="BC115" s="317">
        <v>30680</v>
      </c>
      <c r="BD115" s="317">
        <v>30740</v>
      </c>
      <c r="BE115" s="317">
        <v>30810</v>
      </c>
      <c r="BF115" s="317">
        <v>30870</v>
      </c>
    </row>
    <row r="116" spans="1:58" x14ac:dyDescent="0.2">
      <c r="A116" s="318" t="s">
        <v>20</v>
      </c>
      <c r="B116" s="315"/>
      <c r="C116" s="317">
        <v>32030</v>
      </c>
      <c r="D116" s="317">
        <v>31160</v>
      </c>
      <c r="E116" s="317">
        <v>30910</v>
      </c>
      <c r="F116" s="317">
        <v>30170</v>
      </c>
      <c r="G116" s="317">
        <v>30280</v>
      </c>
      <c r="H116" s="317">
        <v>29550</v>
      </c>
      <c r="I116" s="317">
        <v>28930</v>
      </c>
      <c r="J116" s="317">
        <v>28650</v>
      </c>
      <c r="K116" s="317">
        <v>27990</v>
      </c>
      <c r="L116" s="317">
        <v>29000</v>
      </c>
      <c r="M116" s="317">
        <v>28250</v>
      </c>
      <c r="N116" s="317">
        <v>27310</v>
      </c>
      <c r="O116" s="317">
        <v>27160</v>
      </c>
      <c r="P116" s="317">
        <v>28110</v>
      </c>
      <c r="Q116" s="317">
        <v>27840</v>
      </c>
      <c r="R116" s="317">
        <v>28620</v>
      </c>
      <c r="S116" s="317">
        <v>29770</v>
      </c>
      <c r="T116" s="317">
        <v>30640</v>
      </c>
      <c r="U116" s="317">
        <v>29870</v>
      </c>
      <c r="V116" s="317">
        <v>30540</v>
      </c>
      <c r="W116" s="317">
        <v>29820</v>
      </c>
      <c r="X116" s="317">
        <v>29070</v>
      </c>
      <c r="Y116" s="317">
        <v>29080</v>
      </c>
      <c r="Z116" s="317">
        <v>29160</v>
      </c>
      <c r="AA116" s="317">
        <v>29290</v>
      </c>
      <c r="AB116" s="317">
        <v>29470</v>
      </c>
      <c r="AC116" s="317">
        <v>29650</v>
      </c>
      <c r="AD116" s="317">
        <v>29840</v>
      </c>
      <c r="AE116" s="317">
        <v>30020</v>
      </c>
      <c r="AF116" s="317">
        <v>30180</v>
      </c>
      <c r="AG116" s="317">
        <v>30320</v>
      </c>
      <c r="AH116" s="317">
        <v>30430</v>
      </c>
      <c r="AI116" s="317">
        <v>30520</v>
      </c>
      <c r="AJ116" s="317">
        <v>30570</v>
      </c>
      <c r="AK116" s="317">
        <v>30600</v>
      </c>
      <c r="AL116" s="317">
        <v>30600</v>
      </c>
      <c r="AM116" s="317">
        <v>30570</v>
      </c>
      <c r="AN116" s="317">
        <v>30520</v>
      </c>
      <c r="AO116" s="317">
        <v>30450</v>
      </c>
      <c r="AP116" s="317">
        <v>30370</v>
      </c>
      <c r="AQ116" s="317">
        <v>30290</v>
      </c>
      <c r="AR116" s="317">
        <v>30210</v>
      </c>
      <c r="AS116" s="317">
        <v>30150</v>
      </c>
      <c r="AT116" s="317">
        <v>30120</v>
      </c>
      <c r="AU116" s="317">
        <v>30110</v>
      </c>
      <c r="AV116" s="317">
        <v>30140</v>
      </c>
      <c r="AW116" s="317">
        <v>30200</v>
      </c>
      <c r="AX116" s="317">
        <v>30280</v>
      </c>
      <c r="AY116" s="317">
        <v>30370</v>
      </c>
      <c r="AZ116" s="317">
        <v>30470</v>
      </c>
      <c r="BA116" s="317">
        <v>30570</v>
      </c>
      <c r="BB116" s="317">
        <v>30660</v>
      </c>
      <c r="BC116" s="317">
        <v>30750</v>
      </c>
      <c r="BD116" s="317">
        <v>30820</v>
      </c>
      <c r="BE116" s="317">
        <v>30890</v>
      </c>
      <c r="BF116" s="317">
        <v>30960</v>
      </c>
    </row>
    <row r="117" spans="1:58" x14ac:dyDescent="0.2">
      <c r="A117" s="318" t="s">
        <v>21</v>
      </c>
      <c r="B117" s="315"/>
      <c r="C117" s="317">
        <v>31990</v>
      </c>
      <c r="D117" s="317">
        <v>32290</v>
      </c>
      <c r="E117" s="317">
        <v>31330</v>
      </c>
      <c r="F117" s="317">
        <v>31180</v>
      </c>
      <c r="G117" s="317">
        <v>30510</v>
      </c>
      <c r="H117" s="317">
        <v>30520</v>
      </c>
      <c r="I117" s="317">
        <v>29750</v>
      </c>
      <c r="J117" s="317">
        <v>29150</v>
      </c>
      <c r="K117" s="317">
        <v>28920</v>
      </c>
      <c r="L117" s="317">
        <v>28290</v>
      </c>
      <c r="M117" s="317">
        <v>29300</v>
      </c>
      <c r="N117" s="317">
        <v>28560</v>
      </c>
      <c r="O117" s="317">
        <v>27620</v>
      </c>
      <c r="P117" s="317">
        <v>27460</v>
      </c>
      <c r="Q117" s="317">
        <v>28420</v>
      </c>
      <c r="R117" s="317">
        <v>28150</v>
      </c>
      <c r="S117" s="317">
        <v>28920</v>
      </c>
      <c r="T117" s="317">
        <v>30070</v>
      </c>
      <c r="U117" s="317">
        <v>30940</v>
      </c>
      <c r="V117" s="317">
        <v>30180</v>
      </c>
      <c r="W117" s="317">
        <v>30840</v>
      </c>
      <c r="X117" s="317">
        <v>30130</v>
      </c>
      <c r="Y117" s="317">
        <v>29380</v>
      </c>
      <c r="Z117" s="317">
        <v>29390</v>
      </c>
      <c r="AA117" s="317">
        <v>29470</v>
      </c>
      <c r="AB117" s="317">
        <v>29600</v>
      </c>
      <c r="AC117" s="317">
        <v>29770</v>
      </c>
      <c r="AD117" s="317">
        <v>29960</v>
      </c>
      <c r="AE117" s="317">
        <v>30140</v>
      </c>
      <c r="AF117" s="317">
        <v>30320</v>
      </c>
      <c r="AG117" s="317">
        <v>30490</v>
      </c>
      <c r="AH117" s="317">
        <v>30630</v>
      </c>
      <c r="AI117" s="317">
        <v>30740</v>
      </c>
      <c r="AJ117" s="317">
        <v>30830</v>
      </c>
      <c r="AK117" s="317">
        <v>30880</v>
      </c>
      <c r="AL117" s="317">
        <v>30900</v>
      </c>
      <c r="AM117" s="317">
        <v>30900</v>
      </c>
      <c r="AN117" s="317">
        <v>30880</v>
      </c>
      <c r="AO117" s="317">
        <v>30830</v>
      </c>
      <c r="AP117" s="317">
        <v>30760</v>
      </c>
      <c r="AQ117" s="317">
        <v>30680</v>
      </c>
      <c r="AR117" s="317">
        <v>30600</v>
      </c>
      <c r="AS117" s="317">
        <v>30520</v>
      </c>
      <c r="AT117" s="317">
        <v>30460</v>
      </c>
      <c r="AU117" s="317">
        <v>30430</v>
      </c>
      <c r="AV117" s="317">
        <v>30420</v>
      </c>
      <c r="AW117" s="317">
        <v>30450</v>
      </c>
      <c r="AX117" s="317">
        <v>30510</v>
      </c>
      <c r="AY117" s="317">
        <v>30590</v>
      </c>
      <c r="AZ117" s="317">
        <v>30680</v>
      </c>
      <c r="BA117" s="317">
        <v>30780</v>
      </c>
      <c r="BB117" s="317">
        <v>30880</v>
      </c>
      <c r="BC117" s="317">
        <v>30970</v>
      </c>
      <c r="BD117" s="317">
        <v>31060</v>
      </c>
      <c r="BE117" s="317">
        <v>31130</v>
      </c>
      <c r="BF117" s="317">
        <v>31200</v>
      </c>
    </row>
    <row r="118" spans="1:58" x14ac:dyDescent="0.2">
      <c r="A118" s="318" t="s">
        <v>22</v>
      </c>
      <c r="B118" s="315"/>
      <c r="C118" s="317">
        <v>30880</v>
      </c>
      <c r="D118" s="317">
        <v>32240</v>
      </c>
      <c r="E118" s="317">
        <v>32480</v>
      </c>
      <c r="F118" s="317">
        <v>31610</v>
      </c>
      <c r="G118" s="317">
        <v>31480</v>
      </c>
      <c r="H118" s="317">
        <v>30730</v>
      </c>
      <c r="I118" s="317">
        <v>30620</v>
      </c>
      <c r="J118" s="317">
        <v>29880</v>
      </c>
      <c r="K118" s="317">
        <v>29340</v>
      </c>
      <c r="L118" s="317">
        <v>29140</v>
      </c>
      <c r="M118" s="317">
        <v>28520</v>
      </c>
      <c r="N118" s="317">
        <v>29530</v>
      </c>
      <c r="O118" s="317">
        <v>28780</v>
      </c>
      <c r="P118" s="317">
        <v>27840</v>
      </c>
      <c r="Q118" s="317">
        <v>27690</v>
      </c>
      <c r="R118" s="317">
        <v>28640</v>
      </c>
      <c r="S118" s="317">
        <v>28380</v>
      </c>
      <c r="T118" s="317">
        <v>29150</v>
      </c>
      <c r="U118" s="317">
        <v>30300</v>
      </c>
      <c r="V118" s="317">
        <v>31170</v>
      </c>
      <c r="W118" s="317">
        <v>30400</v>
      </c>
      <c r="X118" s="317">
        <v>31070</v>
      </c>
      <c r="Y118" s="317">
        <v>30350</v>
      </c>
      <c r="Z118" s="317">
        <v>29600</v>
      </c>
      <c r="AA118" s="317">
        <v>29620</v>
      </c>
      <c r="AB118" s="317">
        <v>29700</v>
      </c>
      <c r="AC118" s="317">
        <v>29830</v>
      </c>
      <c r="AD118" s="317">
        <v>30000</v>
      </c>
      <c r="AE118" s="317">
        <v>30180</v>
      </c>
      <c r="AF118" s="317">
        <v>30370</v>
      </c>
      <c r="AG118" s="317">
        <v>30550</v>
      </c>
      <c r="AH118" s="317">
        <v>30720</v>
      </c>
      <c r="AI118" s="317">
        <v>30860</v>
      </c>
      <c r="AJ118" s="317">
        <v>30970</v>
      </c>
      <c r="AK118" s="317">
        <v>31050</v>
      </c>
      <c r="AL118" s="317">
        <v>31110</v>
      </c>
      <c r="AM118" s="317">
        <v>31130</v>
      </c>
      <c r="AN118" s="317">
        <v>31130</v>
      </c>
      <c r="AO118" s="317">
        <v>31110</v>
      </c>
      <c r="AP118" s="317">
        <v>31060</v>
      </c>
      <c r="AQ118" s="317">
        <v>30990</v>
      </c>
      <c r="AR118" s="317">
        <v>30910</v>
      </c>
      <c r="AS118" s="317">
        <v>30830</v>
      </c>
      <c r="AT118" s="317">
        <v>30750</v>
      </c>
      <c r="AU118" s="317">
        <v>30690</v>
      </c>
      <c r="AV118" s="317">
        <v>30650</v>
      </c>
      <c r="AW118" s="317">
        <v>30650</v>
      </c>
      <c r="AX118" s="317">
        <v>30680</v>
      </c>
      <c r="AY118" s="317">
        <v>30740</v>
      </c>
      <c r="AZ118" s="317">
        <v>30820</v>
      </c>
      <c r="BA118" s="317">
        <v>30910</v>
      </c>
      <c r="BB118" s="317">
        <v>31010</v>
      </c>
      <c r="BC118" s="317">
        <v>31110</v>
      </c>
      <c r="BD118" s="317">
        <v>31200</v>
      </c>
      <c r="BE118" s="317">
        <v>31290</v>
      </c>
      <c r="BF118" s="317">
        <v>31360</v>
      </c>
    </row>
    <row r="119" spans="1:58" x14ac:dyDescent="0.2">
      <c r="A119" s="318" t="s">
        <v>23</v>
      </c>
      <c r="B119" s="315"/>
      <c r="C119" s="317">
        <v>30180</v>
      </c>
      <c r="D119" s="317">
        <v>30880</v>
      </c>
      <c r="E119" s="317">
        <v>32210</v>
      </c>
      <c r="F119" s="317">
        <v>32550</v>
      </c>
      <c r="G119" s="317">
        <v>31710</v>
      </c>
      <c r="H119" s="317">
        <v>31430</v>
      </c>
      <c r="I119" s="317">
        <v>30700</v>
      </c>
      <c r="J119" s="317">
        <v>30620</v>
      </c>
      <c r="K119" s="317">
        <v>29960</v>
      </c>
      <c r="L119" s="317">
        <v>29460</v>
      </c>
      <c r="M119" s="317">
        <v>29270</v>
      </c>
      <c r="N119" s="317">
        <v>28640</v>
      </c>
      <c r="O119" s="317">
        <v>29650</v>
      </c>
      <c r="P119" s="317">
        <v>28910</v>
      </c>
      <c r="Q119" s="317">
        <v>27970</v>
      </c>
      <c r="R119" s="317">
        <v>27810</v>
      </c>
      <c r="S119" s="317">
        <v>28770</v>
      </c>
      <c r="T119" s="317">
        <v>28500</v>
      </c>
      <c r="U119" s="317">
        <v>29270</v>
      </c>
      <c r="V119" s="317">
        <v>30420</v>
      </c>
      <c r="W119" s="317">
        <v>31290</v>
      </c>
      <c r="X119" s="317">
        <v>30530</v>
      </c>
      <c r="Y119" s="317">
        <v>31190</v>
      </c>
      <c r="Z119" s="317">
        <v>30480</v>
      </c>
      <c r="AA119" s="317">
        <v>29730</v>
      </c>
      <c r="AB119" s="317">
        <v>29740</v>
      </c>
      <c r="AC119" s="317">
        <v>29820</v>
      </c>
      <c r="AD119" s="317">
        <v>29950</v>
      </c>
      <c r="AE119" s="317">
        <v>30130</v>
      </c>
      <c r="AF119" s="317">
        <v>30310</v>
      </c>
      <c r="AG119" s="317">
        <v>30500</v>
      </c>
      <c r="AH119" s="317">
        <v>30680</v>
      </c>
      <c r="AI119" s="317">
        <v>30840</v>
      </c>
      <c r="AJ119" s="317">
        <v>30980</v>
      </c>
      <c r="AK119" s="317">
        <v>31090</v>
      </c>
      <c r="AL119" s="317">
        <v>31180</v>
      </c>
      <c r="AM119" s="317">
        <v>31230</v>
      </c>
      <c r="AN119" s="317">
        <v>31260</v>
      </c>
      <c r="AO119" s="317">
        <v>31260</v>
      </c>
      <c r="AP119" s="317">
        <v>31230</v>
      </c>
      <c r="AQ119" s="317">
        <v>31180</v>
      </c>
      <c r="AR119" s="317">
        <v>31120</v>
      </c>
      <c r="AS119" s="317">
        <v>31040</v>
      </c>
      <c r="AT119" s="317">
        <v>30960</v>
      </c>
      <c r="AU119" s="317">
        <v>30880</v>
      </c>
      <c r="AV119" s="317">
        <v>30820</v>
      </c>
      <c r="AW119" s="317">
        <v>30780</v>
      </c>
      <c r="AX119" s="317">
        <v>30780</v>
      </c>
      <c r="AY119" s="317">
        <v>30810</v>
      </c>
      <c r="AZ119" s="317">
        <v>30870</v>
      </c>
      <c r="BA119" s="317">
        <v>30950</v>
      </c>
      <c r="BB119" s="317">
        <v>31040</v>
      </c>
      <c r="BC119" s="317">
        <v>31140</v>
      </c>
      <c r="BD119" s="317">
        <v>31240</v>
      </c>
      <c r="BE119" s="317">
        <v>31330</v>
      </c>
      <c r="BF119" s="317">
        <v>31410</v>
      </c>
    </row>
    <row r="120" spans="1:58" x14ac:dyDescent="0.2">
      <c r="A120" s="318" t="s">
        <v>24</v>
      </c>
      <c r="B120" s="315"/>
      <c r="C120" s="317">
        <v>29070</v>
      </c>
      <c r="D120" s="317">
        <v>30220</v>
      </c>
      <c r="E120" s="317">
        <v>30910</v>
      </c>
      <c r="F120" s="317">
        <v>32380</v>
      </c>
      <c r="G120" s="317">
        <v>32900</v>
      </c>
      <c r="H120" s="317">
        <v>31810</v>
      </c>
      <c r="I120" s="317">
        <v>31530</v>
      </c>
      <c r="J120" s="317">
        <v>30830</v>
      </c>
      <c r="K120" s="317">
        <v>30850</v>
      </c>
      <c r="L120" s="317">
        <v>30240</v>
      </c>
      <c r="M120" s="317">
        <v>29750</v>
      </c>
      <c r="N120" s="317">
        <v>29560</v>
      </c>
      <c r="O120" s="317">
        <v>28930</v>
      </c>
      <c r="P120" s="317">
        <v>29940</v>
      </c>
      <c r="Q120" s="317">
        <v>29200</v>
      </c>
      <c r="R120" s="317">
        <v>28260</v>
      </c>
      <c r="S120" s="317">
        <v>28100</v>
      </c>
      <c r="T120" s="317">
        <v>29060</v>
      </c>
      <c r="U120" s="317">
        <v>28790</v>
      </c>
      <c r="V120" s="317">
        <v>29560</v>
      </c>
      <c r="W120" s="317">
        <v>30710</v>
      </c>
      <c r="X120" s="317">
        <v>31580</v>
      </c>
      <c r="Y120" s="317">
        <v>30820</v>
      </c>
      <c r="Z120" s="317">
        <v>31480</v>
      </c>
      <c r="AA120" s="317">
        <v>30770</v>
      </c>
      <c r="AB120" s="317">
        <v>30020</v>
      </c>
      <c r="AC120" s="317">
        <v>30030</v>
      </c>
      <c r="AD120" s="317">
        <v>30110</v>
      </c>
      <c r="AE120" s="317">
        <v>30250</v>
      </c>
      <c r="AF120" s="317">
        <v>30420</v>
      </c>
      <c r="AG120" s="317">
        <v>30600</v>
      </c>
      <c r="AH120" s="317">
        <v>30790</v>
      </c>
      <c r="AI120" s="317">
        <v>30970</v>
      </c>
      <c r="AJ120" s="317">
        <v>31130</v>
      </c>
      <c r="AK120" s="317">
        <v>31270</v>
      </c>
      <c r="AL120" s="317">
        <v>31390</v>
      </c>
      <c r="AM120" s="317">
        <v>31470</v>
      </c>
      <c r="AN120" s="317">
        <v>31530</v>
      </c>
      <c r="AO120" s="317">
        <v>31550</v>
      </c>
      <c r="AP120" s="317">
        <v>31550</v>
      </c>
      <c r="AQ120" s="317">
        <v>31530</v>
      </c>
      <c r="AR120" s="317">
        <v>31480</v>
      </c>
      <c r="AS120" s="317">
        <v>31410</v>
      </c>
      <c r="AT120" s="317">
        <v>31330</v>
      </c>
      <c r="AU120" s="317">
        <v>31250</v>
      </c>
      <c r="AV120" s="317">
        <v>31170</v>
      </c>
      <c r="AW120" s="317">
        <v>31110</v>
      </c>
      <c r="AX120" s="317">
        <v>31080</v>
      </c>
      <c r="AY120" s="317">
        <v>31070</v>
      </c>
      <c r="AZ120" s="317">
        <v>31100</v>
      </c>
      <c r="BA120" s="317">
        <v>31160</v>
      </c>
      <c r="BB120" s="317">
        <v>31240</v>
      </c>
      <c r="BC120" s="317">
        <v>31340</v>
      </c>
      <c r="BD120" s="317">
        <v>31430</v>
      </c>
      <c r="BE120" s="317">
        <v>31530</v>
      </c>
      <c r="BF120" s="317">
        <v>31630</v>
      </c>
    </row>
    <row r="121" spans="1:58" x14ac:dyDescent="0.2">
      <c r="A121" s="318" t="s">
        <v>25</v>
      </c>
      <c r="B121" s="315"/>
      <c r="C121" s="317">
        <v>29720</v>
      </c>
      <c r="D121" s="317">
        <v>29220</v>
      </c>
      <c r="E121" s="317">
        <v>30430</v>
      </c>
      <c r="F121" s="317">
        <v>31250</v>
      </c>
      <c r="G121" s="317">
        <v>32930</v>
      </c>
      <c r="H121" s="317">
        <v>33270</v>
      </c>
      <c r="I121" s="317">
        <v>31980</v>
      </c>
      <c r="J121" s="317">
        <v>31740</v>
      </c>
      <c r="K121" s="317">
        <v>31140</v>
      </c>
      <c r="L121" s="317">
        <v>31230</v>
      </c>
      <c r="M121" s="317">
        <v>30630</v>
      </c>
      <c r="N121" s="317">
        <v>30130</v>
      </c>
      <c r="O121" s="317">
        <v>29940</v>
      </c>
      <c r="P121" s="317">
        <v>29310</v>
      </c>
      <c r="Q121" s="317">
        <v>30320</v>
      </c>
      <c r="R121" s="317">
        <v>29580</v>
      </c>
      <c r="S121" s="317">
        <v>28640</v>
      </c>
      <c r="T121" s="317">
        <v>28490</v>
      </c>
      <c r="U121" s="317">
        <v>29440</v>
      </c>
      <c r="V121" s="317">
        <v>29170</v>
      </c>
      <c r="W121" s="317">
        <v>29950</v>
      </c>
      <c r="X121" s="317">
        <v>31090</v>
      </c>
      <c r="Y121" s="317">
        <v>31970</v>
      </c>
      <c r="Z121" s="317">
        <v>31200</v>
      </c>
      <c r="AA121" s="317">
        <v>31870</v>
      </c>
      <c r="AB121" s="317">
        <v>31150</v>
      </c>
      <c r="AC121" s="317">
        <v>30410</v>
      </c>
      <c r="AD121" s="317">
        <v>30420</v>
      </c>
      <c r="AE121" s="317">
        <v>30500</v>
      </c>
      <c r="AF121" s="317">
        <v>30630</v>
      </c>
      <c r="AG121" s="317">
        <v>30800</v>
      </c>
      <c r="AH121" s="317">
        <v>30990</v>
      </c>
      <c r="AI121" s="317">
        <v>31170</v>
      </c>
      <c r="AJ121" s="317">
        <v>31360</v>
      </c>
      <c r="AK121" s="317">
        <v>31520</v>
      </c>
      <c r="AL121" s="317">
        <v>31660</v>
      </c>
      <c r="AM121" s="317">
        <v>31770</v>
      </c>
      <c r="AN121" s="317">
        <v>31860</v>
      </c>
      <c r="AO121" s="317">
        <v>31910</v>
      </c>
      <c r="AP121" s="317">
        <v>31940</v>
      </c>
      <c r="AQ121" s="317">
        <v>31940</v>
      </c>
      <c r="AR121" s="317">
        <v>31910</v>
      </c>
      <c r="AS121" s="317">
        <v>31860</v>
      </c>
      <c r="AT121" s="317">
        <v>31800</v>
      </c>
      <c r="AU121" s="317">
        <v>31720</v>
      </c>
      <c r="AV121" s="317">
        <v>31640</v>
      </c>
      <c r="AW121" s="317">
        <v>31560</v>
      </c>
      <c r="AX121" s="317">
        <v>31500</v>
      </c>
      <c r="AY121" s="317">
        <v>31460</v>
      </c>
      <c r="AZ121" s="317">
        <v>31460</v>
      </c>
      <c r="BA121" s="317">
        <v>31490</v>
      </c>
      <c r="BB121" s="317">
        <v>31550</v>
      </c>
      <c r="BC121" s="317">
        <v>31630</v>
      </c>
      <c r="BD121" s="317">
        <v>31720</v>
      </c>
      <c r="BE121" s="317">
        <v>31820</v>
      </c>
      <c r="BF121" s="317">
        <v>31920</v>
      </c>
    </row>
    <row r="122" spans="1:58" x14ac:dyDescent="0.2">
      <c r="A122" s="318" t="s">
        <v>26</v>
      </c>
      <c r="B122" s="315"/>
      <c r="C122" s="317">
        <v>29650</v>
      </c>
      <c r="D122" s="317">
        <v>29650</v>
      </c>
      <c r="E122" s="317">
        <v>29160</v>
      </c>
      <c r="F122" s="317">
        <v>30580</v>
      </c>
      <c r="G122" s="317">
        <v>31580</v>
      </c>
      <c r="H122" s="317">
        <v>33040</v>
      </c>
      <c r="I122" s="317">
        <v>33180</v>
      </c>
      <c r="J122" s="317">
        <v>31950</v>
      </c>
      <c r="K122" s="317">
        <v>31810</v>
      </c>
      <c r="L122" s="317">
        <v>31290</v>
      </c>
      <c r="M122" s="317">
        <v>31370</v>
      </c>
      <c r="N122" s="317">
        <v>30770</v>
      </c>
      <c r="O122" s="317">
        <v>30280</v>
      </c>
      <c r="P122" s="317">
        <v>30080</v>
      </c>
      <c r="Q122" s="317">
        <v>29460</v>
      </c>
      <c r="R122" s="317">
        <v>30470</v>
      </c>
      <c r="S122" s="317">
        <v>29730</v>
      </c>
      <c r="T122" s="317">
        <v>28790</v>
      </c>
      <c r="U122" s="317">
        <v>28630</v>
      </c>
      <c r="V122" s="317">
        <v>29590</v>
      </c>
      <c r="W122" s="317">
        <v>29320</v>
      </c>
      <c r="X122" s="317">
        <v>30100</v>
      </c>
      <c r="Y122" s="317">
        <v>31240</v>
      </c>
      <c r="Z122" s="317">
        <v>32110</v>
      </c>
      <c r="AA122" s="317">
        <v>31350</v>
      </c>
      <c r="AB122" s="317">
        <v>32020</v>
      </c>
      <c r="AC122" s="317">
        <v>31300</v>
      </c>
      <c r="AD122" s="317">
        <v>30550</v>
      </c>
      <c r="AE122" s="317">
        <v>30570</v>
      </c>
      <c r="AF122" s="317">
        <v>30650</v>
      </c>
      <c r="AG122" s="317">
        <v>30780</v>
      </c>
      <c r="AH122" s="317">
        <v>30950</v>
      </c>
      <c r="AI122" s="317">
        <v>31140</v>
      </c>
      <c r="AJ122" s="317">
        <v>31320</v>
      </c>
      <c r="AK122" s="317">
        <v>31500</v>
      </c>
      <c r="AL122" s="317">
        <v>31670</v>
      </c>
      <c r="AM122" s="317">
        <v>31810</v>
      </c>
      <c r="AN122" s="317">
        <v>31920</v>
      </c>
      <c r="AO122" s="317">
        <v>32010</v>
      </c>
      <c r="AP122" s="317">
        <v>32060</v>
      </c>
      <c r="AQ122" s="317">
        <v>32090</v>
      </c>
      <c r="AR122" s="317">
        <v>32090</v>
      </c>
      <c r="AS122" s="317">
        <v>32060</v>
      </c>
      <c r="AT122" s="317">
        <v>32020</v>
      </c>
      <c r="AU122" s="317">
        <v>31950</v>
      </c>
      <c r="AV122" s="317">
        <v>31870</v>
      </c>
      <c r="AW122" s="317">
        <v>31790</v>
      </c>
      <c r="AX122" s="317">
        <v>31710</v>
      </c>
      <c r="AY122" s="317">
        <v>31650</v>
      </c>
      <c r="AZ122" s="317">
        <v>31610</v>
      </c>
      <c r="BA122" s="317">
        <v>31610</v>
      </c>
      <c r="BB122" s="317">
        <v>31640</v>
      </c>
      <c r="BC122" s="317">
        <v>31700</v>
      </c>
      <c r="BD122" s="317">
        <v>31780</v>
      </c>
      <c r="BE122" s="317">
        <v>31870</v>
      </c>
      <c r="BF122" s="317">
        <v>31970</v>
      </c>
    </row>
    <row r="123" spans="1:58" x14ac:dyDescent="0.2">
      <c r="A123" s="318" t="s">
        <v>27</v>
      </c>
      <c r="B123" s="315"/>
      <c r="C123" s="317">
        <v>29240</v>
      </c>
      <c r="D123" s="317">
        <v>29350</v>
      </c>
      <c r="E123" s="317">
        <v>29360</v>
      </c>
      <c r="F123" s="317">
        <v>29120</v>
      </c>
      <c r="G123" s="317">
        <v>30690</v>
      </c>
      <c r="H123" s="317">
        <v>31400</v>
      </c>
      <c r="I123" s="317">
        <v>32740</v>
      </c>
      <c r="J123" s="317">
        <v>32940</v>
      </c>
      <c r="K123" s="317">
        <v>31830</v>
      </c>
      <c r="L123" s="317">
        <v>31780</v>
      </c>
      <c r="M123" s="317">
        <v>31260</v>
      </c>
      <c r="N123" s="317">
        <v>31340</v>
      </c>
      <c r="O123" s="317">
        <v>30740</v>
      </c>
      <c r="P123" s="317">
        <v>30250</v>
      </c>
      <c r="Q123" s="317">
        <v>30060</v>
      </c>
      <c r="R123" s="317">
        <v>29430</v>
      </c>
      <c r="S123" s="317">
        <v>30440</v>
      </c>
      <c r="T123" s="317">
        <v>29700</v>
      </c>
      <c r="U123" s="317">
        <v>28760</v>
      </c>
      <c r="V123" s="317">
        <v>28610</v>
      </c>
      <c r="W123" s="317">
        <v>29560</v>
      </c>
      <c r="X123" s="317">
        <v>29300</v>
      </c>
      <c r="Y123" s="317">
        <v>30070</v>
      </c>
      <c r="Z123" s="317">
        <v>31220</v>
      </c>
      <c r="AA123" s="317">
        <v>32090</v>
      </c>
      <c r="AB123" s="317">
        <v>31320</v>
      </c>
      <c r="AC123" s="317">
        <v>31990</v>
      </c>
      <c r="AD123" s="317">
        <v>31270</v>
      </c>
      <c r="AE123" s="317">
        <v>30530</v>
      </c>
      <c r="AF123" s="317">
        <v>30540</v>
      </c>
      <c r="AG123" s="317">
        <v>30620</v>
      </c>
      <c r="AH123" s="317">
        <v>30760</v>
      </c>
      <c r="AI123" s="317">
        <v>30930</v>
      </c>
      <c r="AJ123" s="317">
        <v>31110</v>
      </c>
      <c r="AK123" s="317">
        <v>31300</v>
      </c>
      <c r="AL123" s="317">
        <v>31480</v>
      </c>
      <c r="AM123" s="317">
        <v>31650</v>
      </c>
      <c r="AN123" s="317">
        <v>31780</v>
      </c>
      <c r="AO123" s="317">
        <v>31900</v>
      </c>
      <c r="AP123" s="317">
        <v>31980</v>
      </c>
      <c r="AQ123" s="317">
        <v>32040</v>
      </c>
      <c r="AR123" s="317">
        <v>32060</v>
      </c>
      <c r="AS123" s="317">
        <v>32060</v>
      </c>
      <c r="AT123" s="317">
        <v>32040</v>
      </c>
      <c r="AU123" s="317">
        <v>31990</v>
      </c>
      <c r="AV123" s="317">
        <v>31920</v>
      </c>
      <c r="AW123" s="317">
        <v>31850</v>
      </c>
      <c r="AX123" s="317">
        <v>31760</v>
      </c>
      <c r="AY123" s="317">
        <v>31690</v>
      </c>
      <c r="AZ123" s="317">
        <v>31630</v>
      </c>
      <c r="BA123" s="317">
        <v>31590</v>
      </c>
      <c r="BB123" s="317">
        <v>31590</v>
      </c>
      <c r="BC123" s="317">
        <v>31620</v>
      </c>
      <c r="BD123" s="317">
        <v>31680</v>
      </c>
      <c r="BE123" s="317">
        <v>31760</v>
      </c>
      <c r="BF123" s="317">
        <v>31850</v>
      </c>
    </row>
    <row r="124" spans="1:58" x14ac:dyDescent="0.2">
      <c r="A124" s="318" t="s">
        <v>28</v>
      </c>
      <c r="B124" s="315"/>
      <c r="C124" s="317">
        <v>28880</v>
      </c>
      <c r="D124" s="317">
        <v>28950</v>
      </c>
      <c r="E124" s="317">
        <v>29100</v>
      </c>
      <c r="F124" s="317">
        <v>29270</v>
      </c>
      <c r="G124" s="317">
        <v>29230</v>
      </c>
      <c r="H124" s="317">
        <v>30540</v>
      </c>
      <c r="I124" s="317">
        <v>31150</v>
      </c>
      <c r="J124" s="317">
        <v>32540</v>
      </c>
      <c r="K124" s="317">
        <v>32890</v>
      </c>
      <c r="L124" s="317">
        <v>31880</v>
      </c>
      <c r="M124" s="317">
        <v>31830</v>
      </c>
      <c r="N124" s="317">
        <v>31310</v>
      </c>
      <c r="O124" s="317">
        <v>31400</v>
      </c>
      <c r="P124" s="317">
        <v>30800</v>
      </c>
      <c r="Q124" s="317">
        <v>30310</v>
      </c>
      <c r="R124" s="317">
        <v>30110</v>
      </c>
      <c r="S124" s="317">
        <v>29490</v>
      </c>
      <c r="T124" s="317">
        <v>30500</v>
      </c>
      <c r="U124" s="317">
        <v>29760</v>
      </c>
      <c r="V124" s="317">
        <v>28820</v>
      </c>
      <c r="W124" s="317">
        <v>28660</v>
      </c>
      <c r="X124" s="317">
        <v>29620</v>
      </c>
      <c r="Y124" s="317">
        <v>29350</v>
      </c>
      <c r="Z124" s="317">
        <v>30130</v>
      </c>
      <c r="AA124" s="317">
        <v>31270</v>
      </c>
      <c r="AB124" s="317">
        <v>32150</v>
      </c>
      <c r="AC124" s="317">
        <v>31380</v>
      </c>
      <c r="AD124" s="317">
        <v>32050</v>
      </c>
      <c r="AE124" s="317">
        <v>31330</v>
      </c>
      <c r="AF124" s="317">
        <v>30590</v>
      </c>
      <c r="AG124" s="317">
        <v>30600</v>
      </c>
      <c r="AH124" s="317">
        <v>30680</v>
      </c>
      <c r="AI124" s="317">
        <v>30810</v>
      </c>
      <c r="AJ124" s="317">
        <v>30990</v>
      </c>
      <c r="AK124" s="317">
        <v>31170</v>
      </c>
      <c r="AL124" s="317">
        <v>31360</v>
      </c>
      <c r="AM124" s="317">
        <v>31540</v>
      </c>
      <c r="AN124" s="317">
        <v>31700</v>
      </c>
      <c r="AO124" s="317">
        <v>31840</v>
      </c>
      <c r="AP124" s="317">
        <v>31960</v>
      </c>
      <c r="AQ124" s="317">
        <v>32040</v>
      </c>
      <c r="AR124" s="317">
        <v>32100</v>
      </c>
      <c r="AS124" s="317">
        <v>32120</v>
      </c>
      <c r="AT124" s="317">
        <v>32120</v>
      </c>
      <c r="AU124" s="317">
        <v>32100</v>
      </c>
      <c r="AV124" s="317">
        <v>32050</v>
      </c>
      <c r="AW124" s="317">
        <v>31980</v>
      </c>
      <c r="AX124" s="317">
        <v>31910</v>
      </c>
      <c r="AY124" s="317">
        <v>31820</v>
      </c>
      <c r="AZ124" s="317">
        <v>31750</v>
      </c>
      <c r="BA124" s="317">
        <v>31690</v>
      </c>
      <c r="BB124" s="317">
        <v>31650</v>
      </c>
      <c r="BC124" s="317">
        <v>31650</v>
      </c>
      <c r="BD124" s="317">
        <v>31680</v>
      </c>
      <c r="BE124" s="317">
        <v>31740</v>
      </c>
      <c r="BF124" s="317">
        <v>31820</v>
      </c>
    </row>
    <row r="125" spans="1:58" x14ac:dyDescent="0.2">
      <c r="A125" s="318" t="s">
        <v>29</v>
      </c>
      <c r="B125" s="315"/>
      <c r="C125" s="317">
        <v>27860</v>
      </c>
      <c r="D125" s="317">
        <v>28700</v>
      </c>
      <c r="E125" s="317">
        <v>28780</v>
      </c>
      <c r="F125" s="317">
        <v>29140</v>
      </c>
      <c r="G125" s="317">
        <v>29410</v>
      </c>
      <c r="H125" s="317">
        <v>29210</v>
      </c>
      <c r="I125" s="317">
        <v>30380</v>
      </c>
      <c r="J125" s="317">
        <v>31050</v>
      </c>
      <c r="K125" s="317">
        <v>32600</v>
      </c>
      <c r="L125" s="317">
        <v>33050</v>
      </c>
      <c r="M125" s="317">
        <v>32050</v>
      </c>
      <c r="N125" s="317">
        <v>32000</v>
      </c>
      <c r="O125" s="317">
        <v>31480</v>
      </c>
      <c r="P125" s="317">
        <v>31570</v>
      </c>
      <c r="Q125" s="317">
        <v>30970</v>
      </c>
      <c r="R125" s="317">
        <v>30480</v>
      </c>
      <c r="S125" s="317">
        <v>30280</v>
      </c>
      <c r="T125" s="317">
        <v>29660</v>
      </c>
      <c r="U125" s="317">
        <v>30670</v>
      </c>
      <c r="V125" s="317">
        <v>29930</v>
      </c>
      <c r="W125" s="317">
        <v>28990</v>
      </c>
      <c r="X125" s="317">
        <v>28830</v>
      </c>
      <c r="Y125" s="317">
        <v>29790</v>
      </c>
      <c r="Z125" s="317">
        <v>29520</v>
      </c>
      <c r="AA125" s="317">
        <v>30300</v>
      </c>
      <c r="AB125" s="317">
        <v>31440</v>
      </c>
      <c r="AC125" s="317">
        <v>32320</v>
      </c>
      <c r="AD125" s="317">
        <v>31550</v>
      </c>
      <c r="AE125" s="317">
        <v>32220</v>
      </c>
      <c r="AF125" s="317">
        <v>31500</v>
      </c>
      <c r="AG125" s="317">
        <v>30760</v>
      </c>
      <c r="AH125" s="317">
        <v>30770</v>
      </c>
      <c r="AI125" s="317">
        <v>30850</v>
      </c>
      <c r="AJ125" s="317">
        <v>30990</v>
      </c>
      <c r="AK125" s="317">
        <v>31160</v>
      </c>
      <c r="AL125" s="317">
        <v>31340</v>
      </c>
      <c r="AM125" s="317">
        <v>31530</v>
      </c>
      <c r="AN125" s="317">
        <v>31710</v>
      </c>
      <c r="AO125" s="317">
        <v>31880</v>
      </c>
      <c r="AP125" s="317">
        <v>32020</v>
      </c>
      <c r="AQ125" s="317">
        <v>32130</v>
      </c>
      <c r="AR125" s="317">
        <v>32220</v>
      </c>
      <c r="AS125" s="317">
        <v>32270</v>
      </c>
      <c r="AT125" s="317">
        <v>32300</v>
      </c>
      <c r="AU125" s="317">
        <v>32300</v>
      </c>
      <c r="AV125" s="317">
        <v>32270</v>
      </c>
      <c r="AW125" s="317">
        <v>32220</v>
      </c>
      <c r="AX125" s="317">
        <v>32160</v>
      </c>
      <c r="AY125" s="317">
        <v>32080</v>
      </c>
      <c r="AZ125" s="317">
        <v>32000</v>
      </c>
      <c r="BA125" s="317">
        <v>31920</v>
      </c>
      <c r="BB125" s="317">
        <v>31860</v>
      </c>
      <c r="BC125" s="317">
        <v>31830</v>
      </c>
      <c r="BD125" s="317">
        <v>31820</v>
      </c>
      <c r="BE125" s="317">
        <v>31850</v>
      </c>
      <c r="BF125" s="317">
        <v>31910</v>
      </c>
    </row>
    <row r="126" spans="1:58" x14ac:dyDescent="0.2">
      <c r="A126" s="318" t="s">
        <v>30</v>
      </c>
      <c r="B126" s="315"/>
      <c r="C126" s="317">
        <v>27140</v>
      </c>
      <c r="D126" s="317">
        <v>27880</v>
      </c>
      <c r="E126" s="317">
        <v>28620</v>
      </c>
      <c r="F126" s="317">
        <v>28960</v>
      </c>
      <c r="G126" s="317">
        <v>29380</v>
      </c>
      <c r="H126" s="317">
        <v>29530</v>
      </c>
      <c r="I126" s="317">
        <v>29250</v>
      </c>
      <c r="J126" s="317">
        <v>30490</v>
      </c>
      <c r="K126" s="317">
        <v>31310</v>
      </c>
      <c r="L126" s="317">
        <v>32960</v>
      </c>
      <c r="M126" s="317">
        <v>33410</v>
      </c>
      <c r="N126" s="317">
        <v>32410</v>
      </c>
      <c r="O126" s="317">
        <v>32360</v>
      </c>
      <c r="P126" s="317">
        <v>31840</v>
      </c>
      <c r="Q126" s="317">
        <v>31930</v>
      </c>
      <c r="R126" s="317">
        <v>31330</v>
      </c>
      <c r="S126" s="317">
        <v>30840</v>
      </c>
      <c r="T126" s="317">
        <v>30650</v>
      </c>
      <c r="U126" s="317">
        <v>30020</v>
      </c>
      <c r="V126" s="317">
        <v>31030</v>
      </c>
      <c r="W126" s="317">
        <v>30290</v>
      </c>
      <c r="X126" s="317">
        <v>29350</v>
      </c>
      <c r="Y126" s="317">
        <v>29200</v>
      </c>
      <c r="Z126" s="317">
        <v>30150</v>
      </c>
      <c r="AA126" s="317">
        <v>29890</v>
      </c>
      <c r="AB126" s="317">
        <v>30660</v>
      </c>
      <c r="AC126" s="317">
        <v>31810</v>
      </c>
      <c r="AD126" s="317">
        <v>32680</v>
      </c>
      <c r="AE126" s="317">
        <v>31920</v>
      </c>
      <c r="AF126" s="317">
        <v>32580</v>
      </c>
      <c r="AG126" s="317">
        <v>31870</v>
      </c>
      <c r="AH126" s="317">
        <v>31120</v>
      </c>
      <c r="AI126" s="317">
        <v>31140</v>
      </c>
      <c r="AJ126" s="317">
        <v>31220</v>
      </c>
      <c r="AK126" s="317">
        <v>31350</v>
      </c>
      <c r="AL126" s="317">
        <v>31520</v>
      </c>
      <c r="AM126" s="317">
        <v>31710</v>
      </c>
      <c r="AN126" s="317">
        <v>31900</v>
      </c>
      <c r="AO126" s="317">
        <v>32080</v>
      </c>
      <c r="AP126" s="317">
        <v>32240</v>
      </c>
      <c r="AQ126" s="317">
        <v>32380</v>
      </c>
      <c r="AR126" s="317">
        <v>32500</v>
      </c>
      <c r="AS126" s="317">
        <v>32580</v>
      </c>
      <c r="AT126" s="317">
        <v>32640</v>
      </c>
      <c r="AU126" s="317">
        <v>32660</v>
      </c>
      <c r="AV126" s="317">
        <v>32660</v>
      </c>
      <c r="AW126" s="317">
        <v>32640</v>
      </c>
      <c r="AX126" s="317">
        <v>32590</v>
      </c>
      <c r="AY126" s="317">
        <v>32520</v>
      </c>
      <c r="AZ126" s="317">
        <v>32450</v>
      </c>
      <c r="BA126" s="317">
        <v>32360</v>
      </c>
      <c r="BB126" s="317">
        <v>32290</v>
      </c>
      <c r="BC126" s="317">
        <v>32230</v>
      </c>
      <c r="BD126" s="317">
        <v>32190</v>
      </c>
      <c r="BE126" s="317">
        <v>32190</v>
      </c>
      <c r="BF126" s="317">
        <v>32220</v>
      </c>
    </row>
    <row r="127" spans="1:58" x14ac:dyDescent="0.2">
      <c r="A127" s="318" t="s">
        <v>31</v>
      </c>
      <c r="B127" s="315"/>
      <c r="C127" s="317">
        <v>26810</v>
      </c>
      <c r="D127" s="317">
        <v>27310</v>
      </c>
      <c r="E127" s="317">
        <v>27900</v>
      </c>
      <c r="F127" s="317">
        <v>28870</v>
      </c>
      <c r="G127" s="317">
        <v>29370</v>
      </c>
      <c r="H127" s="317">
        <v>29460</v>
      </c>
      <c r="I127" s="317">
        <v>29740</v>
      </c>
      <c r="J127" s="317">
        <v>29520</v>
      </c>
      <c r="K127" s="317">
        <v>30900</v>
      </c>
      <c r="L127" s="317">
        <v>31820</v>
      </c>
      <c r="M127" s="317">
        <v>33480</v>
      </c>
      <c r="N127" s="317">
        <v>33930</v>
      </c>
      <c r="O127" s="317">
        <v>32920</v>
      </c>
      <c r="P127" s="317">
        <v>32880</v>
      </c>
      <c r="Q127" s="317">
        <v>32360</v>
      </c>
      <c r="R127" s="317">
        <v>32440</v>
      </c>
      <c r="S127" s="317">
        <v>31850</v>
      </c>
      <c r="T127" s="317">
        <v>31350</v>
      </c>
      <c r="U127" s="317">
        <v>31160</v>
      </c>
      <c r="V127" s="317">
        <v>30540</v>
      </c>
      <c r="W127" s="317">
        <v>31550</v>
      </c>
      <c r="X127" s="317">
        <v>30810</v>
      </c>
      <c r="Y127" s="317">
        <v>29870</v>
      </c>
      <c r="Z127" s="317">
        <v>29720</v>
      </c>
      <c r="AA127" s="317">
        <v>30670</v>
      </c>
      <c r="AB127" s="317">
        <v>30410</v>
      </c>
      <c r="AC127" s="317">
        <v>31180</v>
      </c>
      <c r="AD127" s="317">
        <v>32330</v>
      </c>
      <c r="AE127" s="317">
        <v>33200</v>
      </c>
      <c r="AF127" s="317">
        <v>32430</v>
      </c>
      <c r="AG127" s="317">
        <v>33100</v>
      </c>
      <c r="AH127" s="317">
        <v>32390</v>
      </c>
      <c r="AI127" s="317">
        <v>31640</v>
      </c>
      <c r="AJ127" s="317">
        <v>31660</v>
      </c>
      <c r="AK127" s="317">
        <v>31740</v>
      </c>
      <c r="AL127" s="317">
        <v>31870</v>
      </c>
      <c r="AM127" s="317">
        <v>32040</v>
      </c>
      <c r="AN127" s="317">
        <v>32230</v>
      </c>
      <c r="AO127" s="317">
        <v>32410</v>
      </c>
      <c r="AP127" s="317">
        <v>32600</v>
      </c>
      <c r="AQ127" s="317">
        <v>32760</v>
      </c>
      <c r="AR127" s="317">
        <v>32900</v>
      </c>
      <c r="AS127" s="317">
        <v>33020</v>
      </c>
      <c r="AT127" s="317">
        <v>33100</v>
      </c>
      <c r="AU127" s="317">
        <v>33160</v>
      </c>
      <c r="AV127" s="317">
        <v>33180</v>
      </c>
      <c r="AW127" s="317">
        <v>33180</v>
      </c>
      <c r="AX127" s="317">
        <v>33160</v>
      </c>
      <c r="AY127" s="317">
        <v>33110</v>
      </c>
      <c r="AZ127" s="317">
        <v>33040</v>
      </c>
      <c r="BA127" s="317">
        <v>32970</v>
      </c>
      <c r="BB127" s="317">
        <v>32880</v>
      </c>
      <c r="BC127" s="317">
        <v>32810</v>
      </c>
      <c r="BD127" s="317">
        <v>32750</v>
      </c>
      <c r="BE127" s="317">
        <v>32710</v>
      </c>
      <c r="BF127" s="317">
        <v>32710</v>
      </c>
    </row>
    <row r="128" spans="1:58" x14ac:dyDescent="0.2">
      <c r="A128" s="318" t="s">
        <v>32</v>
      </c>
      <c r="B128" s="315"/>
      <c r="C128" s="317">
        <v>26790</v>
      </c>
      <c r="D128" s="317">
        <v>27070</v>
      </c>
      <c r="E128" s="317">
        <v>27530</v>
      </c>
      <c r="F128" s="317">
        <v>28320</v>
      </c>
      <c r="G128" s="317">
        <v>29290</v>
      </c>
      <c r="H128" s="317">
        <v>29500</v>
      </c>
      <c r="I128" s="317">
        <v>29710</v>
      </c>
      <c r="J128" s="317">
        <v>30050</v>
      </c>
      <c r="K128" s="317">
        <v>29960</v>
      </c>
      <c r="L128" s="317">
        <v>31440</v>
      </c>
      <c r="M128" s="317">
        <v>32360</v>
      </c>
      <c r="N128" s="317">
        <v>34020</v>
      </c>
      <c r="O128" s="317">
        <v>34470</v>
      </c>
      <c r="P128" s="317">
        <v>33460</v>
      </c>
      <c r="Q128" s="317">
        <v>33420</v>
      </c>
      <c r="R128" s="317">
        <v>32900</v>
      </c>
      <c r="S128" s="317">
        <v>32980</v>
      </c>
      <c r="T128" s="317">
        <v>32380</v>
      </c>
      <c r="U128" s="317">
        <v>31890</v>
      </c>
      <c r="V128" s="317">
        <v>31700</v>
      </c>
      <c r="W128" s="317">
        <v>31080</v>
      </c>
      <c r="X128" s="317">
        <v>32090</v>
      </c>
      <c r="Y128" s="317">
        <v>31350</v>
      </c>
      <c r="Z128" s="317">
        <v>30410</v>
      </c>
      <c r="AA128" s="317">
        <v>30260</v>
      </c>
      <c r="AB128" s="317">
        <v>31210</v>
      </c>
      <c r="AC128" s="317">
        <v>30950</v>
      </c>
      <c r="AD128" s="317">
        <v>31720</v>
      </c>
      <c r="AE128" s="317">
        <v>32870</v>
      </c>
      <c r="AF128" s="317">
        <v>33740</v>
      </c>
      <c r="AG128" s="317">
        <v>32980</v>
      </c>
      <c r="AH128" s="317">
        <v>33640</v>
      </c>
      <c r="AI128" s="317">
        <v>32930</v>
      </c>
      <c r="AJ128" s="317">
        <v>32180</v>
      </c>
      <c r="AK128" s="317">
        <v>32200</v>
      </c>
      <c r="AL128" s="317">
        <v>32280</v>
      </c>
      <c r="AM128" s="317">
        <v>32410</v>
      </c>
      <c r="AN128" s="317">
        <v>32580</v>
      </c>
      <c r="AO128" s="317">
        <v>32770</v>
      </c>
      <c r="AP128" s="317">
        <v>32960</v>
      </c>
      <c r="AQ128" s="317">
        <v>33140</v>
      </c>
      <c r="AR128" s="317">
        <v>33300</v>
      </c>
      <c r="AS128" s="317">
        <v>33440</v>
      </c>
      <c r="AT128" s="317">
        <v>33560</v>
      </c>
      <c r="AU128" s="317">
        <v>33640</v>
      </c>
      <c r="AV128" s="317">
        <v>33700</v>
      </c>
      <c r="AW128" s="317">
        <v>33730</v>
      </c>
      <c r="AX128" s="317">
        <v>33730</v>
      </c>
      <c r="AY128" s="317">
        <v>33700</v>
      </c>
      <c r="AZ128" s="317">
        <v>33650</v>
      </c>
      <c r="BA128" s="317">
        <v>33590</v>
      </c>
      <c r="BB128" s="317">
        <v>33510</v>
      </c>
      <c r="BC128" s="317">
        <v>33430</v>
      </c>
      <c r="BD128" s="317">
        <v>33350</v>
      </c>
      <c r="BE128" s="317">
        <v>33290</v>
      </c>
      <c r="BF128" s="317">
        <v>33260</v>
      </c>
    </row>
    <row r="129" spans="1:58" x14ac:dyDescent="0.2">
      <c r="A129" s="318" t="s">
        <v>33</v>
      </c>
      <c r="B129" s="315"/>
      <c r="C129" s="317">
        <v>26050</v>
      </c>
      <c r="D129" s="317">
        <v>27170</v>
      </c>
      <c r="E129" s="317">
        <v>27400</v>
      </c>
      <c r="F129" s="317">
        <v>27980</v>
      </c>
      <c r="G129" s="317">
        <v>28760</v>
      </c>
      <c r="H129" s="317">
        <v>29610</v>
      </c>
      <c r="I129" s="317">
        <v>29790</v>
      </c>
      <c r="J129" s="317">
        <v>30050</v>
      </c>
      <c r="K129" s="317">
        <v>30500</v>
      </c>
      <c r="L129" s="317">
        <v>30510</v>
      </c>
      <c r="M129" s="317">
        <v>31980</v>
      </c>
      <c r="N129" s="317">
        <v>32900</v>
      </c>
      <c r="O129" s="317">
        <v>34560</v>
      </c>
      <c r="P129" s="317">
        <v>35010</v>
      </c>
      <c r="Q129" s="317">
        <v>34000</v>
      </c>
      <c r="R129" s="317">
        <v>33960</v>
      </c>
      <c r="S129" s="317">
        <v>33440</v>
      </c>
      <c r="T129" s="317">
        <v>33530</v>
      </c>
      <c r="U129" s="317">
        <v>32930</v>
      </c>
      <c r="V129" s="317">
        <v>32440</v>
      </c>
      <c r="W129" s="317">
        <v>32250</v>
      </c>
      <c r="X129" s="317">
        <v>31620</v>
      </c>
      <c r="Y129" s="317">
        <v>32630</v>
      </c>
      <c r="Z129" s="317">
        <v>31890</v>
      </c>
      <c r="AA129" s="317">
        <v>30960</v>
      </c>
      <c r="AB129" s="317">
        <v>30800</v>
      </c>
      <c r="AC129" s="317">
        <v>31760</v>
      </c>
      <c r="AD129" s="317">
        <v>31490</v>
      </c>
      <c r="AE129" s="317">
        <v>32270</v>
      </c>
      <c r="AF129" s="317">
        <v>33410</v>
      </c>
      <c r="AG129" s="317">
        <v>34280</v>
      </c>
      <c r="AH129" s="317">
        <v>33520</v>
      </c>
      <c r="AI129" s="317">
        <v>34190</v>
      </c>
      <c r="AJ129" s="317">
        <v>33470</v>
      </c>
      <c r="AK129" s="317">
        <v>32730</v>
      </c>
      <c r="AL129" s="317">
        <v>32740</v>
      </c>
      <c r="AM129" s="317">
        <v>32820</v>
      </c>
      <c r="AN129" s="317">
        <v>32960</v>
      </c>
      <c r="AO129" s="317">
        <v>33130</v>
      </c>
      <c r="AP129" s="317">
        <v>33320</v>
      </c>
      <c r="AQ129" s="317">
        <v>33500</v>
      </c>
      <c r="AR129" s="317">
        <v>33690</v>
      </c>
      <c r="AS129" s="317">
        <v>33850</v>
      </c>
      <c r="AT129" s="317">
        <v>33990</v>
      </c>
      <c r="AU129" s="317">
        <v>34110</v>
      </c>
      <c r="AV129" s="317">
        <v>34190</v>
      </c>
      <c r="AW129" s="317">
        <v>34250</v>
      </c>
      <c r="AX129" s="317">
        <v>34270</v>
      </c>
      <c r="AY129" s="317">
        <v>34270</v>
      </c>
      <c r="AZ129" s="317">
        <v>34250</v>
      </c>
      <c r="BA129" s="317">
        <v>34200</v>
      </c>
      <c r="BB129" s="317">
        <v>34140</v>
      </c>
      <c r="BC129" s="317">
        <v>34060</v>
      </c>
      <c r="BD129" s="317">
        <v>33980</v>
      </c>
      <c r="BE129" s="317">
        <v>33900</v>
      </c>
      <c r="BF129" s="317">
        <v>33840</v>
      </c>
    </row>
    <row r="130" spans="1:58" x14ac:dyDescent="0.2">
      <c r="A130" s="318" t="s">
        <v>34</v>
      </c>
      <c r="B130" s="315"/>
      <c r="C130" s="317">
        <v>26810</v>
      </c>
      <c r="D130" s="317">
        <v>26500</v>
      </c>
      <c r="E130" s="317">
        <v>27540</v>
      </c>
      <c r="F130" s="317">
        <v>27880</v>
      </c>
      <c r="G130" s="317">
        <v>28440</v>
      </c>
      <c r="H130" s="317">
        <v>29140</v>
      </c>
      <c r="I130" s="317">
        <v>29920</v>
      </c>
      <c r="J130" s="317">
        <v>30140</v>
      </c>
      <c r="K130" s="317">
        <v>30510</v>
      </c>
      <c r="L130" s="317">
        <v>31040</v>
      </c>
      <c r="M130" s="317">
        <v>31050</v>
      </c>
      <c r="N130" s="317">
        <v>32520</v>
      </c>
      <c r="O130" s="317">
        <v>33440</v>
      </c>
      <c r="P130" s="317">
        <v>35100</v>
      </c>
      <c r="Q130" s="317">
        <v>35550</v>
      </c>
      <c r="R130" s="317">
        <v>34540</v>
      </c>
      <c r="S130" s="317">
        <v>34500</v>
      </c>
      <c r="T130" s="317">
        <v>33980</v>
      </c>
      <c r="U130" s="317">
        <v>34070</v>
      </c>
      <c r="V130" s="317">
        <v>33470</v>
      </c>
      <c r="W130" s="317">
        <v>32980</v>
      </c>
      <c r="X130" s="317">
        <v>32790</v>
      </c>
      <c r="Y130" s="317">
        <v>32170</v>
      </c>
      <c r="Z130" s="317">
        <v>33180</v>
      </c>
      <c r="AA130" s="317">
        <v>32440</v>
      </c>
      <c r="AB130" s="317">
        <v>31500</v>
      </c>
      <c r="AC130" s="317">
        <v>31350</v>
      </c>
      <c r="AD130" s="317">
        <v>32300</v>
      </c>
      <c r="AE130" s="317">
        <v>32040</v>
      </c>
      <c r="AF130" s="317">
        <v>32810</v>
      </c>
      <c r="AG130" s="317">
        <v>33960</v>
      </c>
      <c r="AH130" s="317">
        <v>34830</v>
      </c>
      <c r="AI130" s="317">
        <v>34070</v>
      </c>
      <c r="AJ130" s="317">
        <v>34730</v>
      </c>
      <c r="AK130" s="317">
        <v>34020</v>
      </c>
      <c r="AL130" s="317">
        <v>33270</v>
      </c>
      <c r="AM130" s="317">
        <v>33290</v>
      </c>
      <c r="AN130" s="317">
        <v>33370</v>
      </c>
      <c r="AO130" s="317">
        <v>33500</v>
      </c>
      <c r="AP130" s="317">
        <v>33680</v>
      </c>
      <c r="AQ130" s="317">
        <v>33860</v>
      </c>
      <c r="AR130" s="317">
        <v>34050</v>
      </c>
      <c r="AS130" s="317">
        <v>34230</v>
      </c>
      <c r="AT130" s="317">
        <v>34400</v>
      </c>
      <c r="AU130" s="317">
        <v>34540</v>
      </c>
      <c r="AV130" s="317">
        <v>34650</v>
      </c>
      <c r="AW130" s="317">
        <v>34740</v>
      </c>
      <c r="AX130" s="317">
        <v>34790</v>
      </c>
      <c r="AY130" s="317">
        <v>34820</v>
      </c>
      <c r="AZ130" s="317">
        <v>34820</v>
      </c>
      <c r="BA130" s="317">
        <v>34800</v>
      </c>
      <c r="BB130" s="317">
        <v>34750</v>
      </c>
      <c r="BC130" s="317">
        <v>34680</v>
      </c>
      <c r="BD130" s="317">
        <v>34600</v>
      </c>
      <c r="BE130" s="317">
        <v>34520</v>
      </c>
      <c r="BF130" s="317">
        <v>34450</v>
      </c>
    </row>
    <row r="131" spans="1:58" x14ac:dyDescent="0.2">
      <c r="A131" s="318" t="s">
        <v>35</v>
      </c>
      <c r="B131" s="315"/>
      <c r="C131" s="317">
        <v>27080</v>
      </c>
      <c r="D131" s="317">
        <v>27260</v>
      </c>
      <c r="E131" s="317">
        <v>26910</v>
      </c>
      <c r="F131" s="317">
        <v>28030</v>
      </c>
      <c r="G131" s="317">
        <v>28400</v>
      </c>
      <c r="H131" s="317">
        <v>28790</v>
      </c>
      <c r="I131" s="317">
        <v>29470</v>
      </c>
      <c r="J131" s="317">
        <v>30290</v>
      </c>
      <c r="K131" s="317">
        <v>30610</v>
      </c>
      <c r="L131" s="317">
        <v>31040</v>
      </c>
      <c r="M131" s="317">
        <v>31570</v>
      </c>
      <c r="N131" s="317">
        <v>31580</v>
      </c>
      <c r="O131" s="317">
        <v>33050</v>
      </c>
      <c r="P131" s="317">
        <v>33970</v>
      </c>
      <c r="Q131" s="317">
        <v>35630</v>
      </c>
      <c r="R131" s="317">
        <v>36080</v>
      </c>
      <c r="S131" s="317">
        <v>35070</v>
      </c>
      <c r="T131" s="317">
        <v>35030</v>
      </c>
      <c r="U131" s="317">
        <v>34510</v>
      </c>
      <c r="V131" s="317">
        <v>34600</v>
      </c>
      <c r="W131" s="317">
        <v>34000</v>
      </c>
      <c r="X131" s="317">
        <v>33510</v>
      </c>
      <c r="Y131" s="317">
        <v>33320</v>
      </c>
      <c r="Z131" s="317">
        <v>32700</v>
      </c>
      <c r="AA131" s="317">
        <v>33710</v>
      </c>
      <c r="AB131" s="317">
        <v>32970</v>
      </c>
      <c r="AC131" s="317">
        <v>32030</v>
      </c>
      <c r="AD131" s="317">
        <v>31880</v>
      </c>
      <c r="AE131" s="317">
        <v>32830</v>
      </c>
      <c r="AF131" s="317">
        <v>32570</v>
      </c>
      <c r="AG131" s="317">
        <v>33340</v>
      </c>
      <c r="AH131" s="317">
        <v>34490</v>
      </c>
      <c r="AI131" s="317">
        <v>35360</v>
      </c>
      <c r="AJ131" s="317">
        <v>34600</v>
      </c>
      <c r="AK131" s="317">
        <v>35260</v>
      </c>
      <c r="AL131" s="317">
        <v>34550</v>
      </c>
      <c r="AM131" s="317">
        <v>33810</v>
      </c>
      <c r="AN131" s="317">
        <v>33820</v>
      </c>
      <c r="AO131" s="317">
        <v>33900</v>
      </c>
      <c r="AP131" s="317">
        <v>34040</v>
      </c>
      <c r="AQ131" s="317">
        <v>34210</v>
      </c>
      <c r="AR131" s="317">
        <v>34400</v>
      </c>
      <c r="AS131" s="317">
        <v>34580</v>
      </c>
      <c r="AT131" s="317">
        <v>34770</v>
      </c>
      <c r="AU131" s="317">
        <v>34930</v>
      </c>
      <c r="AV131" s="317">
        <v>35070</v>
      </c>
      <c r="AW131" s="317">
        <v>35190</v>
      </c>
      <c r="AX131" s="317">
        <v>35270</v>
      </c>
      <c r="AY131" s="317">
        <v>35330</v>
      </c>
      <c r="AZ131" s="317">
        <v>35350</v>
      </c>
      <c r="BA131" s="317">
        <v>35360</v>
      </c>
      <c r="BB131" s="317">
        <v>35330</v>
      </c>
      <c r="BC131" s="317">
        <v>35280</v>
      </c>
      <c r="BD131" s="317">
        <v>35220</v>
      </c>
      <c r="BE131" s="317">
        <v>35140</v>
      </c>
      <c r="BF131" s="317">
        <v>35060</v>
      </c>
    </row>
    <row r="132" spans="1:58" x14ac:dyDescent="0.2">
      <c r="A132" s="318" t="s">
        <v>36</v>
      </c>
      <c r="B132" s="315"/>
      <c r="C132" s="317">
        <v>28670</v>
      </c>
      <c r="D132" s="317">
        <v>27490</v>
      </c>
      <c r="E132" s="317">
        <v>27530</v>
      </c>
      <c r="F132" s="317">
        <v>27310</v>
      </c>
      <c r="G132" s="317">
        <v>28380</v>
      </c>
      <c r="H132" s="317">
        <v>28640</v>
      </c>
      <c r="I132" s="317">
        <v>29030</v>
      </c>
      <c r="J132" s="317">
        <v>29750</v>
      </c>
      <c r="K132" s="317">
        <v>30650</v>
      </c>
      <c r="L132" s="317">
        <v>31030</v>
      </c>
      <c r="M132" s="317">
        <v>31460</v>
      </c>
      <c r="N132" s="317">
        <v>31990</v>
      </c>
      <c r="O132" s="317">
        <v>32000</v>
      </c>
      <c r="P132" s="317">
        <v>33470</v>
      </c>
      <c r="Q132" s="317">
        <v>34390</v>
      </c>
      <c r="R132" s="317">
        <v>36050</v>
      </c>
      <c r="S132" s="317">
        <v>36500</v>
      </c>
      <c r="T132" s="317">
        <v>35500</v>
      </c>
      <c r="U132" s="317">
        <v>35450</v>
      </c>
      <c r="V132" s="317">
        <v>34930</v>
      </c>
      <c r="W132" s="317">
        <v>35020</v>
      </c>
      <c r="X132" s="317">
        <v>34420</v>
      </c>
      <c r="Y132" s="317">
        <v>33930</v>
      </c>
      <c r="Z132" s="317">
        <v>33740</v>
      </c>
      <c r="AA132" s="317">
        <v>33120</v>
      </c>
      <c r="AB132" s="317">
        <v>34130</v>
      </c>
      <c r="AC132" s="317">
        <v>33390</v>
      </c>
      <c r="AD132" s="317">
        <v>32460</v>
      </c>
      <c r="AE132" s="317">
        <v>32300</v>
      </c>
      <c r="AF132" s="317">
        <v>33260</v>
      </c>
      <c r="AG132" s="317">
        <v>32990</v>
      </c>
      <c r="AH132" s="317">
        <v>33770</v>
      </c>
      <c r="AI132" s="317">
        <v>34910</v>
      </c>
      <c r="AJ132" s="317">
        <v>35780</v>
      </c>
      <c r="AK132" s="317">
        <v>35020</v>
      </c>
      <c r="AL132" s="317">
        <v>35690</v>
      </c>
      <c r="AM132" s="317">
        <v>34980</v>
      </c>
      <c r="AN132" s="317">
        <v>34230</v>
      </c>
      <c r="AO132" s="317">
        <v>34250</v>
      </c>
      <c r="AP132" s="317">
        <v>34330</v>
      </c>
      <c r="AQ132" s="317">
        <v>34460</v>
      </c>
      <c r="AR132" s="317">
        <v>34640</v>
      </c>
      <c r="AS132" s="317">
        <v>34820</v>
      </c>
      <c r="AT132" s="317">
        <v>35010</v>
      </c>
      <c r="AU132" s="317">
        <v>35190</v>
      </c>
      <c r="AV132" s="317">
        <v>35360</v>
      </c>
      <c r="AW132" s="317">
        <v>35500</v>
      </c>
      <c r="AX132" s="317">
        <v>35610</v>
      </c>
      <c r="AY132" s="317">
        <v>35700</v>
      </c>
      <c r="AZ132" s="317">
        <v>35750</v>
      </c>
      <c r="BA132" s="317">
        <v>35780</v>
      </c>
      <c r="BB132" s="317">
        <v>35780</v>
      </c>
      <c r="BC132" s="317">
        <v>35760</v>
      </c>
      <c r="BD132" s="317">
        <v>35710</v>
      </c>
      <c r="BE132" s="317">
        <v>35650</v>
      </c>
      <c r="BF132" s="317">
        <v>35570</v>
      </c>
    </row>
    <row r="133" spans="1:58" x14ac:dyDescent="0.2">
      <c r="A133" s="318" t="s">
        <v>37</v>
      </c>
      <c r="B133" s="315"/>
      <c r="C133" s="317">
        <v>29960</v>
      </c>
      <c r="D133" s="317">
        <v>28910</v>
      </c>
      <c r="E133" s="317">
        <v>27640</v>
      </c>
      <c r="F133" s="317">
        <v>27730</v>
      </c>
      <c r="G133" s="317">
        <v>27480</v>
      </c>
      <c r="H133" s="317">
        <v>28470</v>
      </c>
      <c r="I133" s="317">
        <v>28730</v>
      </c>
      <c r="J133" s="317">
        <v>29140</v>
      </c>
      <c r="K133" s="317">
        <v>29930</v>
      </c>
      <c r="L133" s="317">
        <v>30890</v>
      </c>
      <c r="M133" s="317">
        <v>31260</v>
      </c>
      <c r="N133" s="317">
        <v>31690</v>
      </c>
      <c r="O133" s="317">
        <v>32230</v>
      </c>
      <c r="P133" s="317">
        <v>32230</v>
      </c>
      <c r="Q133" s="317">
        <v>33710</v>
      </c>
      <c r="R133" s="317">
        <v>34630</v>
      </c>
      <c r="S133" s="317">
        <v>36280</v>
      </c>
      <c r="T133" s="317">
        <v>36730</v>
      </c>
      <c r="U133" s="317">
        <v>35730</v>
      </c>
      <c r="V133" s="317">
        <v>35680</v>
      </c>
      <c r="W133" s="317">
        <v>35170</v>
      </c>
      <c r="X133" s="317">
        <v>35250</v>
      </c>
      <c r="Y133" s="317">
        <v>34660</v>
      </c>
      <c r="Z133" s="317">
        <v>34170</v>
      </c>
      <c r="AA133" s="317">
        <v>33980</v>
      </c>
      <c r="AB133" s="317">
        <v>33360</v>
      </c>
      <c r="AC133" s="317">
        <v>34360</v>
      </c>
      <c r="AD133" s="317">
        <v>33630</v>
      </c>
      <c r="AE133" s="317">
        <v>32690</v>
      </c>
      <c r="AF133" s="317">
        <v>32540</v>
      </c>
      <c r="AG133" s="317">
        <v>33490</v>
      </c>
      <c r="AH133" s="317">
        <v>33230</v>
      </c>
      <c r="AI133" s="317">
        <v>34000</v>
      </c>
      <c r="AJ133" s="317">
        <v>35150</v>
      </c>
      <c r="AK133" s="317">
        <v>36020</v>
      </c>
      <c r="AL133" s="317">
        <v>35260</v>
      </c>
      <c r="AM133" s="317">
        <v>35920</v>
      </c>
      <c r="AN133" s="317">
        <v>35210</v>
      </c>
      <c r="AO133" s="317">
        <v>34470</v>
      </c>
      <c r="AP133" s="317">
        <v>34480</v>
      </c>
      <c r="AQ133" s="317">
        <v>34560</v>
      </c>
      <c r="AR133" s="317">
        <v>34700</v>
      </c>
      <c r="AS133" s="317">
        <v>34870</v>
      </c>
      <c r="AT133" s="317">
        <v>35060</v>
      </c>
      <c r="AU133" s="317">
        <v>35250</v>
      </c>
      <c r="AV133" s="317">
        <v>35430</v>
      </c>
      <c r="AW133" s="317">
        <v>35590</v>
      </c>
      <c r="AX133" s="317">
        <v>35730</v>
      </c>
      <c r="AY133" s="317">
        <v>35850</v>
      </c>
      <c r="AZ133" s="317">
        <v>35940</v>
      </c>
      <c r="BA133" s="317">
        <v>35990</v>
      </c>
      <c r="BB133" s="317">
        <v>36020</v>
      </c>
      <c r="BC133" s="317">
        <v>36020</v>
      </c>
      <c r="BD133" s="317">
        <v>36000</v>
      </c>
      <c r="BE133" s="317">
        <v>35950</v>
      </c>
      <c r="BF133" s="317">
        <v>35880</v>
      </c>
    </row>
    <row r="134" spans="1:58" x14ac:dyDescent="0.2">
      <c r="A134" s="318" t="s">
        <v>38</v>
      </c>
      <c r="B134" s="315"/>
      <c r="C134" s="317">
        <v>31240</v>
      </c>
      <c r="D134" s="317">
        <v>30190</v>
      </c>
      <c r="E134" s="317">
        <v>29020</v>
      </c>
      <c r="F134" s="317">
        <v>27740</v>
      </c>
      <c r="G134" s="317">
        <v>27850</v>
      </c>
      <c r="H134" s="317">
        <v>27540</v>
      </c>
      <c r="I134" s="317">
        <v>28460</v>
      </c>
      <c r="J134" s="317">
        <v>28750</v>
      </c>
      <c r="K134" s="317">
        <v>29220</v>
      </c>
      <c r="L134" s="317">
        <v>30060</v>
      </c>
      <c r="M134" s="317">
        <v>31010</v>
      </c>
      <c r="N134" s="317">
        <v>31380</v>
      </c>
      <c r="O134" s="317">
        <v>31820</v>
      </c>
      <c r="P134" s="317">
        <v>32350</v>
      </c>
      <c r="Q134" s="317">
        <v>32360</v>
      </c>
      <c r="R134" s="317">
        <v>33830</v>
      </c>
      <c r="S134" s="317">
        <v>34750</v>
      </c>
      <c r="T134" s="317">
        <v>36400</v>
      </c>
      <c r="U134" s="317">
        <v>36850</v>
      </c>
      <c r="V134" s="317">
        <v>35850</v>
      </c>
      <c r="W134" s="317">
        <v>35810</v>
      </c>
      <c r="X134" s="317">
        <v>35290</v>
      </c>
      <c r="Y134" s="317">
        <v>35380</v>
      </c>
      <c r="Z134" s="317">
        <v>34780</v>
      </c>
      <c r="AA134" s="317">
        <v>34290</v>
      </c>
      <c r="AB134" s="317">
        <v>34100</v>
      </c>
      <c r="AC134" s="317">
        <v>33480</v>
      </c>
      <c r="AD134" s="317">
        <v>34490</v>
      </c>
      <c r="AE134" s="317">
        <v>33750</v>
      </c>
      <c r="AF134" s="317">
        <v>32820</v>
      </c>
      <c r="AG134" s="317">
        <v>32670</v>
      </c>
      <c r="AH134" s="317">
        <v>33620</v>
      </c>
      <c r="AI134" s="317">
        <v>33360</v>
      </c>
      <c r="AJ134" s="317">
        <v>34130</v>
      </c>
      <c r="AK134" s="317">
        <v>35270</v>
      </c>
      <c r="AL134" s="317">
        <v>36140</v>
      </c>
      <c r="AM134" s="317">
        <v>35380</v>
      </c>
      <c r="AN134" s="317">
        <v>36050</v>
      </c>
      <c r="AO134" s="317">
        <v>35340</v>
      </c>
      <c r="AP134" s="317">
        <v>34600</v>
      </c>
      <c r="AQ134" s="317">
        <v>34610</v>
      </c>
      <c r="AR134" s="317">
        <v>34690</v>
      </c>
      <c r="AS134" s="317">
        <v>34830</v>
      </c>
      <c r="AT134" s="317">
        <v>35000</v>
      </c>
      <c r="AU134" s="317">
        <v>35190</v>
      </c>
      <c r="AV134" s="317">
        <v>35370</v>
      </c>
      <c r="AW134" s="317">
        <v>35560</v>
      </c>
      <c r="AX134" s="317">
        <v>35720</v>
      </c>
      <c r="AY134" s="317">
        <v>35860</v>
      </c>
      <c r="AZ134" s="317">
        <v>35980</v>
      </c>
      <c r="BA134" s="317">
        <v>36060</v>
      </c>
      <c r="BB134" s="317">
        <v>36120</v>
      </c>
      <c r="BC134" s="317">
        <v>36150</v>
      </c>
      <c r="BD134" s="317">
        <v>36150</v>
      </c>
      <c r="BE134" s="317">
        <v>36130</v>
      </c>
      <c r="BF134" s="317">
        <v>36080</v>
      </c>
    </row>
    <row r="135" spans="1:58" x14ac:dyDescent="0.2">
      <c r="A135" s="318" t="s">
        <v>39</v>
      </c>
      <c r="B135" s="315"/>
      <c r="C135" s="317">
        <v>32740</v>
      </c>
      <c r="D135" s="317">
        <v>31420</v>
      </c>
      <c r="E135" s="317">
        <v>30320</v>
      </c>
      <c r="F135" s="317">
        <v>29120</v>
      </c>
      <c r="G135" s="317">
        <v>27890</v>
      </c>
      <c r="H135" s="317">
        <v>27860</v>
      </c>
      <c r="I135" s="317">
        <v>27510</v>
      </c>
      <c r="J135" s="317">
        <v>28450</v>
      </c>
      <c r="K135" s="317">
        <v>28790</v>
      </c>
      <c r="L135" s="317">
        <v>29310</v>
      </c>
      <c r="M135" s="317">
        <v>30140</v>
      </c>
      <c r="N135" s="317">
        <v>31100</v>
      </c>
      <c r="O135" s="317">
        <v>31470</v>
      </c>
      <c r="P135" s="317">
        <v>31900</v>
      </c>
      <c r="Q135" s="317">
        <v>32440</v>
      </c>
      <c r="R135" s="317">
        <v>32440</v>
      </c>
      <c r="S135" s="317">
        <v>33920</v>
      </c>
      <c r="T135" s="317">
        <v>34840</v>
      </c>
      <c r="U135" s="317">
        <v>36490</v>
      </c>
      <c r="V135" s="317">
        <v>36940</v>
      </c>
      <c r="W135" s="317">
        <v>35940</v>
      </c>
      <c r="X135" s="317">
        <v>35890</v>
      </c>
      <c r="Y135" s="317">
        <v>35380</v>
      </c>
      <c r="Z135" s="317">
        <v>35460</v>
      </c>
      <c r="AA135" s="317">
        <v>34870</v>
      </c>
      <c r="AB135" s="317">
        <v>34380</v>
      </c>
      <c r="AC135" s="317">
        <v>34190</v>
      </c>
      <c r="AD135" s="317">
        <v>33570</v>
      </c>
      <c r="AE135" s="317">
        <v>34580</v>
      </c>
      <c r="AF135" s="317">
        <v>33840</v>
      </c>
      <c r="AG135" s="317">
        <v>32910</v>
      </c>
      <c r="AH135" s="317">
        <v>32760</v>
      </c>
      <c r="AI135" s="317">
        <v>33710</v>
      </c>
      <c r="AJ135" s="317">
        <v>33450</v>
      </c>
      <c r="AK135" s="317">
        <v>34220</v>
      </c>
      <c r="AL135" s="317">
        <v>35360</v>
      </c>
      <c r="AM135" s="317">
        <v>36230</v>
      </c>
      <c r="AN135" s="317">
        <v>35480</v>
      </c>
      <c r="AO135" s="317">
        <v>36140</v>
      </c>
      <c r="AP135" s="317">
        <v>35430</v>
      </c>
      <c r="AQ135" s="317">
        <v>34690</v>
      </c>
      <c r="AR135" s="317">
        <v>34700</v>
      </c>
      <c r="AS135" s="317">
        <v>34780</v>
      </c>
      <c r="AT135" s="317">
        <v>34920</v>
      </c>
      <c r="AU135" s="317">
        <v>35090</v>
      </c>
      <c r="AV135" s="317">
        <v>35280</v>
      </c>
      <c r="AW135" s="317">
        <v>35470</v>
      </c>
      <c r="AX135" s="317">
        <v>35650</v>
      </c>
      <c r="AY135" s="317">
        <v>35810</v>
      </c>
      <c r="AZ135" s="317">
        <v>35960</v>
      </c>
      <c r="BA135" s="317">
        <v>36070</v>
      </c>
      <c r="BB135" s="317">
        <v>36160</v>
      </c>
      <c r="BC135" s="317">
        <v>36210</v>
      </c>
      <c r="BD135" s="317">
        <v>36240</v>
      </c>
      <c r="BE135" s="317">
        <v>36240</v>
      </c>
      <c r="BF135" s="317">
        <v>36220</v>
      </c>
    </row>
    <row r="136" spans="1:58" x14ac:dyDescent="0.2">
      <c r="A136" s="318" t="s">
        <v>40</v>
      </c>
      <c r="B136" s="315"/>
      <c r="C136" s="317">
        <v>33360</v>
      </c>
      <c r="D136" s="317">
        <v>32920</v>
      </c>
      <c r="E136" s="317">
        <v>31490</v>
      </c>
      <c r="F136" s="317">
        <v>30470</v>
      </c>
      <c r="G136" s="317">
        <v>29250</v>
      </c>
      <c r="H136" s="317">
        <v>27910</v>
      </c>
      <c r="I136" s="317">
        <v>27810</v>
      </c>
      <c r="J136" s="317">
        <v>27480</v>
      </c>
      <c r="K136" s="317">
        <v>28480</v>
      </c>
      <c r="L136" s="317">
        <v>28860</v>
      </c>
      <c r="M136" s="317">
        <v>29380</v>
      </c>
      <c r="N136" s="317">
        <v>30210</v>
      </c>
      <c r="O136" s="317">
        <v>31160</v>
      </c>
      <c r="P136" s="317">
        <v>31530</v>
      </c>
      <c r="Q136" s="317">
        <v>31970</v>
      </c>
      <c r="R136" s="317">
        <v>32500</v>
      </c>
      <c r="S136" s="317">
        <v>32510</v>
      </c>
      <c r="T136" s="317">
        <v>33980</v>
      </c>
      <c r="U136" s="317">
        <v>34900</v>
      </c>
      <c r="V136" s="317">
        <v>36550</v>
      </c>
      <c r="W136" s="317">
        <v>37000</v>
      </c>
      <c r="X136" s="317">
        <v>36000</v>
      </c>
      <c r="Y136" s="317">
        <v>35960</v>
      </c>
      <c r="Z136" s="317">
        <v>35440</v>
      </c>
      <c r="AA136" s="317">
        <v>35530</v>
      </c>
      <c r="AB136" s="317">
        <v>34930</v>
      </c>
      <c r="AC136" s="317">
        <v>34450</v>
      </c>
      <c r="AD136" s="317">
        <v>34250</v>
      </c>
      <c r="AE136" s="317">
        <v>33640</v>
      </c>
      <c r="AF136" s="317">
        <v>34640</v>
      </c>
      <c r="AG136" s="317">
        <v>33910</v>
      </c>
      <c r="AH136" s="317">
        <v>32970</v>
      </c>
      <c r="AI136" s="317">
        <v>32820</v>
      </c>
      <c r="AJ136" s="317">
        <v>33780</v>
      </c>
      <c r="AK136" s="317">
        <v>33510</v>
      </c>
      <c r="AL136" s="317">
        <v>34280</v>
      </c>
      <c r="AM136" s="317">
        <v>35430</v>
      </c>
      <c r="AN136" s="317">
        <v>36300</v>
      </c>
      <c r="AO136" s="317">
        <v>35540</v>
      </c>
      <c r="AP136" s="317">
        <v>36210</v>
      </c>
      <c r="AQ136" s="317">
        <v>35500</v>
      </c>
      <c r="AR136" s="317">
        <v>34760</v>
      </c>
      <c r="AS136" s="317">
        <v>34770</v>
      </c>
      <c r="AT136" s="317">
        <v>34850</v>
      </c>
      <c r="AU136" s="317">
        <v>34990</v>
      </c>
      <c r="AV136" s="317">
        <v>35160</v>
      </c>
      <c r="AW136" s="317">
        <v>35350</v>
      </c>
      <c r="AX136" s="317">
        <v>35530</v>
      </c>
      <c r="AY136" s="317">
        <v>35720</v>
      </c>
      <c r="AZ136" s="317">
        <v>35880</v>
      </c>
      <c r="BA136" s="317">
        <v>36020</v>
      </c>
      <c r="BB136" s="317">
        <v>36140</v>
      </c>
      <c r="BC136" s="317">
        <v>36230</v>
      </c>
      <c r="BD136" s="317">
        <v>36280</v>
      </c>
      <c r="BE136" s="317">
        <v>36310</v>
      </c>
      <c r="BF136" s="317">
        <v>36310</v>
      </c>
    </row>
    <row r="137" spans="1:58" x14ac:dyDescent="0.2">
      <c r="A137" s="318" t="s">
        <v>41</v>
      </c>
      <c r="B137" s="315"/>
      <c r="C137" s="317">
        <v>32520</v>
      </c>
      <c r="D137" s="317">
        <v>33540</v>
      </c>
      <c r="E137" s="317">
        <v>33010</v>
      </c>
      <c r="F137" s="317">
        <v>31640</v>
      </c>
      <c r="G137" s="317">
        <v>30540</v>
      </c>
      <c r="H137" s="317">
        <v>29230</v>
      </c>
      <c r="I137" s="317">
        <v>27850</v>
      </c>
      <c r="J137" s="317">
        <v>27770</v>
      </c>
      <c r="K137" s="317">
        <v>27490</v>
      </c>
      <c r="L137" s="317">
        <v>28520</v>
      </c>
      <c r="M137" s="317">
        <v>28900</v>
      </c>
      <c r="N137" s="317">
        <v>29420</v>
      </c>
      <c r="O137" s="317">
        <v>30250</v>
      </c>
      <c r="P137" s="317">
        <v>31200</v>
      </c>
      <c r="Q137" s="317">
        <v>31580</v>
      </c>
      <c r="R137" s="317">
        <v>32010</v>
      </c>
      <c r="S137" s="317">
        <v>32540</v>
      </c>
      <c r="T137" s="317">
        <v>32550</v>
      </c>
      <c r="U137" s="317">
        <v>34020</v>
      </c>
      <c r="V137" s="317">
        <v>34940</v>
      </c>
      <c r="W137" s="317">
        <v>36590</v>
      </c>
      <c r="X137" s="317">
        <v>37040</v>
      </c>
      <c r="Y137" s="317">
        <v>36040</v>
      </c>
      <c r="Z137" s="317">
        <v>36000</v>
      </c>
      <c r="AA137" s="317">
        <v>35490</v>
      </c>
      <c r="AB137" s="317">
        <v>35570</v>
      </c>
      <c r="AC137" s="317">
        <v>34980</v>
      </c>
      <c r="AD137" s="317">
        <v>34490</v>
      </c>
      <c r="AE137" s="317">
        <v>34300</v>
      </c>
      <c r="AF137" s="317">
        <v>33680</v>
      </c>
      <c r="AG137" s="317">
        <v>34690</v>
      </c>
      <c r="AH137" s="317">
        <v>33950</v>
      </c>
      <c r="AI137" s="317">
        <v>33020</v>
      </c>
      <c r="AJ137" s="317">
        <v>32870</v>
      </c>
      <c r="AK137" s="317">
        <v>33820</v>
      </c>
      <c r="AL137" s="317">
        <v>33560</v>
      </c>
      <c r="AM137" s="317">
        <v>34330</v>
      </c>
      <c r="AN137" s="317">
        <v>35480</v>
      </c>
      <c r="AO137" s="317">
        <v>36350</v>
      </c>
      <c r="AP137" s="317">
        <v>35590</v>
      </c>
      <c r="AQ137" s="317">
        <v>36250</v>
      </c>
      <c r="AR137" s="317">
        <v>35540</v>
      </c>
      <c r="AS137" s="317">
        <v>34800</v>
      </c>
      <c r="AT137" s="317">
        <v>34820</v>
      </c>
      <c r="AU137" s="317">
        <v>34900</v>
      </c>
      <c r="AV137" s="317">
        <v>35040</v>
      </c>
      <c r="AW137" s="317">
        <v>35210</v>
      </c>
      <c r="AX137" s="317">
        <v>35400</v>
      </c>
      <c r="AY137" s="317">
        <v>35580</v>
      </c>
      <c r="AZ137" s="317">
        <v>35770</v>
      </c>
      <c r="BA137" s="317">
        <v>35930</v>
      </c>
      <c r="BB137" s="317">
        <v>36070</v>
      </c>
      <c r="BC137" s="317">
        <v>36190</v>
      </c>
      <c r="BD137" s="317">
        <v>36280</v>
      </c>
      <c r="BE137" s="317">
        <v>36330</v>
      </c>
      <c r="BF137" s="317">
        <v>36360</v>
      </c>
    </row>
    <row r="138" spans="1:58" x14ac:dyDescent="0.2">
      <c r="A138" s="318" t="s">
        <v>42</v>
      </c>
      <c r="B138" s="315"/>
      <c r="C138" s="317">
        <v>32870</v>
      </c>
      <c r="D138" s="317">
        <v>32650</v>
      </c>
      <c r="E138" s="317">
        <v>33590</v>
      </c>
      <c r="F138" s="317">
        <v>33070</v>
      </c>
      <c r="G138" s="317">
        <v>31700</v>
      </c>
      <c r="H138" s="317">
        <v>30450</v>
      </c>
      <c r="I138" s="317">
        <v>29150</v>
      </c>
      <c r="J138" s="317">
        <v>27790</v>
      </c>
      <c r="K138" s="317">
        <v>27770</v>
      </c>
      <c r="L138" s="317">
        <v>27520</v>
      </c>
      <c r="M138" s="317">
        <v>28550</v>
      </c>
      <c r="N138" s="317">
        <v>28930</v>
      </c>
      <c r="O138" s="317">
        <v>29450</v>
      </c>
      <c r="P138" s="317">
        <v>30280</v>
      </c>
      <c r="Q138" s="317">
        <v>31230</v>
      </c>
      <c r="R138" s="317">
        <v>31600</v>
      </c>
      <c r="S138" s="317">
        <v>32040</v>
      </c>
      <c r="T138" s="317">
        <v>32570</v>
      </c>
      <c r="U138" s="317">
        <v>32580</v>
      </c>
      <c r="V138" s="317">
        <v>34050</v>
      </c>
      <c r="W138" s="317">
        <v>34970</v>
      </c>
      <c r="X138" s="317">
        <v>36620</v>
      </c>
      <c r="Y138" s="317">
        <v>37070</v>
      </c>
      <c r="Z138" s="317">
        <v>36070</v>
      </c>
      <c r="AA138" s="317">
        <v>36030</v>
      </c>
      <c r="AB138" s="317">
        <v>35510</v>
      </c>
      <c r="AC138" s="317">
        <v>35600</v>
      </c>
      <c r="AD138" s="317">
        <v>35010</v>
      </c>
      <c r="AE138" s="317">
        <v>34520</v>
      </c>
      <c r="AF138" s="317">
        <v>34330</v>
      </c>
      <c r="AG138" s="317">
        <v>33710</v>
      </c>
      <c r="AH138" s="317">
        <v>34720</v>
      </c>
      <c r="AI138" s="317">
        <v>33990</v>
      </c>
      <c r="AJ138" s="317">
        <v>33050</v>
      </c>
      <c r="AK138" s="317">
        <v>32900</v>
      </c>
      <c r="AL138" s="317">
        <v>33850</v>
      </c>
      <c r="AM138" s="317">
        <v>33590</v>
      </c>
      <c r="AN138" s="317">
        <v>34360</v>
      </c>
      <c r="AO138" s="317">
        <v>35510</v>
      </c>
      <c r="AP138" s="317">
        <v>36380</v>
      </c>
      <c r="AQ138" s="317">
        <v>35620</v>
      </c>
      <c r="AR138" s="317">
        <v>36290</v>
      </c>
      <c r="AS138" s="317">
        <v>35580</v>
      </c>
      <c r="AT138" s="317">
        <v>34840</v>
      </c>
      <c r="AU138" s="317">
        <v>34850</v>
      </c>
      <c r="AV138" s="317">
        <v>34930</v>
      </c>
      <c r="AW138" s="317">
        <v>35070</v>
      </c>
      <c r="AX138" s="317">
        <v>35240</v>
      </c>
      <c r="AY138" s="317">
        <v>35430</v>
      </c>
      <c r="AZ138" s="317">
        <v>35620</v>
      </c>
      <c r="BA138" s="317">
        <v>35800</v>
      </c>
      <c r="BB138" s="317">
        <v>35970</v>
      </c>
      <c r="BC138" s="317">
        <v>36110</v>
      </c>
      <c r="BD138" s="317">
        <v>36220</v>
      </c>
      <c r="BE138" s="317">
        <v>36310</v>
      </c>
      <c r="BF138" s="317">
        <v>36370</v>
      </c>
    </row>
    <row r="139" spans="1:58" x14ac:dyDescent="0.2">
      <c r="A139" s="318" t="s">
        <v>43</v>
      </c>
      <c r="B139" s="315"/>
      <c r="C139" s="317">
        <v>32450</v>
      </c>
      <c r="D139" s="317">
        <v>32970</v>
      </c>
      <c r="E139" s="317">
        <v>32650</v>
      </c>
      <c r="F139" s="317">
        <v>33650</v>
      </c>
      <c r="G139" s="317">
        <v>33110</v>
      </c>
      <c r="H139" s="317">
        <v>31640</v>
      </c>
      <c r="I139" s="317">
        <v>30350</v>
      </c>
      <c r="J139" s="317">
        <v>29080</v>
      </c>
      <c r="K139" s="317">
        <v>27770</v>
      </c>
      <c r="L139" s="317">
        <v>27780</v>
      </c>
      <c r="M139" s="317">
        <v>27530</v>
      </c>
      <c r="N139" s="317">
        <v>28560</v>
      </c>
      <c r="O139" s="317">
        <v>28940</v>
      </c>
      <c r="P139" s="317">
        <v>29460</v>
      </c>
      <c r="Q139" s="317">
        <v>30290</v>
      </c>
      <c r="R139" s="317">
        <v>31240</v>
      </c>
      <c r="S139" s="317">
        <v>31620</v>
      </c>
      <c r="T139" s="317">
        <v>32050</v>
      </c>
      <c r="U139" s="317">
        <v>32580</v>
      </c>
      <c r="V139" s="317">
        <v>32590</v>
      </c>
      <c r="W139" s="317">
        <v>34060</v>
      </c>
      <c r="X139" s="317">
        <v>34980</v>
      </c>
      <c r="Y139" s="317">
        <v>36630</v>
      </c>
      <c r="Z139" s="317">
        <v>37080</v>
      </c>
      <c r="AA139" s="317">
        <v>36080</v>
      </c>
      <c r="AB139" s="317">
        <v>36040</v>
      </c>
      <c r="AC139" s="317">
        <v>35530</v>
      </c>
      <c r="AD139" s="317">
        <v>35610</v>
      </c>
      <c r="AE139" s="317">
        <v>35020</v>
      </c>
      <c r="AF139" s="317">
        <v>34530</v>
      </c>
      <c r="AG139" s="317">
        <v>34340</v>
      </c>
      <c r="AH139" s="317">
        <v>33730</v>
      </c>
      <c r="AI139" s="317">
        <v>34730</v>
      </c>
      <c r="AJ139" s="317">
        <v>34000</v>
      </c>
      <c r="AK139" s="317">
        <v>33070</v>
      </c>
      <c r="AL139" s="317">
        <v>32920</v>
      </c>
      <c r="AM139" s="317">
        <v>33870</v>
      </c>
      <c r="AN139" s="317">
        <v>33610</v>
      </c>
      <c r="AO139" s="317">
        <v>34380</v>
      </c>
      <c r="AP139" s="317">
        <v>35520</v>
      </c>
      <c r="AQ139" s="317">
        <v>36390</v>
      </c>
      <c r="AR139" s="317">
        <v>35640</v>
      </c>
      <c r="AS139" s="317">
        <v>36300</v>
      </c>
      <c r="AT139" s="317">
        <v>35590</v>
      </c>
      <c r="AU139" s="317">
        <v>34850</v>
      </c>
      <c r="AV139" s="317">
        <v>34870</v>
      </c>
      <c r="AW139" s="317">
        <v>34950</v>
      </c>
      <c r="AX139" s="317">
        <v>35090</v>
      </c>
      <c r="AY139" s="317">
        <v>35260</v>
      </c>
      <c r="AZ139" s="317">
        <v>35450</v>
      </c>
      <c r="BA139" s="317">
        <v>35640</v>
      </c>
      <c r="BB139" s="317">
        <v>35820</v>
      </c>
      <c r="BC139" s="317">
        <v>35980</v>
      </c>
      <c r="BD139" s="317">
        <v>36130</v>
      </c>
      <c r="BE139" s="317">
        <v>36240</v>
      </c>
      <c r="BF139" s="317">
        <v>36330</v>
      </c>
    </row>
    <row r="140" spans="1:58" x14ac:dyDescent="0.2">
      <c r="A140" s="318" t="s">
        <v>44</v>
      </c>
      <c r="B140" s="315"/>
      <c r="C140" s="317">
        <v>32220</v>
      </c>
      <c r="D140" s="317">
        <v>32520</v>
      </c>
      <c r="E140" s="317">
        <v>32980</v>
      </c>
      <c r="F140" s="317">
        <v>32680</v>
      </c>
      <c r="G140" s="317">
        <v>33700</v>
      </c>
      <c r="H140" s="317">
        <v>33050</v>
      </c>
      <c r="I140" s="317">
        <v>31530</v>
      </c>
      <c r="J140" s="317">
        <v>30270</v>
      </c>
      <c r="K140" s="317">
        <v>29040</v>
      </c>
      <c r="L140" s="317">
        <v>27770</v>
      </c>
      <c r="M140" s="317">
        <v>27770</v>
      </c>
      <c r="N140" s="317">
        <v>27530</v>
      </c>
      <c r="O140" s="317">
        <v>28560</v>
      </c>
      <c r="P140" s="317">
        <v>28940</v>
      </c>
      <c r="Q140" s="317">
        <v>29460</v>
      </c>
      <c r="R140" s="317">
        <v>30290</v>
      </c>
      <c r="S140" s="317">
        <v>31240</v>
      </c>
      <c r="T140" s="317">
        <v>31610</v>
      </c>
      <c r="U140" s="317">
        <v>32050</v>
      </c>
      <c r="V140" s="317">
        <v>32580</v>
      </c>
      <c r="W140" s="317">
        <v>32590</v>
      </c>
      <c r="X140" s="317">
        <v>34060</v>
      </c>
      <c r="Y140" s="317">
        <v>34980</v>
      </c>
      <c r="Z140" s="317">
        <v>36620</v>
      </c>
      <c r="AA140" s="317">
        <v>37070</v>
      </c>
      <c r="AB140" s="317">
        <v>36080</v>
      </c>
      <c r="AC140" s="317">
        <v>36040</v>
      </c>
      <c r="AD140" s="317">
        <v>35520</v>
      </c>
      <c r="AE140" s="317">
        <v>35610</v>
      </c>
      <c r="AF140" s="317">
        <v>35020</v>
      </c>
      <c r="AG140" s="317">
        <v>34530</v>
      </c>
      <c r="AH140" s="317">
        <v>34340</v>
      </c>
      <c r="AI140" s="317">
        <v>33730</v>
      </c>
      <c r="AJ140" s="317">
        <v>34730</v>
      </c>
      <c r="AK140" s="317">
        <v>34000</v>
      </c>
      <c r="AL140" s="317">
        <v>33070</v>
      </c>
      <c r="AM140" s="317">
        <v>32920</v>
      </c>
      <c r="AN140" s="317">
        <v>33870</v>
      </c>
      <c r="AO140" s="317">
        <v>33610</v>
      </c>
      <c r="AP140" s="317">
        <v>34380</v>
      </c>
      <c r="AQ140" s="317">
        <v>35530</v>
      </c>
      <c r="AR140" s="317">
        <v>36400</v>
      </c>
      <c r="AS140" s="317">
        <v>35640</v>
      </c>
      <c r="AT140" s="317">
        <v>36300</v>
      </c>
      <c r="AU140" s="317">
        <v>35600</v>
      </c>
      <c r="AV140" s="317">
        <v>34860</v>
      </c>
      <c r="AW140" s="317">
        <v>34870</v>
      </c>
      <c r="AX140" s="317">
        <v>34950</v>
      </c>
      <c r="AY140" s="317">
        <v>35090</v>
      </c>
      <c r="AZ140" s="317">
        <v>35260</v>
      </c>
      <c r="BA140" s="317">
        <v>35450</v>
      </c>
      <c r="BB140" s="317">
        <v>35640</v>
      </c>
      <c r="BC140" s="317">
        <v>35820</v>
      </c>
      <c r="BD140" s="317">
        <v>35990</v>
      </c>
      <c r="BE140" s="317">
        <v>36130</v>
      </c>
      <c r="BF140" s="317">
        <v>36250</v>
      </c>
    </row>
    <row r="141" spans="1:58" x14ac:dyDescent="0.2">
      <c r="A141" s="318" t="s">
        <v>45</v>
      </c>
      <c r="B141" s="315"/>
      <c r="C141" s="317">
        <v>32020</v>
      </c>
      <c r="D141" s="317">
        <v>32260</v>
      </c>
      <c r="E141" s="317">
        <v>32540</v>
      </c>
      <c r="F141" s="317">
        <v>32990</v>
      </c>
      <c r="G141" s="317">
        <v>32710</v>
      </c>
      <c r="H141" s="317">
        <v>33610</v>
      </c>
      <c r="I141" s="317">
        <v>32930</v>
      </c>
      <c r="J141" s="317">
        <v>31430</v>
      </c>
      <c r="K141" s="317">
        <v>30220</v>
      </c>
      <c r="L141" s="317">
        <v>29030</v>
      </c>
      <c r="M141" s="317">
        <v>27750</v>
      </c>
      <c r="N141" s="317">
        <v>27760</v>
      </c>
      <c r="O141" s="317">
        <v>27510</v>
      </c>
      <c r="P141" s="317">
        <v>28550</v>
      </c>
      <c r="Q141" s="317">
        <v>28920</v>
      </c>
      <c r="R141" s="317">
        <v>29440</v>
      </c>
      <c r="S141" s="317">
        <v>30270</v>
      </c>
      <c r="T141" s="317">
        <v>31220</v>
      </c>
      <c r="U141" s="317">
        <v>31600</v>
      </c>
      <c r="V141" s="317">
        <v>32030</v>
      </c>
      <c r="W141" s="317">
        <v>32560</v>
      </c>
      <c r="X141" s="317">
        <v>32570</v>
      </c>
      <c r="Y141" s="317">
        <v>34040</v>
      </c>
      <c r="Z141" s="317">
        <v>34960</v>
      </c>
      <c r="AA141" s="317">
        <v>36610</v>
      </c>
      <c r="AB141" s="317">
        <v>37060</v>
      </c>
      <c r="AC141" s="317">
        <v>36060</v>
      </c>
      <c r="AD141" s="317">
        <v>36020</v>
      </c>
      <c r="AE141" s="317">
        <v>35510</v>
      </c>
      <c r="AF141" s="317">
        <v>35600</v>
      </c>
      <c r="AG141" s="317">
        <v>35000</v>
      </c>
      <c r="AH141" s="317">
        <v>34520</v>
      </c>
      <c r="AI141" s="317">
        <v>34330</v>
      </c>
      <c r="AJ141" s="317">
        <v>33710</v>
      </c>
      <c r="AK141" s="317">
        <v>34720</v>
      </c>
      <c r="AL141" s="317">
        <v>33990</v>
      </c>
      <c r="AM141" s="317">
        <v>33060</v>
      </c>
      <c r="AN141" s="317">
        <v>32910</v>
      </c>
      <c r="AO141" s="317">
        <v>33860</v>
      </c>
      <c r="AP141" s="317">
        <v>33600</v>
      </c>
      <c r="AQ141" s="317">
        <v>34370</v>
      </c>
      <c r="AR141" s="317">
        <v>35510</v>
      </c>
      <c r="AS141" s="317">
        <v>36380</v>
      </c>
      <c r="AT141" s="317">
        <v>35630</v>
      </c>
      <c r="AU141" s="317">
        <v>36290</v>
      </c>
      <c r="AV141" s="317">
        <v>35590</v>
      </c>
      <c r="AW141" s="317">
        <v>34850</v>
      </c>
      <c r="AX141" s="317">
        <v>34860</v>
      </c>
      <c r="AY141" s="317">
        <v>34950</v>
      </c>
      <c r="AZ141" s="317">
        <v>35080</v>
      </c>
      <c r="BA141" s="317">
        <v>35260</v>
      </c>
      <c r="BB141" s="317">
        <v>35440</v>
      </c>
      <c r="BC141" s="317">
        <v>35630</v>
      </c>
      <c r="BD141" s="317">
        <v>35810</v>
      </c>
      <c r="BE141" s="317">
        <v>35980</v>
      </c>
      <c r="BF141" s="317">
        <v>36120</v>
      </c>
    </row>
    <row r="142" spans="1:58" x14ac:dyDescent="0.2">
      <c r="A142" s="318" t="s">
        <v>46</v>
      </c>
      <c r="B142" s="315"/>
      <c r="C142" s="317">
        <v>32420</v>
      </c>
      <c r="D142" s="317">
        <v>32090</v>
      </c>
      <c r="E142" s="317">
        <v>32260</v>
      </c>
      <c r="F142" s="317">
        <v>32520</v>
      </c>
      <c r="G142" s="317">
        <v>32970</v>
      </c>
      <c r="H142" s="317">
        <v>32630</v>
      </c>
      <c r="I142" s="317">
        <v>33490</v>
      </c>
      <c r="J142" s="317">
        <v>32830</v>
      </c>
      <c r="K142" s="317">
        <v>31370</v>
      </c>
      <c r="L142" s="317">
        <v>30190</v>
      </c>
      <c r="M142" s="317">
        <v>28990</v>
      </c>
      <c r="N142" s="317">
        <v>27720</v>
      </c>
      <c r="O142" s="317">
        <v>27730</v>
      </c>
      <c r="P142" s="317">
        <v>27480</v>
      </c>
      <c r="Q142" s="317">
        <v>28520</v>
      </c>
      <c r="R142" s="317">
        <v>28890</v>
      </c>
      <c r="S142" s="317">
        <v>29410</v>
      </c>
      <c r="T142" s="317">
        <v>30240</v>
      </c>
      <c r="U142" s="317">
        <v>31190</v>
      </c>
      <c r="V142" s="317">
        <v>31570</v>
      </c>
      <c r="W142" s="317">
        <v>32000</v>
      </c>
      <c r="X142" s="317">
        <v>32530</v>
      </c>
      <c r="Y142" s="317">
        <v>32540</v>
      </c>
      <c r="Z142" s="317">
        <v>34010</v>
      </c>
      <c r="AA142" s="317">
        <v>34930</v>
      </c>
      <c r="AB142" s="317">
        <v>36570</v>
      </c>
      <c r="AC142" s="317">
        <v>37030</v>
      </c>
      <c r="AD142" s="317">
        <v>36030</v>
      </c>
      <c r="AE142" s="317">
        <v>35990</v>
      </c>
      <c r="AF142" s="317">
        <v>35480</v>
      </c>
      <c r="AG142" s="317">
        <v>35570</v>
      </c>
      <c r="AH142" s="317">
        <v>34980</v>
      </c>
      <c r="AI142" s="317">
        <v>34490</v>
      </c>
      <c r="AJ142" s="317">
        <v>34300</v>
      </c>
      <c r="AK142" s="317">
        <v>33690</v>
      </c>
      <c r="AL142" s="317">
        <v>34700</v>
      </c>
      <c r="AM142" s="317">
        <v>33960</v>
      </c>
      <c r="AN142" s="317">
        <v>33030</v>
      </c>
      <c r="AO142" s="317">
        <v>32880</v>
      </c>
      <c r="AP142" s="317">
        <v>33840</v>
      </c>
      <c r="AQ142" s="317">
        <v>33580</v>
      </c>
      <c r="AR142" s="317">
        <v>34350</v>
      </c>
      <c r="AS142" s="317">
        <v>35490</v>
      </c>
      <c r="AT142" s="317">
        <v>36360</v>
      </c>
      <c r="AU142" s="317">
        <v>35610</v>
      </c>
      <c r="AV142" s="317">
        <v>36270</v>
      </c>
      <c r="AW142" s="317">
        <v>35560</v>
      </c>
      <c r="AX142" s="317">
        <v>34830</v>
      </c>
      <c r="AY142" s="317">
        <v>34840</v>
      </c>
      <c r="AZ142" s="317">
        <v>34920</v>
      </c>
      <c r="BA142" s="317">
        <v>35060</v>
      </c>
      <c r="BB142" s="317">
        <v>35230</v>
      </c>
      <c r="BC142" s="317">
        <v>35420</v>
      </c>
      <c r="BD142" s="317">
        <v>35610</v>
      </c>
      <c r="BE142" s="317">
        <v>35790</v>
      </c>
      <c r="BF142" s="317">
        <v>35960</v>
      </c>
    </row>
    <row r="143" spans="1:58" x14ac:dyDescent="0.2">
      <c r="A143" s="318" t="s">
        <v>47</v>
      </c>
      <c r="B143" s="315"/>
      <c r="C143" s="317">
        <v>33510</v>
      </c>
      <c r="D143" s="317">
        <v>32500</v>
      </c>
      <c r="E143" s="317">
        <v>32090</v>
      </c>
      <c r="F143" s="317">
        <v>32200</v>
      </c>
      <c r="G143" s="317">
        <v>32490</v>
      </c>
      <c r="H143" s="317">
        <v>32880</v>
      </c>
      <c r="I143" s="317">
        <v>32490</v>
      </c>
      <c r="J143" s="317">
        <v>33370</v>
      </c>
      <c r="K143" s="317">
        <v>32750</v>
      </c>
      <c r="L143" s="317">
        <v>31320</v>
      </c>
      <c r="M143" s="317">
        <v>30140</v>
      </c>
      <c r="N143" s="317">
        <v>28950</v>
      </c>
      <c r="O143" s="317">
        <v>27680</v>
      </c>
      <c r="P143" s="317">
        <v>27690</v>
      </c>
      <c r="Q143" s="317">
        <v>27440</v>
      </c>
      <c r="R143" s="317">
        <v>28470</v>
      </c>
      <c r="S143" s="317">
        <v>28850</v>
      </c>
      <c r="T143" s="317">
        <v>29370</v>
      </c>
      <c r="U143" s="317">
        <v>30200</v>
      </c>
      <c r="V143" s="317">
        <v>31150</v>
      </c>
      <c r="W143" s="317">
        <v>31520</v>
      </c>
      <c r="X143" s="317">
        <v>31960</v>
      </c>
      <c r="Y143" s="317">
        <v>32490</v>
      </c>
      <c r="Z143" s="317">
        <v>32500</v>
      </c>
      <c r="AA143" s="317">
        <v>33970</v>
      </c>
      <c r="AB143" s="317">
        <v>34890</v>
      </c>
      <c r="AC143" s="317">
        <v>36530</v>
      </c>
      <c r="AD143" s="317">
        <v>36980</v>
      </c>
      <c r="AE143" s="317">
        <v>35990</v>
      </c>
      <c r="AF143" s="317">
        <v>35950</v>
      </c>
      <c r="AG143" s="317">
        <v>35440</v>
      </c>
      <c r="AH143" s="317">
        <v>35530</v>
      </c>
      <c r="AI143" s="317">
        <v>34940</v>
      </c>
      <c r="AJ143" s="317">
        <v>34450</v>
      </c>
      <c r="AK143" s="317">
        <v>34270</v>
      </c>
      <c r="AL143" s="317">
        <v>33650</v>
      </c>
      <c r="AM143" s="317">
        <v>34660</v>
      </c>
      <c r="AN143" s="317">
        <v>33930</v>
      </c>
      <c r="AO143" s="317">
        <v>33000</v>
      </c>
      <c r="AP143" s="317">
        <v>32850</v>
      </c>
      <c r="AQ143" s="317">
        <v>33800</v>
      </c>
      <c r="AR143" s="317">
        <v>33540</v>
      </c>
      <c r="AS143" s="317">
        <v>34310</v>
      </c>
      <c r="AT143" s="317">
        <v>35450</v>
      </c>
      <c r="AU143" s="317">
        <v>36320</v>
      </c>
      <c r="AV143" s="317">
        <v>35570</v>
      </c>
      <c r="AW143" s="317">
        <v>36230</v>
      </c>
      <c r="AX143" s="317">
        <v>35530</v>
      </c>
      <c r="AY143" s="317">
        <v>34790</v>
      </c>
      <c r="AZ143" s="317">
        <v>34810</v>
      </c>
      <c r="BA143" s="317">
        <v>34890</v>
      </c>
      <c r="BB143" s="317">
        <v>35030</v>
      </c>
      <c r="BC143" s="317">
        <v>35200</v>
      </c>
      <c r="BD143" s="317">
        <v>35390</v>
      </c>
      <c r="BE143" s="317">
        <v>35580</v>
      </c>
      <c r="BF143" s="317">
        <v>35760</v>
      </c>
    </row>
    <row r="144" spans="1:58" x14ac:dyDescent="0.2">
      <c r="A144" s="318" t="s">
        <v>48</v>
      </c>
      <c r="B144" s="315"/>
      <c r="C144" s="317">
        <v>34420</v>
      </c>
      <c r="D144" s="317">
        <v>33540</v>
      </c>
      <c r="E144" s="317">
        <v>32420</v>
      </c>
      <c r="F144" s="317">
        <v>32050</v>
      </c>
      <c r="G144" s="317">
        <v>32200</v>
      </c>
      <c r="H144" s="317">
        <v>32360</v>
      </c>
      <c r="I144" s="317">
        <v>32740</v>
      </c>
      <c r="J144" s="317">
        <v>32360</v>
      </c>
      <c r="K144" s="317">
        <v>33280</v>
      </c>
      <c r="L144" s="317">
        <v>32680</v>
      </c>
      <c r="M144" s="317">
        <v>31260</v>
      </c>
      <c r="N144" s="317">
        <v>30080</v>
      </c>
      <c r="O144" s="317">
        <v>28890</v>
      </c>
      <c r="P144" s="317">
        <v>27620</v>
      </c>
      <c r="Q144" s="317">
        <v>27630</v>
      </c>
      <c r="R144" s="317">
        <v>27380</v>
      </c>
      <c r="S144" s="317">
        <v>28420</v>
      </c>
      <c r="T144" s="317">
        <v>28800</v>
      </c>
      <c r="U144" s="317">
        <v>29310</v>
      </c>
      <c r="V144" s="317">
        <v>30140</v>
      </c>
      <c r="W144" s="317">
        <v>31090</v>
      </c>
      <c r="X144" s="317">
        <v>31470</v>
      </c>
      <c r="Y144" s="317">
        <v>31900</v>
      </c>
      <c r="Z144" s="317">
        <v>32430</v>
      </c>
      <c r="AA144" s="317">
        <v>32450</v>
      </c>
      <c r="AB144" s="317">
        <v>33910</v>
      </c>
      <c r="AC144" s="317">
        <v>34830</v>
      </c>
      <c r="AD144" s="317">
        <v>36470</v>
      </c>
      <c r="AE144" s="317">
        <v>36930</v>
      </c>
      <c r="AF144" s="317">
        <v>35930</v>
      </c>
      <c r="AG144" s="317">
        <v>35890</v>
      </c>
      <c r="AH144" s="317">
        <v>35380</v>
      </c>
      <c r="AI144" s="317">
        <v>35470</v>
      </c>
      <c r="AJ144" s="317">
        <v>34880</v>
      </c>
      <c r="AK144" s="317">
        <v>34400</v>
      </c>
      <c r="AL144" s="317">
        <v>34210</v>
      </c>
      <c r="AM144" s="317">
        <v>33600</v>
      </c>
      <c r="AN144" s="317">
        <v>34610</v>
      </c>
      <c r="AO144" s="317">
        <v>33880</v>
      </c>
      <c r="AP144" s="317">
        <v>32950</v>
      </c>
      <c r="AQ144" s="317">
        <v>32800</v>
      </c>
      <c r="AR144" s="317">
        <v>33750</v>
      </c>
      <c r="AS144" s="317">
        <v>33490</v>
      </c>
      <c r="AT144" s="317">
        <v>34260</v>
      </c>
      <c r="AU144" s="317">
        <v>35410</v>
      </c>
      <c r="AV144" s="317">
        <v>36280</v>
      </c>
      <c r="AW144" s="317">
        <v>35520</v>
      </c>
      <c r="AX144" s="317">
        <v>36190</v>
      </c>
      <c r="AY144" s="317">
        <v>35480</v>
      </c>
      <c r="AZ144" s="317">
        <v>34750</v>
      </c>
      <c r="BA144" s="317">
        <v>34760</v>
      </c>
      <c r="BB144" s="317">
        <v>34840</v>
      </c>
      <c r="BC144" s="317">
        <v>34980</v>
      </c>
      <c r="BD144" s="317">
        <v>35160</v>
      </c>
      <c r="BE144" s="317">
        <v>35340</v>
      </c>
      <c r="BF144" s="317">
        <v>35530</v>
      </c>
    </row>
    <row r="145" spans="1:58" x14ac:dyDescent="0.2">
      <c r="A145" s="318" t="s">
        <v>49</v>
      </c>
      <c r="B145" s="315"/>
      <c r="C145" s="317">
        <v>34170</v>
      </c>
      <c r="D145" s="317">
        <v>34440</v>
      </c>
      <c r="E145" s="317">
        <v>33430</v>
      </c>
      <c r="F145" s="317">
        <v>32370</v>
      </c>
      <c r="G145" s="317">
        <v>32030</v>
      </c>
      <c r="H145" s="317">
        <v>32070</v>
      </c>
      <c r="I145" s="317">
        <v>32210</v>
      </c>
      <c r="J145" s="317">
        <v>32600</v>
      </c>
      <c r="K145" s="317">
        <v>32260</v>
      </c>
      <c r="L145" s="317">
        <v>33200</v>
      </c>
      <c r="M145" s="317">
        <v>32600</v>
      </c>
      <c r="N145" s="317">
        <v>31180</v>
      </c>
      <c r="O145" s="317">
        <v>30010</v>
      </c>
      <c r="P145" s="317">
        <v>28820</v>
      </c>
      <c r="Q145" s="317">
        <v>27550</v>
      </c>
      <c r="R145" s="317">
        <v>27560</v>
      </c>
      <c r="S145" s="317">
        <v>27320</v>
      </c>
      <c r="T145" s="317">
        <v>28350</v>
      </c>
      <c r="U145" s="317">
        <v>28730</v>
      </c>
      <c r="V145" s="317">
        <v>29240</v>
      </c>
      <c r="W145" s="317">
        <v>30070</v>
      </c>
      <c r="X145" s="317">
        <v>31020</v>
      </c>
      <c r="Y145" s="317">
        <v>31400</v>
      </c>
      <c r="Z145" s="317">
        <v>31830</v>
      </c>
      <c r="AA145" s="317">
        <v>32370</v>
      </c>
      <c r="AB145" s="317">
        <v>32380</v>
      </c>
      <c r="AC145" s="317">
        <v>33840</v>
      </c>
      <c r="AD145" s="317">
        <v>34760</v>
      </c>
      <c r="AE145" s="317">
        <v>36410</v>
      </c>
      <c r="AF145" s="317">
        <v>36860</v>
      </c>
      <c r="AG145" s="317">
        <v>35870</v>
      </c>
      <c r="AH145" s="317">
        <v>35830</v>
      </c>
      <c r="AI145" s="317">
        <v>35320</v>
      </c>
      <c r="AJ145" s="317">
        <v>35410</v>
      </c>
      <c r="AK145" s="317">
        <v>34820</v>
      </c>
      <c r="AL145" s="317">
        <v>34340</v>
      </c>
      <c r="AM145" s="317">
        <v>34150</v>
      </c>
      <c r="AN145" s="317">
        <v>33540</v>
      </c>
      <c r="AO145" s="317">
        <v>34540</v>
      </c>
      <c r="AP145" s="317">
        <v>33810</v>
      </c>
      <c r="AQ145" s="317">
        <v>32890</v>
      </c>
      <c r="AR145" s="317">
        <v>32740</v>
      </c>
      <c r="AS145" s="317">
        <v>33690</v>
      </c>
      <c r="AT145" s="317">
        <v>33430</v>
      </c>
      <c r="AU145" s="317">
        <v>34200</v>
      </c>
      <c r="AV145" s="317">
        <v>35350</v>
      </c>
      <c r="AW145" s="317">
        <v>36220</v>
      </c>
      <c r="AX145" s="317">
        <v>35460</v>
      </c>
      <c r="AY145" s="317">
        <v>36130</v>
      </c>
      <c r="AZ145" s="317">
        <v>35420</v>
      </c>
      <c r="BA145" s="317">
        <v>34690</v>
      </c>
      <c r="BB145" s="317">
        <v>34700</v>
      </c>
      <c r="BC145" s="317">
        <v>34790</v>
      </c>
      <c r="BD145" s="317">
        <v>34920</v>
      </c>
      <c r="BE145" s="317">
        <v>35100</v>
      </c>
      <c r="BF145" s="317">
        <v>35290</v>
      </c>
    </row>
    <row r="146" spans="1:58" x14ac:dyDescent="0.2">
      <c r="A146" s="318" t="s">
        <v>50</v>
      </c>
      <c r="B146" s="315"/>
      <c r="C146" s="317">
        <v>33510</v>
      </c>
      <c r="D146" s="317">
        <v>34140</v>
      </c>
      <c r="E146" s="317">
        <v>34280</v>
      </c>
      <c r="F146" s="317">
        <v>33330</v>
      </c>
      <c r="G146" s="317">
        <v>32310</v>
      </c>
      <c r="H146" s="317">
        <v>31930</v>
      </c>
      <c r="I146" s="317">
        <v>31910</v>
      </c>
      <c r="J146" s="317">
        <v>32060</v>
      </c>
      <c r="K146" s="317">
        <v>32480</v>
      </c>
      <c r="L146" s="317">
        <v>32170</v>
      </c>
      <c r="M146" s="317">
        <v>33110</v>
      </c>
      <c r="N146" s="317">
        <v>32510</v>
      </c>
      <c r="O146" s="317">
        <v>31090</v>
      </c>
      <c r="P146" s="317">
        <v>29920</v>
      </c>
      <c r="Q146" s="317">
        <v>28730</v>
      </c>
      <c r="R146" s="317">
        <v>27470</v>
      </c>
      <c r="S146" s="317">
        <v>27480</v>
      </c>
      <c r="T146" s="317">
        <v>27240</v>
      </c>
      <c r="U146" s="317">
        <v>28270</v>
      </c>
      <c r="V146" s="317">
        <v>28650</v>
      </c>
      <c r="W146" s="317">
        <v>29160</v>
      </c>
      <c r="X146" s="317">
        <v>29990</v>
      </c>
      <c r="Y146" s="317">
        <v>30940</v>
      </c>
      <c r="Z146" s="317">
        <v>31320</v>
      </c>
      <c r="AA146" s="317">
        <v>31750</v>
      </c>
      <c r="AB146" s="317">
        <v>32280</v>
      </c>
      <c r="AC146" s="317">
        <v>32300</v>
      </c>
      <c r="AD146" s="317">
        <v>33760</v>
      </c>
      <c r="AE146" s="317">
        <v>34680</v>
      </c>
      <c r="AF146" s="317">
        <v>36320</v>
      </c>
      <c r="AG146" s="317">
        <v>36770</v>
      </c>
      <c r="AH146" s="317">
        <v>35790</v>
      </c>
      <c r="AI146" s="317">
        <v>35750</v>
      </c>
      <c r="AJ146" s="317">
        <v>35240</v>
      </c>
      <c r="AK146" s="317">
        <v>35330</v>
      </c>
      <c r="AL146" s="317">
        <v>34740</v>
      </c>
      <c r="AM146" s="317">
        <v>34260</v>
      </c>
      <c r="AN146" s="317">
        <v>34080</v>
      </c>
      <c r="AO146" s="317">
        <v>33460</v>
      </c>
      <c r="AP146" s="317">
        <v>34470</v>
      </c>
      <c r="AQ146" s="317">
        <v>33740</v>
      </c>
      <c r="AR146" s="317">
        <v>32820</v>
      </c>
      <c r="AS146" s="317">
        <v>32670</v>
      </c>
      <c r="AT146" s="317">
        <v>33620</v>
      </c>
      <c r="AU146" s="317">
        <v>33360</v>
      </c>
      <c r="AV146" s="317">
        <v>34130</v>
      </c>
      <c r="AW146" s="317">
        <v>35270</v>
      </c>
      <c r="AX146" s="317">
        <v>36140</v>
      </c>
      <c r="AY146" s="317">
        <v>35390</v>
      </c>
      <c r="AZ146" s="317">
        <v>36060</v>
      </c>
      <c r="BA146" s="317">
        <v>35350</v>
      </c>
      <c r="BB146" s="317">
        <v>34620</v>
      </c>
      <c r="BC146" s="317">
        <v>34630</v>
      </c>
      <c r="BD146" s="317">
        <v>34720</v>
      </c>
      <c r="BE146" s="317">
        <v>34860</v>
      </c>
      <c r="BF146" s="317">
        <v>35030</v>
      </c>
    </row>
    <row r="147" spans="1:58" x14ac:dyDescent="0.2">
      <c r="A147" s="318" t="s">
        <v>51</v>
      </c>
      <c r="B147" s="315"/>
      <c r="C147" s="317">
        <v>31920</v>
      </c>
      <c r="D147" s="317">
        <v>33490</v>
      </c>
      <c r="E147" s="317">
        <v>34040</v>
      </c>
      <c r="F147" s="317">
        <v>34150</v>
      </c>
      <c r="G147" s="317">
        <v>33230</v>
      </c>
      <c r="H147" s="317">
        <v>32170</v>
      </c>
      <c r="I147" s="317">
        <v>31750</v>
      </c>
      <c r="J147" s="317">
        <v>31740</v>
      </c>
      <c r="K147" s="317">
        <v>31930</v>
      </c>
      <c r="L147" s="317">
        <v>32380</v>
      </c>
      <c r="M147" s="317">
        <v>32060</v>
      </c>
      <c r="N147" s="317">
        <v>33000</v>
      </c>
      <c r="O147" s="317">
        <v>32410</v>
      </c>
      <c r="P147" s="317">
        <v>30990</v>
      </c>
      <c r="Q147" s="317">
        <v>29820</v>
      </c>
      <c r="R147" s="317">
        <v>28640</v>
      </c>
      <c r="S147" s="317">
        <v>27370</v>
      </c>
      <c r="T147" s="317">
        <v>27380</v>
      </c>
      <c r="U147" s="317">
        <v>27140</v>
      </c>
      <c r="V147" s="317">
        <v>28170</v>
      </c>
      <c r="W147" s="317">
        <v>28550</v>
      </c>
      <c r="X147" s="317">
        <v>29070</v>
      </c>
      <c r="Y147" s="317">
        <v>29900</v>
      </c>
      <c r="Z147" s="317">
        <v>30850</v>
      </c>
      <c r="AA147" s="317">
        <v>31220</v>
      </c>
      <c r="AB147" s="317">
        <v>31660</v>
      </c>
      <c r="AC147" s="317">
        <v>32190</v>
      </c>
      <c r="AD147" s="317">
        <v>32200</v>
      </c>
      <c r="AE147" s="317">
        <v>33670</v>
      </c>
      <c r="AF147" s="317">
        <v>34590</v>
      </c>
      <c r="AG147" s="317">
        <v>36230</v>
      </c>
      <c r="AH147" s="317">
        <v>36680</v>
      </c>
      <c r="AI147" s="317">
        <v>35690</v>
      </c>
      <c r="AJ147" s="317">
        <v>35660</v>
      </c>
      <c r="AK147" s="317">
        <v>35150</v>
      </c>
      <c r="AL147" s="317">
        <v>35240</v>
      </c>
      <c r="AM147" s="317">
        <v>34650</v>
      </c>
      <c r="AN147" s="317">
        <v>34170</v>
      </c>
      <c r="AO147" s="317">
        <v>33990</v>
      </c>
      <c r="AP147" s="317">
        <v>33380</v>
      </c>
      <c r="AQ147" s="317">
        <v>34380</v>
      </c>
      <c r="AR147" s="317">
        <v>33650</v>
      </c>
      <c r="AS147" s="317">
        <v>32730</v>
      </c>
      <c r="AT147" s="317">
        <v>32580</v>
      </c>
      <c r="AU147" s="317">
        <v>33530</v>
      </c>
      <c r="AV147" s="317">
        <v>33280</v>
      </c>
      <c r="AW147" s="317">
        <v>34050</v>
      </c>
      <c r="AX147" s="317">
        <v>35190</v>
      </c>
      <c r="AY147" s="317">
        <v>36060</v>
      </c>
      <c r="AZ147" s="317">
        <v>35310</v>
      </c>
      <c r="BA147" s="317">
        <v>35970</v>
      </c>
      <c r="BB147" s="317">
        <v>35270</v>
      </c>
      <c r="BC147" s="317">
        <v>34540</v>
      </c>
      <c r="BD147" s="317">
        <v>34550</v>
      </c>
      <c r="BE147" s="317">
        <v>34640</v>
      </c>
      <c r="BF147" s="317">
        <v>34770</v>
      </c>
    </row>
    <row r="148" spans="1:58" x14ac:dyDescent="0.2">
      <c r="A148" s="318" t="s">
        <v>52</v>
      </c>
      <c r="B148" s="315"/>
      <c r="C148" s="317">
        <v>31370</v>
      </c>
      <c r="D148" s="317">
        <v>31850</v>
      </c>
      <c r="E148" s="317">
        <v>33350</v>
      </c>
      <c r="F148" s="317">
        <v>33910</v>
      </c>
      <c r="G148" s="317">
        <v>34070</v>
      </c>
      <c r="H148" s="317">
        <v>33100</v>
      </c>
      <c r="I148" s="317">
        <v>31980</v>
      </c>
      <c r="J148" s="317">
        <v>31580</v>
      </c>
      <c r="K148" s="317">
        <v>31600</v>
      </c>
      <c r="L148" s="317">
        <v>31810</v>
      </c>
      <c r="M148" s="317">
        <v>32250</v>
      </c>
      <c r="N148" s="317">
        <v>31940</v>
      </c>
      <c r="O148" s="317">
        <v>32880</v>
      </c>
      <c r="P148" s="317">
        <v>32290</v>
      </c>
      <c r="Q148" s="317">
        <v>30880</v>
      </c>
      <c r="R148" s="317">
        <v>29710</v>
      </c>
      <c r="S148" s="317">
        <v>28530</v>
      </c>
      <c r="T148" s="317">
        <v>27260</v>
      </c>
      <c r="U148" s="317">
        <v>27280</v>
      </c>
      <c r="V148" s="317">
        <v>27040</v>
      </c>
      <c r="W148" s="317">
        <v>28070</v>
      </c>
      <c r="X148" s="317">
        <v>28450</v>
      </c>
      <c r="Y148" s="317">
        <v>28960</v>
      </c>
      <c r="Z148" s="317">
        <v>29790</v>
      </c>
      <c r="AA148" s="317">
        <v>30740</v>
      </c>
      <c r="AB148" s="317">
        <v>31120</v>
      </c>
      <c r="AC148" s="317">
        <v>31550</v>
      </c>
      <c r="AD148" s="317">
        <v>32090</v>
      </c>
      <c r="AE148" s="317">
        <v>32100</v>
      </c>
      <c r="AF148" s="317">
        <v>33560</v>
      </c>
      <c r="AG148" s="317">
        <v>34480</v>
      </c>
      <c r="AH148" s="317">
        <v>36120</v>
      </c>
      <c r="AI148" s="317">
        <v>36580</v>
      </c>
      <c r="AJ148" s="317">
        <v>35590</v>
      </c>
      <c r="AK148" s="317">
        <v>35550</v>
      </c>
      <c r="AL148" s="317">
        <v>35050</v>
      </c>
      <c r="AM148" s="317">
        <v>35140</v>
      </c>
      <c r="AN148" s="317">
        <v>34550</v>
      </c>
      <c r="AO148" s="317">
        <v>34070</v>
      </c>
      <c r="AP148" s="317">
        <v>33890</v>
      </c>
      <c r="AQ148" s="317">
        <v>33280</v>
      </c>
      <c r="AR148" s="317">
        <v>34280</v>
      </c>
      <c r="AS148" s="317">
        <v>33560</v>
      </c>
      <c r="AT148" s="317">
        <v>32630</v>
      </c>
      <c r="AU148" s="317">
        <v>32490</v>
      </c>
      <c r="AV148" s="317">
        <v>33440</v>
      </c>
      <c r="AW148" s="317">
        <v>33180</v>
      </c>
      <c r="AX148" s="317">
        <v>33950</v>
      </c>
      <c r="AY148" s="317">
        <v>35090</v>
      </c>
      <c r="AZ148" s="317">
        <v>35960</v>
      </c>
      <c r="BA148" s="317">
        <v>35210</v>
      </c>
      <c r="BB148" s="317">
        <v>35880</v>
      </c>
      <c r="BC148" s="317">
        <v>35180</v>
      </c>
      <c r="BD148" s="317">
        <v>34440</v>
      </c>
      <c r="BE148" s="317">
        <v>34460</v>
      </c>
      <c r="BF148" s="317">
        <v>34540</v>
      </c>
    </row>
    <row r="149" spans="1:58" x14ac:dyDescent="0.2">
      <c r="A149" s="318" t="s">
        <v>53</v>
      </c>
      <c r="B149" s="315"/>
      <c r="C149" s="317">
        <v>29970</v>
      </c>
      <c r="D149" s="317">
        <v>31260</v>
      </c>
      <c r="E149" s="317">
        <v>31700</v>
      </c>
      <c r="F149" s="317">
        <v>33210</v>
      </c>
      <c r="G149" s="317">
        <v>33810</v>
      </c>
      <c r="H149" s="317">
        <v>33920</v>
      </c>
      <c r="I149" s="317">
        <v>32900</v>
      </c>
      <c r="J149" s="317">
        <v>31790</v>
      </c>
      <c r="K149" s="317">
        <v>31420</v>
      </c>
      <c r="L149" s="317">
        <v>31470</v>
      </c>
      <c r="M149" s="317">
        <v>31670</v>
      </c>
      <c r="N149" s="317">
        <v>32120</v>
      </c>
      <c r="O149" s="317">
        <v>31810</v>
      </c>
      <c r="P149" s="317">
        <v>32750</v>
      </c>
      <c r="Q149" s="317">
        <v>32160</v>
      </c>
      <c r="R149" s="317">
        <v>30750</v>
      </c>
      <c r="S149" s="317">
        <v>29580</v>
      </c>
      <c r="T149" s="317">
        <v>28410</v>
      </c>
      <c r="U149" s="317">
        <v>27150</v>
      </c>
      <c r="V149" s="317">
        <v>27160</v>
      </c>
      <c r="W149" s="317">
        <v>26920</v>
      </c>
      <c r="X149" s="317">
        <v>27950</v>
      </c>
      <c r="Y149" s="317">
        <v>28330</v>
      </c>
      <c r="Z149" s="317">
        <v>28850</v>
      </c>
      <c r="AA149" s="317">
        <v>29680</v>
      </c>
      <c r="AB149" s="317">
        <v>30630</v>
      </c>
      <c r="AC149" s="317">
        <v>31000</v>
      </c>
      <c r="AD149" s="317">
        <v>31440</v>
      </c>
      <c r="AE149" s="317">
        <v>31970</v>
      </c>
      <c r="AF149" s="317">
        <v>31980</v>
      </c>
      <c r="AG149" s="317">
        <v>33450</v>
      </c>
      <c r="AH149" s="317">
        <v>34370</v>
      </c>
      <c r="AI149" s="317">
        <v>36010</v>
      </c>
      <c r="AJ149" s="317">
        <v>36460</v>
      </c>
      <c r="AK149" s="317">
        <v>35480</v>
      </c>
      <c r="AL149" s="317">
        <v>35440</v>
      </c>
      <c r="AM149" s="317">
        <v>34930</v>
      </c>
      <c r="AN149" s="317">
        <v>35030</v>
      </c>
      <c r="AO149" s="317">
        <v>34440</v>
      </c>
      <c r="AP149" s="317">
        <v>33960</v>
      </c>
      <c r="AQ149" s="317">
        <v>33780</v>
      </c>
      <c r="AR149" s="317">
        <v>33170</v>
      </c>
      <c r="AS149" s="317">
        <v>34170</v>
      </c>
      <c r="AT149" s="317">
        <v>33450</v>
      </c>
      <c r="AU149" s="317">
        <v>32530</v>
      </c>
      <c r="AV149" s="317">
        <v>32380</v>
      </c>
      <c r="AW149" s="317">
        <v>33330</v>
      </c>
      <c r="AX149" s="317">
        <v>33080</v>
      </c>
      <c r="AY149" s="317">
        <v>33850</v>
      </c>
      <c r="AZ149" s="317">
        <v>34990</v>
      </c>
      <c r="BA149" s="317">
        <v>35860</v>
      </c>
      <c r="BB149" s="317">
        <v>35110</v>
      </c>
      <c r="BC149" s="317">
        <v>35770</v>
      </c>
      <c r="BD149" s="317">
        <v>35070</v>
      </c>
      <c r="BE149" s="317">
        <v>34340</v>
      </c>
      <c r="BF149" s="317">
        <v>34360</v>
      </c>
    </row>
    <row r="150" spans="1:58" x14ac:dyDescent="0.2">
      <c r="A150" s="318" t="s">
        <v>54</v>
      </c>
      <c r="B150" s="315"/>
      <c r="C150" s="317">
        <v>29280</v>
      </c>
      <c r="D150" s="317">
        <v>29840</v>
      </c>
      <c r="E150" s="317">
        <v>31140</v>
      </c>
      <c r="F150" s="317">
        <v>31590</v>
      </c>
      <c r="G150" s="317">
        <v>33120</v>
      </c>
      <c r="H150" s="317">
        <v>33620</v>
      </c>
      <c r="I150" s="317">
        <v>33710</v>
      </c>
      <c r="J150" s="317">
        <v>32700</v>
      </c>
      <c r="K150" s="317">
        <v>31630</v>
      </c>
      <c r="L150" s="317">
        <v>31280</v>
      </c>
      <c r="M150" s="317">
        <v>31330</v>
      </c>
      <c r="N150" s="317">
        <v>31540</v>
      </c>
      <c r="O150" s="317">
        <v>31990</v>
      </c>
      <c r="P150" s="317">
        <v>31680</v>
      </c>
      <c r="Q150" s="317">
        <v>32610</v>
      </c>
      <c r="R150" s="317">
        <v>32030</v>
      </c>
      <c r="S150" s="317">
        <v>30620</v>
      </c>
      <c r="T150" s="317">
        <v>29460</v>
      </c>
      <c r="U150" s="317">
        <v>28280</v>
      </c>
      <c r="V150" s="317">
        <v>27020</v>
      </c>
      <c r="W150" s="317">
        <v>27040</v>
      </c>
      <c r="X150" s="317">
        <v>26800</v>
      </c>
      <c r="Y150" s="317">
        <v>27830</v>
      </c>
      <c r="Z150" s="317">
        <v>28210</v>
      </c>
      <c r="AA150" s="317">
        <v>28730</v>
      </c>
      <c r="AB150" s="317">
        <v>29560</v>
      </c>
      <c r="AC150" s="317">
        <v>30510</v>
      </c>
      <c r="AD150" s="317">
        <v>30880</v>
      </c>
      <c r="AE150" s="317">
        <v>31320</v>
      </c>
      <c r="AF150" s="317">
        <v>31850</v>
      </c>
      <c r="AG150" s="317">
        <v>31870</v>
      </c>
      <c r="AH150" s="317">
        <v>33330</v>
      </c>
      <c r="AI150" s="317">
        <v>34250</v>
      </c>
      <c r="AJ150" s="317">
        <v>35890</v>
      </c>
      <c r="AK150" s="317">
        <v>36340</v>
      </c>
      <c r="AL150" s="317">
        <v>35360</v>
      </c>
      <c r="AM150" s="317">
        <v>35320</v>
      </c>
      <c r="AN150" s="317">
        <v>34820</v>
      </c>
      <c r="AO150" s="317">
        <v>34910</v>
      </c>
      <c r="AP150" s="317">
        <v>34330</v>
      </c>
      <c r="AQ150" s="317">
        <v>33850</v>
      </c>
      <c r="AR150" s="317">
        <v>33670</v>
      </c>
      <c r="AS150" s="317">
        <v>33060</v>
      </c>
      <c r="AT150" s="317">
        <v>34060</v>
      </c>
      <c r="AU150" s="317">
        <v>33340</v>
      </c>
      <c r="AV150" s="317">
        <v>32420</v>
      </c>
      <c r="AW150" s="317">
        <v>32270</v>
      </c>
      <c r="AX150" s="317">
        <v>33220</v>
      </c>
      <c r="AY150" s="317">
        <v>32970</v>
      </c>
      <c r="AZ150" s="317">
        <v>33740</v>
      </c>
      <c r="BA150" s="317">
        <v>34880</v>
      </c>
      <c r="BB150" s="317">
        <v>35750</v>
      </c>
      <c r="BC150" s="317">
        <v>35000</v>
      </c>
      <c r="BD150" s="317">
        <v>35670</v>
      </c>
      <c r="BE150" s="317">
        <v>34970</v>
      </c>
      <c r="BF150" s="317">
        <v>34240</v>
      </c>
    </row>
    <row r="151" spans="1:58" x14ac:dyDescent="0.2">
      <c r="A151" s="318" t="s">
        <v>55</v>
      </c>
      <c r="B151" s="315"/>
      <c r="C151" s="317">
        <v>28580</v>
      </c>
      <c r="D151" s="317">
        <v>29140</v>
      </c>
      <c r="E151" s="317">
        <v>29710</v>
      </c>
      <c r="F151" s="317">
        <v>31020</v>
      </c>
      <c r="G151" s="317">
        <v>31490</v>
      </c>
      <c r="H151" s="317">
        <v>32940</v>
      </c>
      <c r="I151" s="317">
        <v>33420</v>
      </c>
      <c r="J151" s="317">
        <v>33520</v>
      </c>
      <c r="K151" s="317">
        <v>32540</v>
      </c>
      <c r="L151" s="317">
        <v>31490</v>
      </c>
      <c r="M151" s="317">
        <v>31150</v>
      </c>
      <c r="N151" s="317">
        <v>31190</v>
      </c>
      <c r="O151" s="317">
        <v>31400</v>
      </c>
      <c r="P151" s="317">
        <v>31850</v>
      </c>
      <c r="Q151" s="317">
        <v>31550</v>
      </c>
      <c r="R151" s="317">
        <v>32480</v>
      </c>
      <c r="S151" s="317">
        <v>31900</v>
      </c>
      <c r="T151" s="317">
        <v>30500</v>
      </c>
      <c r="U151" s="317">
        <v>29330</v>
      </c>
      <c r="V151" s="317">
        <v>28160</v>
      </c>
      <c r="W151" s="317">
        <v>26910</v>
      </c>
      <c r="X151" s="317">
        <v>26920</v>
      </c>
      <c r="Y151" s="317">
        <v>26680</v>
      </c>
      <c r="Z151" s="317">
        <v>27710</v>
      </c>
      <c r="AA151" s="317">
        <v>28100</v>
      </c>
      <c r="AB151" s="317">
        <v>28610</v>
      </c>
      <c r="AC151" s="317">
        <v>29440</v>
      </c>
      <c r="AD151" s="317">
        <v>30390</v>
      </c>
      <c r="AE151" s="317">
        <v>30770</v>
      </c>
      <c r="AF151" s="317">
        <v>31200</v>
      </c>
      <c r="AG151" s="317">
        <v>31740</v>
      </c>
      <c r="AH151" s="317">
        <v>31750</v>
      </c>
      <c r="AI151" s="317">
        <v>33220</v>
      </c>
      <c r="AJ151" s="317">
        <v>34130</v>
      </c>
      <c r="AK151" s="317">
        <v>35770</v>
      </c>
      <c r="AL151" s="317">
        <v>36230</v>
      </c>
      <c r="AM151" s="317">
        <v>35250</v>
      </c>
      <c r="AN151" s="317">
        <v>35210</v>
      </c>
      <c r="AO151" s="317">
        <v>34710</v>
      </c>
      <c r="AP151" s="317">
        <v>34800</v>
      </c>
      <c r="AQ151" s="317">
        <v>34220</v>
      </c>
      <c r="AR151" s="317">
        <v>33740</v>
      </c>
      <c r="AS151" s="317">
        <v>33560</v>
      </c>
      <c r="AT151" s="317">
        <v>32950</v>
      </c>
      <c r="AU151" s="317">
        <v>33960</v>
      </c>
      <c r="AV151" s="317">
        <v>33240</v>
      </c>
      <c r="AW151" s="317">
        <v>32320</v>
      </c>
      <c r="AX151" s="317">
        <v>32170</v>
      </c>
      <c r="AY151" s="317">
        <v>33120</v>
      </c>
      <c r="AZ151" s="317">
        <v>32870</v>
      </c>
      <c r="BA151" s="317">
        <v>33640</v>
      </c>
      <c r="BB151" s="317">
        <v>34780</v>
      </c>
      <c r="BC151" s="317">
        <v>35650</v>
      </c>
      <c r="BD151" s="317">
        <v>34900</v>
      </c>
      <c r="BE151" s="317">
        <v>35570</v>
      </c>
      <c r="BF151" s="317">
        <v>34870</v>
      </c>
    </row>
    <row r="152" spans="1:58" x14ac:dyDescent="0.2">
      <c r="A152" s="318" t="s">
        <v>56</v>
      </c>
      <c r="B152" s="315"/>
      <c r="C152" s="317">
        <v>27550</v>
      </c>
      <c r="D152" s="317">
        <v>28470</v>
      </c>
      <c r="E152" s="317">
        <v>29000</v>
      </c>
      <c r="F152" s="317">
        <v>29560</v>
      </c>
      <c r="G152" s="317">
        <v>30920</v>
      </c>
      <c r="H152" s="317">
        <v>31320</v>
      </c>
      <c r="I152" s="317">
        <v>32740</v>
      </c>
      <c r="J152" s="317">
        <v>33230</v>
      </c>
      <c r="K152" s="317">
        <v>33360</v>
      </c>
      <c r="L152" s="317">
        <v>32410</v>
      </c>
      <c r="M152" s="317">
        <v>31360</v>
      </c>
      <c r="N152" s="317">
        <v>31020</v>
      </c>
      <c r="O152" s="317">
        <v>31070</v>
      </c>
      <c r="P152" s="317">
        <v>31280</v>
      </c>
      <c r="Q152" s="317">
        <v>31730</v>
      </c>
      <c r="R152" s="317">
        <v>31420</v>
      </c>
      <c r="S152" s="317">
        <v>32360</v>
      </c>
      <c r="T152" s="317">
        <v>31780</v>
      </c>
      <c r="U152" s="317">
        <v>30380</v>
      </c>
      <c r="V152" s="317">
        <v>29220</v>
      </c>
      <c r="W152" s="317">
        <v>28050</v>
      </c>
      <c r="X152" s="317">
        <v>26800</v>
      </c>
      <c r="Y152" s="317">
        <v>26810</v>
      </c>
      <c r="Z152" s="317">
        <v>26580</v>
      </c>
      <c r="AA152" s="317">
        <v>27610</v>
      </c>
      <c r="AB152" s="317">
        <v>27990</v>
      </c>
      <c r="AC152" s="317">
        <v>28510</v>
      </c>
      <c r="AD152" s="317">
        <v>29330</v>
      </c>
      <c r="AE152" s="317">
        <v>30280</v>
      </c>
      <c r="AF152" s="317">
        <v>30660</v>
      </c>
      <c r="AG152" s="317">
        <v>31100</v>
      </c>
      <c r="AH152" s="317">
        <v>31630</v>
      </c>
      <c r="AI152" s="317">
        <v>31650</v>
      </c>
      <c r="AJ152" s="317">
        <v>33110</v>
      </c>
      <c r="AK152" s="317">
        <v>34030</v>
      </c>
      <c r="AL152" s="317">
        <v>35670</v>
      </c>
      <c r="AM152" s="317">
        <v>36120</v>
      </c>
      <c r="AN152" s="317">
        <v>35140</v>
      </c>
      <c r="AO152" s="317">
        <v>35110</v>
      </c>
      <c r="AP152" s="317">
        <v>34610</v>
      </c>
      <c r="AQ152" s="317">
        <v>34700</v>
      </c>
      <c r="AR152" s="317">
        <v>34120</v>
      </c>
      <c r="AS152" s="317">
        <v>33640</v>
      </c>
      <c r="AT152" s="317">
        <v>33460</v>
      </c>
      <c r="AU152" s="317">
        <v>32860</v>
      </c>
      <c r="AV152" s="317">
        <v>33860</v>
      </c>
      <c r="AW152" s="317">
        <v>33140</v>
      </c>
      <c r="AX152" s="317">
        <v>32220</v>
      </c>
      <c r="AY152" s="317">
        <v>32080</v>
      </c>
      <c r="AZ152" s="317">
        <v>33030</v>
      </c>
      <c r="BA152" s="317">
        <v>32770</v>
      </c>
      <c r="BB152" s="317">
        <v>33540</v>
      </c>
      <c r="BC152" s="317">
        <v>34690</v>
      </c>
      <c r="BD152" s="317">
        <v>35560</v>
      </c>
      <c r="BE152" s="317">
        <v>34810</v>
      </c>
      <c r="BF152" s="317">
        <v>35470</v>
      </c>
    </row>
    <row r="153" spans="1:58" x14ac:dyDescent="0.2">
      <c r="A153" s="318" t="s">
        <v>57</v>
      </c>
      <c r="B153" s="315"/>
      <c r="C153" s="317">
        <v>26780</v>
      </c>
      <c r="D153" s="317">
        <v>27410</v>
      </c>
      <c r="E153" s="317">
        <v>28320</v>
      </c>
      <c r="F153" s="317">
        <v>28840</v>
      </c>
      <c r="G153" s="317">
        <v>29510</v>
      </c>
      <c r="H153" s="317">
        <v>30760</v>
      </c>
      <c r="I153" s="317">
        <v>31130</v>
      </c>
      <c r="J153" s="317">
        <v>32560</v>
      </c>
      <c r="K153" s="317">
        <v>33080</v>
      </c>
      <c r="L153" s="317">
        <v>33230</v>
      </c>
      <c r="M153" s="317">
        <v>32280</v>
      </c>
      <c r="N153" s="317">
        <v>31240</v>
      </c>
      <c r="O153" s="317">
        <v>30900</v>
      </c>
      <c r="P153" s="317">
        <v>30950</v>
      </c>
      <c r="Q153" s="317">
        <v>31160</v>
      </c>
      <c r="R153" s="317">
        <v>31610</v>
      </c>
      <c r="S153" s="317">
        <v>31310</v>
      </c>
      <c r="T153" s="317">
        <v>32240</v>
      </c>
      <c r="U153" s="317">
        <v>31670</v>
      </c>
      <c r="V153" s="317">
        <v>30270</v>
      </c>
      <c r="W153" s="317">
        <v>29110</v>
      </c>
      <c r="X153" s="317">
        <v>27950</v>
      </c>
      <c r="Y153" s="317">
        <v>26700</v>
      </c>
      <c r="Z153" s="317">
        <v>26710</v>
      </c>
      <c r="AA153" s="317">
        <v>26480</v>
      </c>
      <c r="AB153" s="317">
        <v>27510</v>
      </c>
      <c r="AC153" s="317">
        <v>27890</v>
      </c>
      <c r="AD153" s="317">
        <v>28410</v>
      </c>
      <c r="AE153" s="317">
        <v>29240</v>
      </c>
      <c r="AF153" s="317">
        <v>30190</v>
      </c>
      <c r="AG153" s="317">
        <v>30560</v>
      </c>
      <c r="AH153" s="317">
        <v>31000</v>
      </c>
      <c r="AI153" s="317">
        <v>31540</v>
      </c>
      <c r="AJ153" s="317">
        <v>31550</v>
      </c>
      <c r="AK153" s="317">
        <v>33010</v>
      </c>
      <c r="AL153" s="317">
        <v>33930</v>
      </c>
      <c r="AM153" s="317">
        <v>35570</v>
      </c>
      <c r="AN153" s="317">
        <v>36020</v>
      </c>
      <c r="AO153" s="317">
        <v>35050</v>
      </c>
      <c r="AP153" s="317">
        <v>35010</v>
      </c>
      <c r="AQ153" s="317">
        <v>34510</v>
      </c>
      <c r="AR153" s="317">
        <v>34610</v>
      </c>
      <c r="AS153" s="317">
        <v>34030</v>
      </c>
      <c r="AT153" s="317">
        <v>33560</v>
      </c>
      <c r="AU153" s="317">
        <v>33370</v>
      </c>
      <c r="AV153" s="317">
        <v>32770</v>
      </c>
      <c r="AW153" s="317">
        <v>33780</v>
      </c>
      <c r="AX153" s="317">
        <v>33050</v>
      </c>
      <c r="AY153" s="317">
        <v>32140</v>
      </c>
      <c r="AZ153" s="317">
        <v>31990</v>
      </c>
      <c r="BA153" s="317">
        <v>32940</v>
      </c>
      <c r="BB153" s="317">
        <v>32690</v>
      </c>
      <c r="BC153" s="317">
        <v>33460</v>
      </c>
      <c r="BD153" s="317">
        <v>34600</v>
      </c>
      <c r="BE153" s="317">
        <v>35470</v>
      </c>
      <c r="BF153" s="317">
        <v>34730</v>
      </c>
    </row>
    <row r="154" spans="1:58" x14ac:dyDescent="0.2">
      <c r="A154" s="318" t="s">
        <v>58</v>
      </c>
      <c r="B154" s="315"/>
      <c r="C154" s="317">
        <v>25610</v>
      </c>
      <c r="D154" s="317">
        <v>26650</v>
      </c>
      <c r="E154" s="317">
        <v>27270</v>
      </c>
      <c r="F154" s="317">
        <v>28200</v>
      </c>
      <c r="G154" s="317">
        <v>28790</v>
      </c>
      <c r="H154" s="317">
        <v>29350</v>
      </c>
      <c r="I154" s="317">
        <v>30600</v>
      </c>
      <c r="J154" s="317">
        <v>30980</v>
      </c>
      <c r="K154" s="317">
        <v>32430</v>
      </c>
      <c r="L154" s="317">
        <v>32960</v>
      </c>
      <c r="M154" s="317">
        <v>33110</v>
      </c>
      <c r="N154" s="317">
        <v>32170</v>
      </c>
      <c r="O154" s="317">
        <v>31130</v>
      </c>
      <c r="P154" s="317">
        <v>30790</v>
      </c>
      <c r="Q154" s="317">
        <v>30840</v>
      </c>
      <c r="R154" s="317">
        <v>31060</v>
      </c>
      <c r="S154" s="317">
        <v>31510</v>
      </c>
      <c r="T154" s="317">
        <v>31210</v>
      </c>
      <c r="U154" s="317">
        <v>32140</v>
      </c>
      <c r="V154" s="317">
        <v>31570</v>
      </c>
      <c r="W154" s="317">
        <v>30180</v>
      </c>
      <c r="X154" s="317">
        <v>29020</v>
      </c>
      <c r="Y154" s="317">
        <v>27860</v>
      </c>
      <c r="Z154" s="317">
        <v>26610</v>
      </c>
      <c r="AA154" s="317">
        <v>26630</v>
      </c>
      <c r="AB154" s="317">
        <v>26400</v>
      </c>
      <c r="AC154" s="317">
        <v>27430</v>
      </c>
      <c r="AD154" s="317">
        <v>27810</v>
      </c>
      <c r="AE154" s="317">
        <v>28330</v>
      </c>
      <c r="AF154" s="317">
        <v>29160</v>
      </c>
      <c r="AG154" s="317">
        <v>30110</v>
      </c>
      <c r="AH154" s="317">
        <v>30480</v>
      </c>
      <c r="AI154" s="317">
        <v>30920</v>
      </c>
      <c r="AJ154" s="317">
        <v>31460</v>
      </c>
      <c r="AK154" s="317">
        <v>31480</v>
      </c>
      <c r="AL154" s="317">
        <v>32940</v>
      </c>
      <c r="AM154" s="317">
        <v>33850</v>
      </c>
      <c r="AN154" s="317">
        <v>35490</v>
      </c>
      <c r="AO154" s="317">
        <v>35940</v>
      </c>
      <c r="AP154" s="317">
        <v>34970</v>
      </c>
      <c r="AQ154" s="317">
        <v>34940</v>
      </c>
      <c r="AR154" s="317">
        <v>34440</v>
      </c>
      <c r="AS154" s="317">
        <v>34530</v>
      </c>
      <c r="AT154" s="317">
        <v>33960</v>
      </c>
      <c r="AU154" s="317">
        <v>33480</v>
      </c>
      <c r="AV154" s="317">
        <v>33300</v>
      </c>
      <c r="AW154" s="317">
        <v>32700</v>
      </c>
      <c r="AX154" s="317">
        <v>33710</v>
      </c>
      <c r="AY154" s="317">
        <v>32990</v>
      </c>
      <c r="AZ154" s="317">
        <v>32070</v>
      </c>
      <c r="BA154" s="317">
        <v>31930</v>
      </c>
      <c r="BB154" s="317">
        <v>32880</v>
      </c>
      <c r="BC154" s="317">
        <v>32630</v>
      </c>
      <c r="BD154" s="317">
        <v>33400</v>
      </c>
      <c r="BE154" s="317">
        <v>34540</v>
      </c>
      <c r="BF154" s="317">
        <v>35410</v>
      </c>
    </row>
    <row r="155" spans="1:58" x14ac:dyDescent="0.2">
      <c r="A155" s="318" t="s">
        <v>59</v>
      </c>
      <c r="B155" s="315"/>
      <c r="C155" s="317">
        <v>25210</v>
      </c>
      <c r="D155" s="317">
        <v>25480</v>
      </c>
      <c r="E155" s="317">
        <v>26510</v>
      </c>
      <c r="F155" s="317">
        <v>27150</v>
      </c>
      <c r="G155" s="317">
        <v>28130</v>
      </c>
      <c r="H155" s="317">
        <v>28650</v>
      </c>
      <c r="I155" s="317">
        <v>29200</v>
      </c>
      <c r="J155" s="317">
        <v>30460</v>
      </c>
      <c r="K155" s="317">
        <v>30860</v>
      </c>
      <c r="L155" s="317">
        <v>32330</v>
      </c>
      <c r="M155" s="317">
        <v>32860</v>
      </c>
      <c r="N155" s="317">
        <v>33010</v>
      </c>
      <c r="O155" s="317">
        <v>32070</v>
      </c>
      <c r="P155" s="317">
        <v>31040</v>
      </c>
      <c r="Q155" s="317">
        <v>30700</v>
      </c>
      <c r="R155" s="317">
        <v>30760</v>
      </c>
      <c r="S155" s="317">
        <v>30970</v>
      </c>
      <c r="T155" s="317">
        <v>31420</v>
      </c>
      <c r="U155" s="317">
        <v>31130</v>
      </c>
      <c r="V155" s="317">
        <v>32060</v>
      </c>
      <c r="W155" s="317">
        <v>31490</v>
      </c>
      <c r="X155" s="317">
        <v>30100</v>
      </c>
      <c r="Y155" s="317">
        <v>28950</v>
      </c>
      <c r="Z155" s="317">
        <v>27790</v>
      </c>
      <c r="AA155" s="317">
        <v>26550</v>
      </c>
      <c r="AB155" s="317">
        <v>26570</v>
      </c>
      <c r="AC155" s="317">
        <v>26340</v>
      </c>
      <c r="AD155" s="317">
        <v>27360</v>
      </c>
      <c r="AE155" s="317">
        <v>27750</v>
      </c>
      <c r="AF155" s="317">
        <v>28270</v>
      </c>
      <c r="AG155" s="317">
        <v>29090</v>
      </c>
      <c r="AH155" s="317">
        <v>30040</v>
      </c>
      <c r="AI155" s="317">
        <v>30420</v>
      </c>
      <c r="AJ155" s="317">
        <v>30860</v>
      </c>
      <c r="AK155" s="317">
        <v>31400</v>
      </c>
      <c r="AL155" s="317">
        <v>31420</v>
      </c>
      <c r="AM155" s="317">
        <v>32880</v>
      </c>
      <c r="AN155" s="317">
        <v>33790</v>
      </c>
      <c r="AO155" s="317">
        <v>35430</v>
      </c>
      <c r="AP155" s="317">
        <v>35880</v>
      </c>
      <c r="AQ155" s="317">
        <v>34910</v>
      </c>
      <c r="AR155" s="317">
        <v>34880</v>
      </c>
      <c r="AS155" s="317">
        <v>34380</v>
      </c>
      <c r="AT155" s="317">
        <v>34480</v>
      </c>
      <c r="AU155" s="317">
        <v>33900</v>
      </c>
      <c r="AV155" s="317">
        <v>33430</v>
      </c>
      <c r="AW155" s="317">
        <v>33250</v>
      </c>
      <c r="AX155" s="317">
        <v>32650</v>
      </c>
      <c r="AY155" s="317">
        <v>33660</v>
      </c>
      <c r="AZ155" s="317">
        <v>32940</v>
      </c>
      <c r="BA155" s="317">
        <v>32020</v>
      </c>
      <c r="BB155" s="317">
        <v>31880</v>
      </c>
      <c r="BC155" s="317">
        <v>32830</v>
      </c>
      <c r="BD155" s="317">
        <v>32580</v>
      </c>
      <c r="BE155" s="317">
        <v>33350</v>
      </c>
      <c r="BF155" s="317">
        <v>34490</v>
      </c>
    </row>
    <row r="156" spans="1:58" x14ac:dyDescent="0.2">
      <c r="A156" s="318" t="s">
        <v>60</v>
      </c>
      <c r="B156" s="315"/>
      <c r="C156" s="317">
        <v>24770</v>
      </c>
      <c r="D156" s="317">
        <v>25080</v>
      </c>
      <c r="E156" s="317">
        <v>25390</v>
      </c>
      <c r="F156" s="317">
        <v>26410</v>
      </c>
      <c r="G156" s="317">
        <v>27090</v>
      </c>
      <c r="H156" s="317">
        <v>27990</v>
      </c>
      <c r="I156" s="317">
        <v>28520</v>
      </c>
      <c r="J156" s="317">
        <v>29080</v>
      </c>
      <c r="K156" s="317">
        <v>30350</v>
      </c>
      <c r="L156" s="317">
        <v>30770</v>
      </c>
      <c r="M156" s="317">
        <v>32240</v>
      </c>
      <c r="N156" s="317">
        <v>32770</v>
      </c>
      <c r="O156" s="317">
        <v>32930</v>
      </c>
      <c r="P156" s="317">
        <v>31990</v>
      </c>
      <c r="Q156" s="317">
        <v>30960</v>
      </c>
      <c r="R156" s="317">
        <v>30630</v>
      </c>
      <c r="S156" s="317">
        <v>30690</v>
      </c>
      <c r="T156" s="317">
        <v>30900</v>
      </c>
      <c r="U156" s="317">
        <v>31360</v>
      </c>
      <c r="V156" s="317">
        <v>31060</v>
      </c>
      <c r="W156" s="317">
        <v>32000</v>
      </c>
      <c r="X156" s="317">
        <v>31430</v>
      </c>
      <c r="Y156" s="317">
        <v>30040</v>
      </c>
      <c r="Z156" s="317">
        <v>28890</v>
      </c>
      <c r="AA156" s="317">
        <v>27740</v>
      </c>
      <c r="AB156" s="317">
        <v>26500</v>
      </c>
      <c r="AC156" s="317">
        <v>26520</v>
      </c>
      <c r="AD156" s="317">
        <v>26290</v>
      </c>
      <c r="AE156" s="317">
        <v>27320</v>
      </c>
      <c r="AF156" s="317">
        <v>27700</v>
      </c>
      <c r="AG156" s="317">
        <v>28220</v>
      </c>
      <c r="AH156" s="317">
        <v>29050</v>
      </c>
      <c r="AI156" s="317">
        <v>30000</v>
      </c>
      <c r="AJ156" s="317">
        <v>30380</v>
      </c>
      <c r="AK156" s="317">
        <v>30820</v>
      </c>
      <c r="AL156" s="317">
        <v>31350</v>
      </c>
      <c r="AM156" s="317">
        <v>31370</v>
      </c>
      <c r="AN156" s="317">
        <v>32830</v>
      </c>
      <c r="AO156" s="317">
        <v>33750</v>
      </c>
      <c r="AP156" s="317">
        <v>35380</v>
      </c>
      <c r="AQ156" s="317">
        <v>35840</v>
      </c>
      <c r="AR156" s="317">
        <v>34870</v>
      </c>
      <c r="AS156" s="317">
        <v>34840</v>
      </c>
      <c r="AT156" s="317">
        <v>34340</v>
      </c>
      <c r="AU156" s="317">
        <v>34440</v>
      </c>
      <c r="AV156" s="317">
        <v>33870</v>
      </c>
      <c r="AW156" s="317">
        <v>33400</v>
      </c>
      <c r="AX156" s="317">
        <v>33220</v>
      </c>
      <c r="AY156" s="317">
        <v>32620</v>
      </c>
      <c r="AZ156" s="317">
        <v>33620</v>
      </c>
      <c r="BA156" s="317">
        <v>32910</v>
      </c>
      <c r="BB156" s="317">
        <v>31990</v>
      </c>
      <c r="BC156" s="317">
        <v>31850</v>
      </c>
      <c r="BD156" s="317">
        <v>32800</v>
      </c>
      <c r="BE156" s="317">
        <v>32550</v>
      </c>
      <c r="BF156" s="317">
        <v>33320</v>
      </c>
    </row>
    <row r="157" spans="1:58" x14ac:dyDescent="0.2">
      <c r="A157" s="318" t="s">
        <v>61</v>
      </c>
      <c r="B157" s="315"/>
      <c r="C157" s="317">
        <v>24930</v>
      </c>
      <c r="D157" s="317">
        <v>24700</v>
      </c>
      <c r="E157" s="317">
        <v>24950</v>
      </c>
      <c r="F157" s="317">
        <v>25330</v>
      </c>
      <c r="G157" s="317">
        <v>26340</v>
      </c>
      <c r="H157" s="317">
        <v>27010</v>
      </c>
      <c r="I157" s="317">
        <v>27870</v>
      </c>
      <c r="J157" s="317">
        <v>28410</v>
      </c>
      <c r="K157" s="317">
        <v>28990</v>
      </c>
      <c r="L157" s="317">
        <v>30280</v>
      </c>
      <c r="M157" s="317">
        <v>30700</v>
      </c>
      <c r="N157" s="317">
        <v>32160</v>
      </c>
      <c r="O157" s="317">
        <v>32700</v>
      </c>
      <c r="P157" s="317">
        <v>32860</v>
      </c>
      <c r="Q157" s="317">
        <v>31930</v>
      </c>
      <c r="R157" s="317">
        <v>30900</v>
      </c>
      <c r="S157" s="317">
        <v>30570</v>
      </c>
      <c r="T157" s="317">
        <v>30630</v>
      </c>
      <c r="U157" s="317">
        <v>30850</v>
      </c>
      <c r="V157" s="317">
        <v>31300</v>
      </c>
      <c r="W157" s="317">
        <v>31010</v>
      </c>
      <c r="X157" s="317">
        <v>31940</v>
      </c>
      <c r="Y157" s="317">
        <v>31380</v>
      </c>
      <c r="Z157" s="317">
        <v>30000</v>
      </c>
      <c r="AA157" s="317">
        <v>28850</v>
      </c>
      <c r="AB157" s="317">
        <v>27700</v>
      </c>
      <c r="AC157" s="317">
        <v>26470</v>
      </c>
      <c r="AD157" s="317">
        <v>26490</v>
      </c>
      <c r="AE157" s="317">
        <v>26260</v>
      </c>
      <c r="AF157" s="317">
        <v>27290</v>
      </c>
      <c r="AG157" s="317">
        <v>27670</v>
      </c>
      <c r="AH157" s="317">
        <v>28190</v>
      </c>
      <c r="AI157" s="317">
        <v>29020</v>
      </c>
      <c r="AJ157" s="317">
        <v>29970</v>
      </c>
      <c r="AK157" s="317">
        <v>30350</v>
      </c>
      <c r="AL157" s="317">
        <v>30790</v>
      </c>
      <c r="AM157" s="317">
        <v>31320</v>
      </c>
      <c r="AN157" s="317">
        <v>31350</v>
      </c>
      <c r="AO157" s="317">
        <v>32800</v>
      </c>
      <c r="AP157" s="317">
        <v>33720</v>
      </c>
      <c r="AQ157" s="317">
        <v>35360</v>
      </c>
      <c r="AR157" s="317">
        <v>35810</v>
      </c>
      <c r="AS157" s="317">
        <v>34840</v>
      </c>
      <c r="AT157" s="317">
        <v>34820</v>
      </c>
      <c r="AU157" s="317">
        <v>34320</v>
      </c>
      <c r="AV157" s="317">
        <v>34420</v>
      </c>
      <c r="AW157" s="317">
        <v>33850</v>
      </c>
      <c r="AX157" s="317">
        <v>33380</v>
      </c>
      <c r="AY157" s="317">
        <v>33200</v>
      </c>
      <c r="AZ157" s="317">
        <v>32600</v>
      </c>
      <c r="BA157" s="317">
        <v>33610</v>
      </c>
      <c r="BB157" s="317">
        <v>32890</v>
      </c>
      <c r="BC157" s="317">
        <v>31980</v>
      </c>
      <c r="BD157" s="317">
        <v>31840</v>
      </c>
      <c r="BE157" s="317">
        <v>32790</v>
      </c>
      <c r="BF157" s="317">
        <v>32540</v>
      </c>
    </row>
    <row r="158" spans="1:58" x14ac:dyDescent="0.2">
      <c r="A158" s="318" t="s">
        <v>62</v>
      </c>
      <c r="B158" s="315"/>
      <c r="C158" s="317">
        <v>24090</v>
      </c>
      <c r="D158" s="317">
        <v>24820</v>
      </c>
      <c r="E158" s="317">
        <v>24600</v>
      </c>
      <c r="F158" s="317">
        <v>24850</v>
      </c>
      <c r="G158" s="317">
        <v>25290</v>
      </c>
      <c r="H158" s="317">
        <v>26260</v>
      </c>
      <c r="I158" s="317">
        <v>26900</v>
      </c>
      <c r="J158" s="317">
        <v>27770</v>
      </c>
      <c r="K158" s="317">
        <v>28330</v>
      </c>
      <c r="L158" s="317">
        <v>28920</v>
      </c>
      <c r="M158" s="317">
        <v>30210</v>
      </c>
      <c r="N158" s="317">
        <v>30630</v>
      </c>
      <c r="O158" s="317">
        <v>32100</v>
      </c>
      <c r="P158" s="317">
        <v>32630</v>
      </c>
      <c r="Q158" s="317">
        <v>32800</v>
      </c>
      <c r="R158" s="317">
        <v>31870</v>
      </c>
      <c r="S158" s="317">
        <v>30850</v>
      </c>
      <c r="T158" s="317">
        <v>30520</v>
      </c>
      <c r="U158" s="317">
        <v>30580</v>
      </c>
      <c r="V158" s="317">
        <v>30800</v>
      </c>
      <c r="W158" s="317">
        <v>31260</v>
      </c>
      <c r="X158" s="317">
        <v>30970</v>
      </c>
      <c r="Y158" s="317">
        <v>31900</v>
      </c>
      <c r="Z158" s="317">
        <v>31340</v>
      </c>
      <c r="AA158" s="317">
        <v>29960</v>
      </c>
      <c r="AB158" s="317">
        <v>28820</v>
      </c>
      <c r="AC158" s="317">
        <v>27680</v>
      </c>
      <c r="AD158" s="317">
        <v>26450</v>
      </c>
      <c r="AE158" s="317">
        <v>26470</v>
      </c>
      <c r="AF158" s="317">
        <v>26240</v>
      </c>
      <c r="AG158" s="317">
        <v>27270</v>
      </c>
      <c r="AH158" s="317">
        <v>27650</v>
      </c>
      <c r="AI158" s="317">
        <v>28170</v>
      </c>
      <c r="AJ158" s="317">
        <v>29000</v>
      </c>
      <c r="AK158" s="317">
        <v>29950</v>
      </c>
      <c r="AL158" s="317">
        <v>30330</v>
      </c>
      <c r="AM158" s="317">
        <v>30770</v>
      </c>
      <c r="AN158" s="317">
        <v>31310</v>
      </c>
      <c r="AO158" s="317">
        <v>31330</v>
      </c>
      <c r="AP158" s="317">
        <v>32790</v>
      </c>
      <c r="AQ158" s="317">
        <v>33700</v>
      </c>
      <c r="AR158" s="317">
        <v>35340</v>
      </c>
      <c r="AS158" s="317">
        <v>35800</v>
      </c>
      <c r="AT158" s="317">
        <v>34830</v>
      </c>
      <c r="AU158" s="317">
        <v>34800</v>
      </c>
      <c r="AV158" s="317">
        <v>34310</v>
      </c>
      <c r="AW158" s="317">
        <v>34410</v>
      </c>
      <c r="AX158" s="317">
        <v>33840</v>
      </c>
      <c r="AY158" s="317">
        <v>33370</v>
      </c>
      <c r="AZ158" s="317">
        <v>33200</v>
      </c>
      <c r="BA158" s="317">
        <v>32600</v>
      </c>
      <c r="BB158" s="317">
        <v>33600</v>
      </c>
      <c r="BC158" s="317">
        <v>32890</v>
      </c>
      <c r="BD158" s="317">
        <v>31980</v>
      </c>
      <c r="BE158" s="317">
        <v>31840</v>
      </c>
      <c r="BF158" s="317">
        <v>32790</v>
      </c>
    </row>
    <row r="159" spans="1:58" x14ac:dyDescent="0.2">
      <c r="A159" s="318" t="s">
        <v>63</v>
      </c>
      <c r="B159" s="315"/>
      <c r="C159" s="317">
        <v>24480</v>
      </c>
      <c r="D159" s="317">
        <v>24010</v>
      </c>
      <c r="E159" s="317">
        <v>24700</v>
      </c>
      <c r="F159" s="317">
        <v>24480</v>
      </c>
      <c r="G159" s="317">
        <v>24800</v>
      </c>
      <c r="H159" s="317">
        <v>25210</v>
      </c>
      <c r="I159" s="317">
        <v>26160</v>
      </c>
      <c r="J159" s="317">
        <v>26810</v>
      </c>
      <c r="K159" s="317">
        <v>27700</v>
      </c>
      <c r="L159" s="317">
        <v>28270</v>
      </c>
      <c r="M159" s="317">
        <v>28860</v>
      </c>
      <c r="N159" s="317">
        <v>30150</v>
      </c>
      <c r="O159" s="317">
        <v>30580</v>
      </c>
      <c r="P159" s="317">
        <v>32040</v>
      </c>
      <c r="Q159" s="317">
        <v>32580</v>
      </c>
      <c r="R159" s="317">
        <v>32740</v>
      </c>
      <c r="S159" s="317">
        <v>31820</v>
      </c>
      <c r="T159" s="317">
        <v>30800</v>
      </c>
      <c r="U159" s="317">
        <v>30480</v>
      </c>
      <c r="V159" s="317">
        <v>30540</v>
      </c>
      <c r="W159" s="317">
        <v>30760</v>
      </c>
      <c r="X159" s="317">
        <v>31220</v>
      </c>
      <c r="Y159" s="317">
        <v>30930</v>
      </c>
      <c r="Z159" s="317">
        <v>31870</v>
      </c>
      <c r="AA159" s="317">
        <v>31310</v>
      </c>
      <c r="AB159" s="317">
        <v>29940</v>
      </c>
      <c r="AC159" s="317">
        <v>28800</v>
      </c>
      <c r="AD159" s="317">
        <v>27660</v>
      </c>
      <c r="AE159" s="317">
        <v>26430</v>
      </c>
      <c r="AF159" s="317">
        <v>26460</v>
      </c>
      <c r="AG159" s="317">
        <v>26230</v>
      </c>
      <c r="AH159" s="317">
        <v>27260</v>
      </c>
      <c r="AI159" s="317">
        <v>27640</v>
      </c>
      <c r="AJ159" s="317">
        <v>28160</v>
      </c>
      <c r="AK159" s="317">
        <v>28990</v>
      </c>
      <c r="AL159" s="317">
        <v>29940</v>
      </c>
      <c r="AM159" s="317">
        <v>30320</v>
      </c>
      <c r="AN159" s="317">
        <v>30760</v>
      </c>
      <c r="AO159" s="317">
        <v>31300</v>
      </c>
      <c r="AP159" s="317">
        <v>31320</v>
      </c>
      <c r="AQ159" s="317">
        <v>32780</v>
      </c>
      <c r="AR159" s="317">
        <v>33700</v>
      </c>
      <c r="AS159" s="317">
        <v>35330</v>
      </c>
      <c r="AT159" s="317">
        <v>35790</v>
      </c>
      <c r="AU159" s="317">
        <v>34830</v>
      </c>
      <c r="AV159" s="317">
        <v>34800</v>
      </c>
      <c r="AW159" s="317">
        <v>34310</v>
      </c>
      <c r="AX159" s="317">
        <v>34410</v>
      </c>
      <c r="AY159" s="317">
        <v>33840</v>
      </c>
      <c r="AZ159" s="317">
        <v>33370</v>
      </c>
      <c r="BA159" s="317">
        <v>33200</v>
      </c>
      <c r="BB159" s="317">
        <v>32600</v>
      </c>
      <c r="BC159" s="317">
        <v>33610</v>
      </c>
      <c r="BD159" s="317">
        <v>32900</v>
      </c>
      <c r="BE159" s="317">
        <v>31990</v>
      </c>
      <c r="BF159" s="317">
        <v>31850</v>
      </c>
    </row>
    <row r="160" spans="1:58" x14ac:dyDescent="0.2">
      <c r="A160" s="318" t="s">
        <v>64</v>
      </c>
      <c r="B160" s="315"/>
      <c r="C160" s="317">
        <v>24660</v>
      </c>
      <c r="D160" s="317">
        <v>24420</v>
      </c>
      <c r="E160" s="317">
        <v>23890</v>
      </c>
      <c r="F160" s="317">
        <v>24610</v>
      </c>
      <c r="G160" s="317">
        <v>24390</v>
      </c>
      <c r="H160" s="317">
        <v>24740</v>
      </c>
      <c r="I160" s="317">
        <v>25110</v>
      </c>
      <c r="J160" s="317">
        <v>26070</v>
      </c>
      <c r="K160" s="317">
        <v>26740</v>
      </c>
      <c r="L160" s="317">
        <v>27640</v>
      </c>
      <c r="M160" s="317">
        <v>28220</v>
      </c>
      <c r="N160" s="317">
        <v>28810</v>
      </c>
      <c r="O160" s="317">
        <v>30100</v>
      </c>
      <c r="P160" s="317">
        <v>30520</v>
      </c>
      <c r="Q160" s="317">
        <v>31980</v>
      </c>
      <c r="R160" s="317">
        <v>32520</v>
      </c>
      <c r="S160" s="317">
        <v>32690</v>
      </c>
      <c r="T160" s="317">
        <v>31770</v>
      </c>
      <c r="U160" s="317">
        <v>30760</v>
      </c>
      <c r="V160" s="317">
        <v>30440</v>
      </c>
      <c r="W160" s="317">
        <v>30510</v>
      </c>
      <c r="X160" s="317">
        <v>30730</v>
      </c>
      <c r="Y160" s="317">
        <v>31190</v>
      </c>
      <c r="Z160" s="317">
        <v>30900</v>
      </c>
      <c r="AA160" s="317">
        <v>31840</v>
      </c>
      <c r="AB160" s="317">
        <v>31280</v>
      </c>
      <c r="AC160" s="317">
        <v>29920</v>
      </c>
      <c r="AD160" s="317">
        <v>28790</v>
      </c>
      <c r="AE160" s="317">
        <v>27650</v>
      </c>
      <c r="AF160" s="317">
        <v>26430</v>
      </c>
      <c r="AG160" s="317">
        <v>26450</v>
      </c>
      <c r="AH160" s="317">
        <v>26230</v>
      </c>
      <c r="AI160" s="317">
        <v>27250</v>
      </c>
      <c r="AJ160" s="317">
        <v>27640</v>
      </c>
      <c r="AK160" s="317">
        <v>28160</v>
      </c>
      <c r="AL160" s="317">
        <v>28990</v>
      </c>
      <c r="AM160" s="317">
        <v>29940</v>
      </c>
      <c r="AN160" s="317">
        <v>30320</v>
      </c>
      <c r="AO160" s="317">
        <v>30760</v>
      </c>
      <c r="AP160" s="317">
        <v>31300</v>
      </c>
      <c r="AQ160" s="317">
        <v>31320</v>
      </c>
      <c r="AR160" s="317">
        <v>32780</v>
      </c>
      <c r="AS160" s="317">
        <v>33700</v>
      </c>
      <c r="AT160" s="317">
        <v>35330</v>
      </c>
      <c r="AU160" s="317">
        <v>35790</v>
      </c>
      <c r="AV160" s="317">
        <v>34830</v>
      </c>
      <c r="AW160" s="317">
        <v>34800</v>
      </c>
      <c r="AX160" s="317">
        <v>34310</v>
      </c>
      <c r="AY160" s="317">
        <v>34420</v>
      </c>
      <c r="AZ160" s="317">
        <v>33850</v>
      </c>
      <c r="BA160" s="317">
        <v>33380</v>
      </c>
      <c r="BB160" s="317">
        <v>33210</v>
      </c>
      <c r="BC160" s="317">
        <v>32620</v>
      </c>
      <c r="BD160" s="317">
        <v>33620</v>
      </c>
      <c r="BE160" s="317">
        <v>32910</v>
      </c>
      <c r="BF160" s="317">
        <v>32010</v>
      </c>
    </row>
    <row r="161" spans="1:58" x14ac:dyDescent="0.2">
      <c r="A161" s="318" t="s">
        <v>65</v>
      </c>
      <c r="B161" s="315"/>
      <c r="C161" s="317">
        <v>20800</v>
      </c>
      <c r="D161" s="317">
        <v>24590</v>
      </c>
      <c r="E161" s="317">
        <v>24360</v>
      </c>
      <c r="F161" s="317">
        <v>23780</v>
      </c>
      <c r="G161" s="317">
        <v>24510</v>
      </c>
      <c r="H161" s="317">
        <v>24360</v>
      </c>
      <c r="I161" s="317">
        <v>24650</v>
      </c>
      <c r="J161" s="317">
        <v>25030</v>
      </c>
      <c r="K161" s="317">
        <v>26010</v>
      </c>
      <c r="L161" s="317">
        <v>26690</v>
      </c>
      <c r="M161" s="317">
        <v>27590</v>
      </c>
      <c r="N161" s="317">
        <v>28170</v>
      </c>
      <c r="O161" s="317">
        <v>28760</v>
      </c>
      <c r="P161" s="317">
        <v>30050</v>
      </c>
      <c r="Q161" s="317">
        <v>30480</v>
      </c>
      <c r="R161" s="317">
        <v>31930</v>
      </c>
      <c r="S161" s="317">
        <v>32470</v>
      </c>
      <c r="T161" s="317">
        <v>32650</v>
      </c>
      <c r="U161" s="317">
        <v>31730</v>
      </c>
      <c r="V161" s="317">
        <v>30730</v>
      </c>
      <c r="W161" s="317">
        <v>30420</v>
      </c>
      <c r="X161" s="317">
        <v>30480</v>
      </c>
      <c r="Y161" s="317">
        <v>30710</v>
      </c>
      <c r="Z161" s="317">
        <v>31170</v>
      </c>
      <c r="AA161" s="317">
        <v>30880</v>
      </c>
      <c r="AB161" s="317">
        <v>31820</v>
      </c>
      <c r="AC161" s="317">
        <v>31270</v>
      </c>
      <c r="AD161" s="317">
        <v>29910</v>
      </c>
      <c r="AE161" s="317">
        <v>28780</v>
      </c>
      <c r="AF161" s="317">
        <v>27650</v>
      </c>
      <c r="AG161" s="317">
        <v>26430</v>
      </c>
      <c r="AH161" s="317">
        <v>26450</v>
      </c>
      <c r="AI161" s="317">
        <v>26230</v>
      </c>
      <c r="AJ161" s="317">
        <v>27260</v>
      </c>
      <c r="AK161" s="317">
        <v>27650</v>
      </c>
      <c r="AL161" s="317">
        <v>28170</v>
      </c>
      <c r="AM161" s="317">
        <v>29000</v>
      </c>
      <c r="AN161" s="317">
        <v>29940</v>
      </c>
      <c r="AO161" s="317">
        <v>30330</v>
      </c>
      <c r="AP161" s="317">
        <v>30770</v>
      </c>
      <c r="AQ161" s="317">
        <v>31310</v>
      </c>
      <c r="AR161" s="317">
        <v>31340</v>
      </c>
      <c r="AS161" s="317">
        <v>32790</v>
      </c>
      <c r="AT161" s="317">
        <v>33710</v>
      </c>
      <c r="AU161" s="317">
        <v>35340</v>
      </c>
      <c r="AV161" s="317">
        <v>35800</v>
      </c>
      <c r="AW161" s="317">
        <v>34840</v>
      </c>
      <c r="AX161" s="317">
        <v>34820</v>
      </c>
      <c r="AY161" s="317">
        <v>34330</v>
      </c>
      <c r="AZ161" s="317">
        <v>34430</v>
      </c>
      <c r="BA161" s="317">
        <v>33870</v>
      </c>
      <c r="BB161" s="317">
        <v>33400</v>
      </c>
      <c r="BC161" s="317">
        <v>33230</v>
      </c>
      <c r="BD161" s="317">
        <v>32640</v>
      </c>
      <c r="BE161" s="317">
        <v>33640</v>
      </c>
      <c r="BF161" s="317">
        <v>32940</v>
      </c>
    </row>
    <row r="162" spans="1:58" x14ac:dyDescent="0.2">
      <c r="A162" s="318" t="s">
        <v>66</v>
      </c>
      <c r="B162" s="315"/>
      <c r="C162" s="317">
        <v>19700</v>
      </c>
      <c r="D162" s="317">
        <v>20730</v>
      </c>
      <c r="E162" s="317">
        <v>24500</v>
      </c>
      <c r="F162" s="317">
        <v>24280</v>
      </c>
      <c r="G162" s="317">
        <v>23700</v>
      </c>
      <c r="H162" s="317">
        <v>24450</v>
      </c>
      <c r="I162" s="317">
        <v>24280</v>
      </c>
      <c r="J162" s="317">
        <v>24580</v>
      </c>
      <c r="K162" s="317">
        <v>24980</v>
      </c>
      <c r="L162" s="317">
        <v>25970</v>
      </c>
      <c r="M162" s="317">
        <v>26650</v>
      </c>
      <c r="N162" s="317">
        <v>27550</v>
      </c>
      <c r="O162" s="317">
        <v>28130</v>
      </c>
      <c r="P162" s="317">
        <v>28720</v>
      </c>
      <c r="Q162" s="317">
        <v>30010</v>
      </c>
      <c r="R162" s="317">
        <v>30440</v>
      </c>
      <c r="S162" s="317">
        <v>31890</v>
      </c>
      <c r="T162" s="317">
        <v>32430</v>
      </c>
      <c r="U162" s="317">
        <v>32610</v>
      </c>
      <c r="V162" s="317">
        <v>31700</v>
      </c>
      <c r="W162" s="317">
        <v>30710</v>
      </c>
      <c r="X162" s="317">
        <v>30390</v>
      </c>
      <c r="Y162" s="317">
        <v>30460</v>
      </c>
      <c r="Z162" s="317">
        <v>30690</v>
      </c>
      <c r="AA162" s="317">
        <v>31150</v>
      </c>
      <c r="AB162" s="317">
        <v>30870</v>
      </c>
      <c r="AC162" s="317">
        <v>31810</v>
      </c>
      <c r="AD162" s="317">
        <v>31260</v>
      </c>
      <c r="AE162" s="317">
        <v>29900</v>
      </c>
      <c r="AF162" s="317">
        <v>28780</v>
      </c>
      <c r="AG162" s="317">
        <v>27650</v>
      </c>
      <c r="AH162" s="317">
        <v>26440</v>
      </c>
      <c r="AI162" s="317">
        <v>26470</v>
      </c>
      <c r="AJ162" s="317">
        <v>26250</v>
      </c>
      <c r="AK162" s="317">
        <v>27270</v>
      </c>
      <c r="AL162" s="317">
        <v>27660</v>
      </c>
      <c r="AM162" s="317">
        <v>28190</v>
      </c>
      <c r="AN162" s="317">
        <v>29010</v>
      </c>
      <c r="AO162" s="317">
        <v>29960</v>
      </c>
      <c r="AP162" s="317">
        <v>30340</v>
      </c>
      <c r="AQ162" s="317">
        <v>30790</v>
      </c>
      <c r="AR162" s="317">
        <v>31330</v>
      </c>
      <c r="AS162" s="317">
        <v>31360</v>
      </c>
      <c r="AT162" s="317">
        <v>32810</v>
      </c>
      <c r="AU162" s="317">
        <v>33730</v>
      </c>
      <c r="AV162" s="317">
        <v>35360</v>
      </c>
      <c r="AW162" s="317">
        <v>35820</v>
      </c>
      <c r="AX162" s="317">
        <v>34860</v>
      </c>
      <c r="AY162" s="317">
        <v>34840</v>
      </c>
      <c r="AZ162" s="317">
        <v>34360</v>
      </c>
      <c r="BA162" s="317">
        <v>34460</v>
      </c>
      <c r="BB162" s="317">
        <v>33900</v>
      </c>
      <c r="BC162" s="317">
        <v>33430</v>
      </c>
      <c r="BD162" s="317">
        <v>33260</v>
      </c>
      <c r="BE162" s="317">
        <v>32670</v>
      </c>
      <c r="BF162" s="317">
        <v>33680</v>
      </c>
    </row>
    <row r="163" spans="1:58" x14ac:dyDescent="0.2">
      <c r="A163" s="318" t="s">
        <v>67</v>
      </c>
      <c r="B163" s="315"/>
      <c r="C163" s="317">
        <v>18680</v>
      </c>
      <c r="D163" s="317">
        <v>19610</v>
      </c>
      <c r="E163" s="317">
        <v>20650</v>
      </c>
      <c r="F163" s="317">
        <v>24400</v>
      </c>
      <c r="G163" s="317">
        <v>24210</v>
      </c>
      <c r="H163" s="317">
        <v>23630</v>
      </c>
      <c r="I163" s="317">
        <v>24370</v>
      </c>
      <c r="J163" s="317">
        <v>24210</v>
      </c>
      <c r="K163" s="317">
        <v>24520</v>
      </c>
      <c r="L163" s="317">
        <v>24940</v>
      </c>
      <c r="M163" s="317">
        <v>25920</v>
      </c>
      <c r="N163" s="317">
        <v>26600</v>
      </c>
      <c r="O163" s="317">
        <v>27510</v>
      </c>
      <c r="P163" s="317">
        <v>28090</v>
      </c>
      <c r="Q163" s="317">
        <v>28680</v>
      </c>
      <c r="R163" s="317">
        <v>29970</v>
      </c>
      <c r="S163" s="317">
        <v>30400</v>
      </c>
      <c r="T163" s="317">
        <v>31850</v>
      </c>
      <c r="U163" s="317">
        <v>32390</v>
      </c>
      <c r="V163" s="317">
        <v>32570</v>
      </c>
      <c r="W163" s="317">
        <v>31670</v>
      </c>
      <c r="X163" s="317">
        <v>30680</v>
      </c>
      <c r="Y163" s="317">
        <v>30370</v>
      </c>
      <c r="Z163" s="317">
        <v>30450</v>
      </c>
      <c r="AA163" s="317">
        <v>30680</v>
      </c>
      <c r="AB163" s="317">
        <v>31140</v>
      </c>
      <c r="AC163" s="317">
        <v>30860</v>
      </c>
      <c r="AD163" s="317">
        <v>31800</v>
      </c>
      <c r="AE163" s="317">
        <v>31250</v>
      </c>
      <c r="AF163" s="317">
        <v>29900</v>
      </c>
      <c r="AG163" s="317">
        <v>28790</v>
      </c>
      <c r="AH163" s="317">
        <v>27660</v>
      </c>
      <c r="AI163" s="317">
        <v>26450</v>
      </c>
      <c r="AJ163" s="317">
        <v>26490</v>
      </c>
      <c r="AK163" s="317">
        <v>26270</v>
      </c>
      <c r="AL163" s="317">
        <v>27290</v>
      </c>
      <c r="AM163" s="317">
        <v>27680</v>
      </c>
      <c r="AN163" s="317">
        <v>28210</v>
      </c>
      <c r="AO163" s="317">
        <v>29030</v>
      </c>
      <c r="AP163" s="317">
        <v>29980</v>
      </c>
      <c r="AQ163" s="317">
        <v>30370</v>
      </c>
      <c r="AR163" s="317">
        <v>30810</v>
      </c>
      <c r="AS163" s="317">
        <v>31350</v>
      </c>
      <c r="AT163" s="317">
        <v>31380</v>
      </c>
      <c r="AU163" s="317">
        <v>32830</v>
      </c>
      <c r="AV163" s="317">
        <v>33750</v>
      </c>
      <c r="AW163" s="317">
        <v>35380</v>
      </c>
      <c r="AX163" s="317">
        <v>35840</v>
      </c>
      <c r="AY163" s="317">
        <v>34890</v>
      </c>
      <c r="AZ163" s="317">
        <v>34870</v>
      </c>
      <c r="BA163" s="317">
        <v>34390</v>
      </c>
      <c r="BB163" s="317">
        <v>34490</v>
      </c>
      <c r="BC163" s="317">
        <v>33930</v>
      </c>
      <c r="BD163" s="317">
        <v>33470</v>
      </c>
      <c r="BE163" s="317">
        <v>33300</v>
      </c>
      <c r="BF163" s="317">
        <v>32710</v>
      </c>
    </row>
    <row r="164" spans="1:58" x14ac:dyDescent="0.2">
      <c r="A164" s="318" t="s">
        <v>68</v>
      </c>
      <c r="B164" s="315"/>
      <c r="C164" s="317">
        <v>16840</v>
      </c>
      <c r="D164" s="317">
        <v>18590</v>
      </c>
      <c r="E164" s="317">
        <v>19520</v>
      </c>
      <c r="F164" s="317">
        <v>20560</v>
      </c>
      <c r="G164" s="317">
        <v>24310</v>
      </c>
      <c r="H164" s="317">
        <v>24120</v>
      </c>
      <c r="I164" s="317">
        <v>23550</v>
      </c>
      <c r="J164" s="317">
        <v>24290</v>
      </c>
      <c r="K164" s="317">
        <v>24150</v>
      </c>
      <c r="L164" s="317">
        <v>24480</v>
      </c>
      <c r="M164" s="317">
        <v>24900</v>
      </c>
      <c r="N164" s="317">
        <v>25880</v>
      </c>
      <c r="O164" s="317">
        <v>26560</v>
      </c>
      <c r="P164" s="317">
        <v>27460</v>
      </c>
      <c r="Q164" s="317">
        <v>28040</v>
      </c>
      <c r="R164" s="317">
        <v>28640</v>
      </c>
      <c r="S164" s="317">
        <v>29920</v>
      </c>
      <c r="T164" s="317">
        <v>30360</v>
      </c>
      <c r="U164" s="317">
        <v>31810</v>
      </c>
      <c r="V164" s="317">
        <v>32350</v>
      </c>
      <c r="W164" s="317">
        <v>32530</v>
      </c>
      <c r="X164" s="317">
        <v>31640</v>
      </c>
      <c r="Y164" s="317">
        <v>30660</v>
      </c>
      <c r="Z164" s="317">
        <v>30360</v>
      </c>
      <c r="AA164" s="317">
        <v>30430</v>
      </c>
      <c r="AB164" s="317">
        <v>30660</v>
      </c>
      <c r="AC164" s="317">
        <v>31120</v>
      </c>
      <c r="AD164" s="317">
        <v>30850</v>
      </c>
      <c r="AE164" s="317">
        <v>31790</v>
      </c>
      <c r="AF164" s="317">
        <v>31250</v>
      </c>
      <c r="AG164" s="317">
        <v>29910</v>
      </c>
      <c r="AH164" s="317">
        <v>28800</v>
      </c>
      <c r="AI164" s="317">
        <v>27680</v>
      </c>
      <c r="AJ164" s="317">
        <v>26470</v>
      </c>
      <c r="AK164" s="317">
        <v>26500</v>
      </c>
      <c r="AL164" s="317">
        <v>26290</v>
      </c>
      <c r="AM164" s="317">
        <v>27310</v>
      </c>
      <c r="AN164" s="317">
        <v>27700</v>
      </c>
      <c r="AO164" s="317">
        <v>28230</v>
      </c>
      <c r="AP164" s="317">
        <v>29060</v>
      </c>
      <c r="AQ164" s="317">
        <v>30000</v>
      </c>
      <c r="AR164" s="317">
        <v>30390</v>
      </c>
      <c r="AS164" s="317">
        <v>30840</v>
      </c>
      <c r="AT164" s="317">
        <v>31380</v>
      </c>
      <c r="AU164" s="317">
        <v>31410</v>
      </c>
      <c r="AV164" s="317">
        <v>32860</v>
      </c>
      <c r="AW164" s="317">
        <v>33780</v>
      </c>
      <c r="AX164" s="317">
        <v>35410</v>
      </c>
      <c r="AY164" s="317">
        <v>35870</v>
      </c>
      <c r="AZ164" s="317">
        <v>34920</v>
      </c>
      <c r="BA164" s="317">
        <v>34900</v>
      </c>
      <c r="BB164" s="317">
        <v>34420</v>
      </c>
      <c r="BC164" s="317">
        <v>34530</v>
      </c>
      <c r="BD164" s="317">
        <v>33970</v>
      </c>
      <c r="BE164" s="317">
        <v>33510</v>
      </c>
      <c r="BF164" s="317">
        <v>33340</v>
      </c>
    </row>
    <row r="165" spans="1:58" x14ac:dyDescent="0.2">
      <c r="A165" s="318" t="s">
        <v>69</v>
      </c>
      <c r="B165" s="315"/>
      <c r="C165" s="317">
        <v>18730</v>
      </c>
      <c r="D165" s="317">
        <v>16770</v>
      </c>
      <c r="E165" s="317">
        <v>18510</v>
      </c>
      <c r="F165" s="317">
        <v>19460</v>
      </c>
      <c r="G165" s="317">
        <v>20490</v>
      </c>
      <c r="H165" s="317">
        <v>24220</v>
      </c>
      <c r="I165" s="317">
        <v>24030</v>
      </c>
      <c r="J165" s="317">
        <v>23470</v>
      </c>
      <c r="K165" s="317">
        <v>24230</v>
      </c>
      <c r="L165" s="317">
        <v>24100</v>
      </c>
      <c r="M165" s="317">
        <v>24430</v>
      </c>
      <c r="N165" s="317">
        <v>24850</v>
      </c>
      <c r="O165" s="317">
        <v>25840</v>
      </c>
      <c r="P165" s="317">
        <v>26520</v>
      </c>
      <c r="Q165" s="317">
        <v>27420</v>
      </c>
      <c r="R165" s="317">
        <v>28000</v>
      </c>
      <c r="S165" s="317">
        <v>28600</v>
      </c>
      <c r="T165" s="317">
        <v>29880</v>
      </c>
      <c r="U165" s="317">
        <v>30310</v>
      </c>
      <c r="V165" s="317">
        <v>31760</v>
      </c>
      <c r="W165" s="317">
        <v>32310</v>
      </c>
      <c r="X165" s="317">
        <v>32490</v>
      </c>
      <c r="Y165" s="317">
        <v>31610</v>
      </c>
      <c r="Z165" s="317">
        <v>30630</v>
      </c>
      <c r="AA165" s="317">
        <v>30330</v>
      </c>
      <c r="AB165" s="317">
        <v>30410</v>
      </c>
      <c r="AC165" s="317">
        <v>30650</v>
      </c>
      <c r="AD165" s="317">
        <v>31110</v>
      </c>
      <c r="AE165" s="317">
        <v>30840</v>
      </c>
      <c r="AF165" s="317">
        <v>31780</v>
      </c>
      <c r="AG165" s="317">
        <v>31240</v>
      </c>
      <c r="AH165" s="317">
        <v>29910</v>
      </c>
      <c r="AI165" s="317">
        <v>28800</v>
      </c>
      <c r="AJ165" s="317">
        <v>27690</v>
      </c>
      <c r="AK165" s="317">
        <v>26490</v>
      </c>
      <c r="AL165" s="317">
        <v>26530</v>
      </c>
      <c r="AM165" s="317">
        <v>26320</v>
      </c>
      <c r="AN165" s="317">
        <v>27340</v>
      </c>
      <c r="AO165" s="317">
        <v>27730</v>
      </c>
      <c r="AP165" s="317">
        <v>28250</v>
      </c>
      <c r="AQ165" s="317">
        <v>29080</v>
      </c>
      <c r="AR165" s="317">
        <v>30030</v>
      </c>
      <c r="AS165" s="317">
        <v>30420</v>
      </c>
      <c r="AT165" s="317">
        <v>30860</v>
      </c>
      <c r="AU165" s="317">
        <v>31400</v>
      </c>
      <c r="AV165" s="317">
        <v>31440</v>
      </c>
      <c r="AW165" s="317">
        <v>32890</v>
      </c>
      <c r="AX165" s="317">
        <v>33810</v>
      </c>
      <c r="AY165" s="317">
        <v>35430</v>
      </c>
      <c r="AZ165" s="317">
        <v>35900</v>
      </c>
      <c r="BA165" s="317">
        <v>34950</v>
      </c>
      <c r="BB165" s="317">
        <v>34940</v>
      </c>
      <c r="BC165" s="317">
        <v>34460</v>
      </c>
      <c r="BD165" s="317">
        <v>34560</v>
      </c>
      <c r="BE165" s="317">
        <v>34010</v>
      </c>
      <c r="BF165" s="317">
        <v>33550</v>
      </c>
    </row>
    <row r="166" spans="1:58" x14ac:dyDescent="0.2">
      <c r="A166" s="318" t="s">
        <v>70</v>
      </c>
      <c r="B166" s="315"/>
      <c r="C166" s="317">
        <v>18400</v>
      </c>
      <c r="D166" s="317">
        <v>18650</v>
      </c>
      <c r="E166" s="317">
        <v>16680</v>
      </c>
      <c r="F166" s="317">
        <v>18410</v>
      </c>
      <c r="G166" s="317">
        <v>19380</v>
      </c>
      <c r="H166" s="317">
        <v>20400</v>
      </c>
      <c r="I166" s="317">
        <v>24110</v>
      </c>
      <c r="J166" s="317">
        <v>23940</v>
      </c>
      <c r="K166" s="317">
        <v>23400</v>
      </c>
      <c r="L166" s="317">
        <v>24160</v>
      </c>
      <c r="M166" s="317">
        <v>24040</v>
      </c>
      <c r="N166" s="317">
        <v>24370</v>
      </c>
      <c r="O166" s="317">
        <v>24790</v>
      </c>
      <c r="P166" s="317">
        <v>25780</v>
      </c>
      <c r="Q166" s="317">
        <v>26460</v>
      </c>
      <c r="R166" s="317">
        <v>27360</v>
      </c>
      <c r="S166" s="317">
        <v>27940</v>
      </c>
      <c r="T166" s="317">
        <v>28540</v>
      </c>
      <c r="U166" s="317">
        <v>29820</v>
      </c>
      <c r="V166" s="317">
        <v>30260</v>
      </c>
      <c r="W166" s="317">
        <v>31710</v>
      </c>
      <c r="X166" s="317">
        <v>32250</v>
      </c>
      <c r="Y166" s="317">
        <v>32440</v>
      </c>
      <c r="Z166" s="317">
        <v>31560</v>
      </c>
      <c r="AA166" s="317">
        <v>30600</v>
      </c>
      <c r="AB166" s="317">
        <v>30300</v>
      </c>
      <c r="AC166" s="317">
        <v>30380</v>
      </c>
      <c r="AD166" s="317">
        <v>30620</v>
      </c>
      <c r="AE166" s="317">
        <v>31090</v>
      </c>
      <c r="AF166" s="317">
        <v>30820</v>
      </c>
      <c r="AG166" s="317">
        <v>31760</v>
      </c>
      <c r="AH166" s="317">
        <v>31230</v>
      </c>
      <c r="AI166" s="317">
        <v>29900</v>
      </c>
      <c r="AJ166" s="317">
        <v>28800</v>
      </c>
      <c r="AK166" s="317">
        <v>27690</v>
      </c>
      <c r="AL166" s="317">
        <v>26500</v>
      </c>
      <c r="AM166" s="317">
        <v>26540</v>
      </c>
      <c r="AN166" s="317">
        <v>26330</v>
      </c>
      <c r="AO166" s="317">
        <v>27350</v>
      </c>
      <c r="AP166" s="317">
        <v>27740</v>
      </c>
      <c r="AQ166" s="317">
        <v>28270</v>
      </c>
      <c r="AR166" s="317">
        <v>29100</v>
      </c>
      <c r="AS166" s="317">
        <v>30040</v>
      </c>
      <c r="AT166" s="317">
        <v>30430</v>
      </c>
      <c r="AU166" s="317">
        <v>30880</v>
      </c>
      <c r="AV166" s="317">
        <v>31420</v>
      </c>
      <c r="AW166" s="317">
        <v>31460</v>
      </c>
      <c r="AX166" s="317">
        <v>32910</v>
      </c>
      <c r="AY166" s="317">
        <v>33820</v>
      </c>
      <c r="AZ166" s="317">
        <v>35450</v>
      </c>
      <c r="BA166" s="317">
        <v>35920</v>
      </c>
      <c r="BB166" s="317">
        <v>34970</v>
      </c>
      <c r="BC166" s="317">
        <v>34960</v>
      </c>
      <c r="BD166" s="317">
        <v>34480</v>
      </c>
      <c r="BE166" s="317">
        <v>34590</v>
      </c>
      <c r="BF166" s="317">
        <v>34040</v>
      </c>
    </row>
    <row r="167" spans="1:58" x14ac:dyDescent="0.2">
      <c r="A167" s="318" t="s">
        <v>71</v>
      </c>
      <c r="B167" s="315"/>
      <c r="C167" s="317">
        <v>16900</v>
      </c>
      <c r="D167" s="317">
        <v>18280</v>
      </c>
      <c r="E167" s="317">
        <v>18510</v>
      </c>
      <c r="F167" s="317">
        <v>16590</v>
      </c>
      <c r="G167" s="317">
        <v>18320</v>
      </c>
      <c r="H167" s="317">
        <v>19250</v>
      </c>
      <c r="I167" s="317">
        <v>20300</v>
      </c>
      <c r="J167" s="317">
        <v>23990</v>
      </c>
      <c r="K167" s="317">
        <v>23830</v>
      </c>
      <c r="L167" s="317">
        <v>23300</v>
      </c>
      <c r="M167" s="317">
        <v>24070</v>
      </c>
      <c r="N167" s="317">
        <v>23950</v>
      </c>
      <c r="O167" s="317">
        <v>24290</v>
      </c>
      <c r="P167" s="317">
        <v>24710</v>
      </c>
      <c r="Q167" s="317">
        <v>25690</v>
      </c>
      <c r="R167" s="317">
        <v>26380</v>
      </c>
      <c r="S167" s="317">
        <v>27270</v>
      </c>
      <c r="T167" s="317">
        <v>27860</v>
      </c>
      <c r="U167" s="317">
        <v>28460</v>
      </c>
      <c r="V167" s="317">
        <v>29740</v>
      </c>
      <c r="W167" s="317">
        <v>30180</v>
      </c>
      <c r="X167" s="317">
        <v>31620</v>
      </c>
      <c r="Y167" s="317">
        <v>32170</v>
      </c>
      <c r="Z167" s="317">
        <v>32360</v>
      </c>
      <c r="AA167" s="317">
        <v>31490</v>
      </c>
      <c r="AB167" s="317">
        <v>30530</v>
      </c>
      <c r="AC167" s="317">
        <v>30240</v>
      </c>
      <c r="AD167" s="317">
        <v>30330</v>
      </c>
      <c r="AE167" s="317">
        <v>30570</v>
      </c>
      <c r="AF167" s="317">
        <v>31030</v>
      </c>
      <c r="AG167" s="317">
        <v>30780</v>
      </c>
      <c r="AH167" s="317">
        <v>31710</v>
      </c>
      <c r="AI167" s="317">
        <v>31180</v>
      </c>
      <c r="AJ167" s="317">
        <v>29870</v>
      </c>
      <c r="AK167" s="317">
        <v>28770</v>
      </c>
      <c r="AL167" s="317">
        <v>27670</v>
      </c>
      <c r="AM167" s="317">
        <v>26490</v>
      </c>
      <c r="AN167" s="317">
        <v>26530</v>
      </c>
      <c r="AO167" s="317">
        <v>26320</v>
      </c>
      <c r="AP167" s="317">
        <v>27340</v>
      </c>
      <c r="AQ167" s="317">
        <v>27740</v>
      </c>
      <c r="AR167" s="317">
        <v>28260</v>
      </c>
      <c r="AS167" s="317">
        <v>29090</v>
      </c>
      <c r="AT167" s="317">
        <v>30040</v>
      </c>
      <c r="AU167" s="317">
        <v>30430</v>
      </c>
      <c r="AV167" s="317">
        <v>30880</v>
      </c>
      <c r="AW167" s="317">
        <v>31420</v>
      </c>
      <c r="AX167" s="317">
        <v>31450</v>
      </c>
      <c r="AY167" s="317">
        <v>32900</v>
      </c>
      <c r="AZ167" s="317">
        <v>33820</v>
      </c>
      <c r="BA167" s="317">
        <v>35450</v>
      </c>
      <c r="BB167" s="317">
        <v>35910</v>
      </c>
      <c r="BC167" s="317">
        <v>34980</v>
      </c>
      <c r="BD167" s="317">
        <v>34960</v>
      </c>
      <c r="BE167" s="317">
        <v>34490</v>
      </c>
      <c r="BF167" s="317">
        <v>34600</v>
      </c>
    </row>
    <row r="168" spans="1:58" x14ac:dyDescent="0.2">
      <c r="A168" s="318" t="s">
        <v>72</v>
      </c>
      <c r="B168" s="315"/>
      <c r="C168" s="317">
        <v>15620</v>
      </c>
      <c r="D168" s="317">
        <v>16770</v>
      </c>
      <c r="E168" s="317">
        <v>18120</v>
      </c>
      <c r="F168" s="317">
        <v>18410</v>
      </c>
      <c r="G168" s="317">
        <v>16460</v>
      </c>
      <c r="H168" s="317">
        <v>18190</v>
      </c>
      <c r="I168" s="317">
        <v>19130</v>
      </c>
      <c r="J168" s="317">
        <v>20170</v>
      </c>
      <c r="K168" s="317">
        <v>23840</v>
      </c>
      <c r="L168" s="317">
        <v>23700</v>
      </c>
      <c r="M168" s="317">
        <v>23180</v>
      </c>
      <c r="N168" s="317">
        <v>23950</v>
      </c>
      <c r="O168" s="317">
        <v>23840</v>
      </c>
      <c r="P168" s="317">
        <v>24180</v>
      </c>
      <c r="Q168" s="317">
        <v>24600</v>
      </c>
      <c r="R168" s="317">
        <v>25580</v>
      </c>
      <c r="S168" s="317">
        <v>26260</v>
      </c>
      <c r="T168" s="317">
        <v>27160</v>
      </c>
      <c r="U168" s="317">
        <v>27750</v>
      </c>
      <c r="V168" s="317">
        <v>28350</v>
      </c>
      <c r="W168" s="317">
        <v>29630</v>
      </c>
      <c r="X168" s="317">
        <v>30070</v>
      </c>
      <c r="Y168" s="317">
        <v>31510</v>
      </c>
      <c r="Z168" s="317">
        <v>32060</v>
      </c>
      <c r="AA168" s="317">
        <v>32250</v>
      </c>
      <c r="AB168" s="317">
        <v>31400</v>
      </c>
      <c r="AC168" s="317">
        <v>30440</v>
      </c>
      <c r="AD168" s="317">
        <v>30160</v>
      </c>
      <c r="AE168" s="317">
        <v>30250</v>
      </c>
      <c r="AF168" s="317">
        <v>30490</v>
      </c>
      <c r="AG168" s="317">
        <v>30960</v>
      </c>
      <c r="AH168" s="317">
        <v>30710</v>
      </c>
      <c r="AI168" s="317">
        <v>31640</v>
      </c>
      <c r="AJ168" s="317">
        <v>31120</v>
      </c>
      <c r="AK168" s="317">
        <v>29810</v>
      </c>
      <c r="AL168" s="317">
        <v>28730</v>
      </c>
      <c r="AM168" s="317">
        <v>27630</v>
      </c>
      <c r="AN168" s="317">
        <v>26450</v>
      </c>
      <c r="AO168" s="317">
        <v>26490</v>
      </c>
      <c r="AP168" s="317">
        <v>26290</v>
      </c>
      <c r="AQ168" s="317">
        <v>27310</v>
      </c>
      <c r="AR168" s="317">
        <v>27710</v>
      </c>
      <c r="AS168" s="317">
        <v>28230</v>
      </c>
      <c r="AT168" s="317">
        <v>29060</v>
      </c>
      <c r="AU168" s="317">
        <v>30010</v>
      </c>
      <c r="AV168" s="317">
        <v>30400</v>
      </c>
      <c r="AW168" s="317">
        <v>30850</v>
      </c>
      <c r="AX168" s="317">
        <v>31390</v>
      </c>
      <c r="AY168" s="317">
        <v>31430</v>
      </c>
      <c r="AZ168" s="317">
        <v>32880</v>
      </c>
      <c r="BA168" s="317">
        <v>33800</v>
      </c>
      <c r="BB168" s="317">
        <v>35420</v>
      </c>
      <c r="BC168" s="317">
        <v>35890</v>
      </c>
      <c r="BD168" s="317">
        <v>34960</v>
      </c>
      <c r="BE168" s="317">
        <v>34940</v>
      </c>
      <c r="BF168" s="317">
        <v>34480</v>
      </c>
    </row>
    <row r="169" spans="1:58" x14ac:dyDescent="0.2">
      <c r="A169" s="318" t="s">
        <v>73</v>
      </c>
      <c r="B169" s="315"/>
      <c r="C169" s="317">
        <v>14760</v>
      </c>
      <c r="D169" s="317">
        <v>15450</v>
      </c>
      <c r="E169" s="317">
        <v>16630</v>
      </c>
      <c r="F169" s="317">
        <v>17970</v>
      </c>
      <c r="G169" s="317">
        <v>18250</v>
      </c>
      <c r="H169" s="317">
        <v>16320</v>
      </c>
      <c r="I169" s="317">
        <v>18050</v>
      </c>
      <c r="J169" s="317">
        <v>18990</v>
      </c>
      <c r="K169" s="317">
        <v>20030</v>
      </c>
      <c r="L169" s="317">
        <v>23680</v>
      </c>
      <c r="M169" s="317">
        <v>23540</v>
      </c>
      <c r="N169" s="317">
        <v>23040</v>
      </c>
      <c r="O169" s="317">
        <v>23800</v>
      </c>
      <c r="P169" s="317">
        <v>23700</v>
      </c>
      <c r="Q169" s="317">
        <v>24040</v>
      </c>
      <c r="R169" s="317">
        <v>24470</v>
      </c>
      <c r="S169" s="317">
        <v>25450</v>
      </c>
      <c r="T169" s="317">
        <v>26130</v>
      </c>
      <c r="U169" s="317">
        <v>27030</v>
      </c>
      <c r="V169" s="317">
        <v>27620</v>
      </c>
      <c r="W169" s="317">
        <v>28220</v>
      </c>
      <c r="X169" s="317">
        <v>29490</v>
      </c>
      <c r="Y169" s="317">
        <v>29940</v>
      </c>
      <c r="Z169" s="317">
        <v>31370</v>
      </c>
      <c r="AA169" s="317">
        <v>31930</v>
      </c>
      <c r="AB169" s="317">
        <v>32120</v>
      </c>
      <c r="AC169" s="317">
        <v>31270</v>
      </c>
      <c r="AD169" s="317">
        <v>30330</v>
      </c>
      <c r="AE169" s="317">
        <v>30060</v>
      </c>
      <c r="AF169" s="317">
        <v>30150</v>
      </c>
      <c r="AG169" s="317">
        <v>30390</v>
      </c>
      <c r="AH169" s="317">
        <v>30860</v>
      </c>
      <c r="AI169" s="317">
        <v>30610</v>
      </c>
      <c r="AJ169" s="317">
        <v>31550</v>
      </c>
      <c r="AK169" s="317">
        <v>31030</v>
      </c>
      <c r="AL169" s="317">
        <v>29730</v>
      </c>
      <c r="AM169" s="317">
        <v>28660</v>
      </c>
      <c r="AN169" s="317">
        <v>27570</v>
      </c>
      <c r="AO169" s="317">
        <v>26400</v>
      </c>
      <c r="AP169" s="317">
        <v>26440</v>
      </c>
      <c r="AQ169" s="317">
        <v>26240</v>
      </c>
      <c r="AR169" s="317">
        <v>27260</v>
      </c>
      <c r="AS169" s="317">
        <v>27660</v>
      </c>
      <c r="AT169" s="317">
        <v>28190</v>
      </c>
      <c r="AU169" s="317">
        <v>29020</v>
      </c>
      <c r="AV169" s="317">
        <v>29960</v>
      </c>
      <c r="AW169" s="317">
        <v>30350</v>
      </c>
      <c r="AX169" s="317">
        <v>30800</v>
      </c>
      <c r="AY169" s="317">
        <v>31350</v>
      </c>
      <c r="AZ169" s="317">
        <v>31390</v>
      </c>
      <c r="BA169" s="317">
        <v>32840</v>
      </c>
      <c r="BB169" s="317">
        <v>33750</v>
      </c>
      <c r="BC169" s="317">
        <v>35380</v>
      </c>
      <c r="BD169" s="317">
        <v>35840</v>
      </c>
      <c r="BE169" s="317">
        <v>34920</v>
      </c>
      <c r="BF169" s="317">
        <v>34910</v>
      </c>
    </row>
    <row r="170" spans="1:58" x14ac:dyDescent="0.2">
      <c r="A170" s="318" t="s">
        <v>74</v>
      </c>
      <c r="B170" s="315"/>
      <c r="C170" s="317">
        <v>14230</v>
      </c>
      <c r="D170" s="317">
        <v>14620</v>
      </c>
      <c r="E170" s="317">
        <v>15300</v>
      </c>
      <c r="F170" s="317">
        <v>16460</v>
      </c>
      <c r="G170" s="317">
        <v>17830</v>
      </c>
      <c r="H170" s="317">
        <v>18080</v>
      </c>
      <c r="I170" s="317">
        <v>16170</v>
      </c>
      <c r="J170" s="317">
        <v>17890</v>
      </c>
      <c r="K170" s="317">
        <v>18830</v>
      </c>
      <c r="L170" s="317">
        <v>19880</v>
      </c>
      <c r="M170" s="317">
        <v>23500</v>
      </c>
      <c r="N170" s="317">
        <v>23370</v>
      </c>
      <c r="O170" s="317">
        <v>22880</v>
      </c>
      <c r="P170" s="317">
        <v>23640</v>
      </c>
      <c r="Q170" s="317">
        <v>23540</v>
      </c>
      <c r="R170" s="317">
        <v>23890</v>
      </c>
      <c r="S170" s="317">
        <v>24320</v>
      </c>
      <c r="T170" s="317">
        <v>25290</v>
      </c>
      <c r="U170" s="317">
        <v>25980</v>
      </c>
      <c r="V170" s="317">
        <v>26870</v>
      </c>
      <c r="W170" s="317">
        <v>27460</v>
      </c>
      <c r="X170" s="317">
        <v>28070</v>
      </c>
      <c r="Y170" s="317">
        <v>29330</v>
      </c>
      <c r="Z170" s="317">
        <v>29780</v>
      </c>
      <c r="AA170" s="317">
        <v>31220</v>
      </c>
      <c r="AB170" s="317">
        <v>31770</v>
      </c>
      <c r="AC170" s="317">
        <v>31970</v>
      </c>
      <c r="AD170" s="317">
        <v>31130</v>
      </c>
      <c r="AE170" s="317">
        <v>30200</v>
      </c>
      <c r="AF170" s="317">
        <v>29930</v>
      </c>
      <c r="AG170" s="317">
        <v>30030</v>
      </c>
      <c r="AH170" s="317">
        <v>30270</v>
      </c>
      <c r="AI170" s="317">
        <v>30750</v>
      </c>
      <c r="AJ170" s="317">
        <v>30500</v>
      </c>
      <c r="AK170" s="317">
        <v>31440</v>
      </c>
      <c r="AL170" s="317">
        <v>30930</v>
      </c>
      <c r="AM170" s="317">
        <v>29640</v>
      </c>
      <c r="AN170" s="317">
        <v>28570</v>
      </c>
      <c r="AO170" s="317">
        <v>27490</v>
      </c>
      <c r="AP170" s="317">
        <v>26330</v>
      </c>
      <c r="AQ170" s="317">
        <v>26370</v>
      </c>
      <c r="AR170" s="317">
        <v>26180</v>
      </c>
      <c r="AS170" s="317">
        <v>27200</v>
      </c>
      <c r="AT170" s="317">
        <v>27600</v>
      </c>
      <c r="AU170" s="317">
        <v>28120</v>
      </c>
      <c r="AV170" s="317">
        <v>28950</v>
      </c>
      <c r="AW170" s="317">
        <v>29900</v>
      </c>
      <c r="AX170" s="317">
        <v>30290</v>
      </c>
      <c r="AY170" s="317">
        <v>30740</v>
      </c>
      <c r="AZ170" s="317">
        <v>31290</v>
      </c>
      <c r="BA170" s="317">
        <v>31330</v>
      </c>
      <c r="BB170" s="317">
        <v>32780</v>
      </c>
      <c r="BC170" s="317">
        <v>33700</v>
      </c>
      <c r="BD170" s="317">
        <v>35320</v>
      </c>
      <c r="BE170" s="317">
        <v>35790</v>
      </c>
      <c r="BF170" s="317">
        <v>34860</v>
      </c>
    </row>
    <row r="171" spans="1:58" x14ac:dyDescent="0.2">
      <c r="A171" s="318" t="s">
        <v>75</v>
      </c>
      <c r="B171" s="315"/>
      <c r="C171" s="317">
        <v>13460</v>
      </c>
      <c r="D171" s="317">
        <v>14050</v>
      </c>
      <c r="E171" s="317">
        <v>14450</v>
      </c>
      <c r="F171" s="317">
        <v>15120</v>
      </c>
      <c r="G171" s="317">
        <v>16280</v>
      </c>
      <c r="H171" s="317">
        <v>17640</v>
      </c>
      <c r="I171" s="317">
        <v>17890</v>
      </c>
      <c r="J171" s="317">
        <v>16010</v>
      </c>
      <c r="K171" s="317">
        <v>17720</v>
      </c>
      <c r="L171" s="317">
        <v>18670</v>
      </c>
      <c r="M171" s="317">
        <v>19710</v>
      </c>
      <c r="N171" s="317">
        <v>23300</v>
      </c>
      <c r="O171" s="317">
        <v>23180</v>
      </c>
      <c r="P171" s="317">
        <v>22690</v>
      </c>
      <c r="Q171" s="317">
        <v>23460</v>
      </c>
      <c r="R171" s="317">
        <v>23360</v>
      </c>
      <c r="S171" s="317">
        <v>23710</v>
      </c>
      <c r="T171" s="317">
        <v>24140</v>
      </c>
      <c r="U171" s="317">
        <v>25120</v>
      </c>
      <c r="V171" s="317">
        <v>25800</v>
      </c>
      <c r="W171" s="317">
        <v>26700</v>
      </c>
      <c r="X171" s="317">
        <v>27290</v>
      </c>
      <c r="Y171" s="317">
        <v>27890</v>
      </c>
      <c r="Z171" s="317">
        <v>29160</v>
      </c>
      <c r="AA171" s="317">
        <v>29610</v>
      </c>
      <c r="AB171" s="317">
        <v>31040</v>
      </c>
      <c r="AC171" s="317">
        <v>31600</v>
      </c>
      <c r="AD171" s="317">
        <v>31800</v>
      </c>
      <c r="AE171" s="317">
        <v>30970</v>
      </c>
      <c r="AF171" s="317">
        <v>30050</v>
      </c>
      <c r="AG171" s="317">
        <v>29790</v>
      </c>
      <c r="AH171" s="317">
        <v>29890</v>
      </c>
      <c r="AI171" s="317">
        <v>30140</v>
      </c>
      <c r="AJ171" s="317">
        <v>30610</v>
      </c>
      <c r="AK171" s="317">
        <v>30380</v>
      </c>
      <c r="AL171" s="317">
        <v>31310</v>
      </c>
      <c r="AM171" s="317">
        <v>30810</v>
      </c>
      <c r="AN171" s="317">
        <v>29530</v>
      </c>
      <c r="AO171" s="317">
        <v>28470</v>
      </c>
      <c r="AP171" s="317">
        <v>27400</v>
      </c>
      <c r="AQ171" s="317">
        <v>26240</v>
      </c>
      <c r="AR171" s="317">
        <v>26290</v>
      </c>
      <c r="AS171" s="317">
        <v>26100</v>
      </c>
      <c r="AT171" s="317">
        <v>27120</v>
      </c>
      <c r="AU171" s="317">
        <v>27520</v>
      </c>
      <c r="AV171" s="317">
        <v>28050</v>
      </c>
      <c r="AW171" s="317">
        <v>28880</v>
      </c>
      <c r="AX171" s="317">
        <v>29820</v>
      </c>
      <c r="AY171" s="317">
        <v>30210</v>
      </c>
      <c r="AZ171" s="317">
        <v>30670</v>
      </c>
      <c r="BA171" s="317">
        <v>31210</v>
      </c>
      <c r="BB171" s="317">
        <v>31260</v>
      </c>
      <c r="BC171" s="317">
        <v>32710</v>
      </c>
      <c r="BD171" s="317">
        <v>33620</v>
      </c>
      <c r="BE171" s="317">
        <v>35240</v>
      </c>
      <c r="BF171" s="317">
        <v>35710</v>
      </c>
    </row>
    <row r="172" spans="1:58" x14ac:dyDescent="0.2">
      <c r="A172" s="318" t="s">
        <v>76</v>
      </c>
      <c r="B172" s="315"/>
      <c r="C172" s="317">
        <v>12650</v>
      </c>
      <c r="D172" s="317">
        <v>13270</v>
      </c>
      <c r="E172" s="317">
        <v>13880</v>
      </c>
      <c r="F172" s="317">
        <v>14280</v>
      </c>
      <c r="G172" s="317">
        <v>14950</v>
      </c>
      <c r="H172" s="317">
        <v>16050</v>
      </c>
      <c r="I172" s="317">
        <v>17430</v>
      </c>
      <c r="J172" s="317">
        <v>17690</v>
      </c>
      <c r="K172" s="317">
        <v>15840</v>
      </c>
      <c r="L172" s="317">
        <v>17540</v>
      </c>
      <c r="M172" s="317">
        <v>18480</v>
      </c>
      <c r="N172" s="317">
        <v>19520</v>
      </c>
      <c r="O172" s="317">
        <v>23080</v>
      </c>
      <c r="P172" s="317">
        <v>22960</v>
      </c>
      <c r="Q172" s="317">
        <v>22490</v>
      </c>
      <c r="R172" s="317">
        <v>23250</v>
      </c>
      <c r="S172" s="317">
        <v>23170</v>
      </c>
      <c r="T172" s="317">
        <v>23520</v>
      </c>
      <c r="U172" s="317">
        <v>23950</v>
      </c>
      <c r="V172" s="317">
        <v>24920</v>
      </c>
      <c r="W172" s="317">
        <v>25610</v>
      </c>
      <c r="X172" s="317">
        <v>26500</v>
      </c>
      <c r="Y172" s="317">
        <v>27090</v>
      </c>
      <c r="Z172" s="317">
        <v>27700</v>
      </c>
      <c r="AA172" s="317">
        <v>28960</v>
      </c>
      <c r="AB172" s="317">
        <v>29410</v>
      </c>
      <c r="AC172" s="317">
        <v>30840</v>
      </c>
      <c r="AD172" s="317">
        <v>31400</v>
      </c>
      <c r="AE172" s="317">
        <v>31610</v>
      </c>
      <c r="AF172" s="317">
        <v>30790</v>
      </c>
      <c r="AG172" s="317">
        <v>29880</v>
      </c>
      <c r="AH172" s="317">
        <v>29630</v>
      </c>
      <c r="AI172" s="317">
        <v>29730</v>
      </c>
      <c r="AJ172" s="317">
        <v>29980</v>
      </c>
      <c r="AK172" s="317">
        <v>30460</v>
      </c>
      <c r="AL172" s="317">
        <v>30230</v>
      </c>
      <c r="AM172" s="317">
        <v>31160</v>
      </c>
      <c r="AN172" s="317">
        <v>30670</v>
      </c>
      <c r="AO172" s="317">
        <v>29400</v>
      </c>
      <c r="AP172" s="317">
        <v>28350</v>
      </c>
      <c r="AQ172" s="317">
        <v>27290</v>
      </c>
      <c r="AR172" s="317">
        <v>26140</v>
      </c>
      <c r="AS172" s="317">
        <v>26200</v>
      </c>
      <c r="AT172" s="317">
        <v>26010</v>
      </c>
      <c r="AU172" s="317">
        <v>27030</v>
      </c>
      <c r="AV172" s="317">
        <v>27430</v>
      </c>
      <c r="AW172" s="317">
        <v>27960</v>
      </c>
      <c r="AX172" s="317">
        <v>28780</v>
      </c>
      <c r="AY172" s="317">
        <v>29730</v>
      </c>
      <c r="AZ172" s="317">
        <v>30130</v>
      </c>
      <c r="BA172" s="317">
        <v>30580</v>
      </c>
      <c r="BB172" s="317">
        <v>31130</v>
      </c>
      <c r="BC172" s="317">
        <v>31180</v>
      </c>
      <c r="BD172" s="317">
        <v>32620</v>
      </c>
      <c r="BE172" s="317">
        <v>33540</v>
      </c>
      <c r="BF172" s="317">
        <v>35150</v>
      </c>
    </row>
    <row r="173" spans="1:58" x14ac:dyDescent="0.2">
      <c r="A173" s="318" t="s">
        <v>77</v>
      </c>
      <c r="B173" s="315"/>
      <c r="C173" s="317">
        <v>12410</v>
      </c>
      <c r="D173" s="317">
        <v>12470</v>
      </c>
      <c r="E173" s="317">
        <v>13110</v>
      </c>
      <c r="F173" s="317">
        <v>13680</v>
      </c>
      <c r="G173" s="317">
        <v>14120</v>
      </c>
      <c r="H173" s="317">
        <v>14760</v>
      </c>
      <c r="I173" s="317">
        <v>15840</v>
      </c>
      <c r="J173" s="317">
        <v>17210</v>
      </c>
      <c r="K173" s="317">
        <v>17480</v>
      </c>
      <c r="L173" s="317">
        <v>15660</v>
      </c>
      <c r="M173" s="317">
        <v>17350</v>
      </c>
      <c r="N173" s="317">
        <v>18280</v>
      </c>
      <c r="O173" s="317">
        <v>19310</v>
      </c>
      <c r="P173" s="317">
        <v>22840</v>
      </c>
      <c r="Q173" s="317">
        <v>22730</v>
      </c>
      <c r="R173" s="317">
        <v>22270</v>
      </c>
      <c r="S173" s="317">
        <v>23030</v>
      </c>
      <c r="T173" s="317">
        <v>22950</v>
      </c>
      <c r="U173" s="317">
        <v>23310</v>
      </c>
      <c r="V173" s="317">
        <v>23740</v>
      </c>
      <c r="W173" s="317">
        <v>24710</v>
      </c>
      <c r="X173" s="317">
        <v>25400</v>
      </c>
      <c r="Y173" s="317">
        <v>26290</v>
      </c>
      <c r="Z173" s="317">
        <v>26880</v>
      </c>
      <c r="AA173" s="317">
        <v>27490</v>
      </c>
      <c r="AB173" s="317">
        <v>28750</v>
      </c>
      <c r="AC173" s="317">
        <v>29200</v>
      </c>
      <c r="AD173" s="317">
        <v>30620</v>
      </c>
      <c r="AE173" s="317">
        <v>31190</v>
      </c>
      <c r="AF173" s="317">
        <v>31400</v>
      </c>
      <c r="AG173" s="317">
        <v>30600</v>
      </c>
      <c r="AH173" s="317">
        <v>29700</v>
      </c>
      <c r="AI173" s="317">
        <v>29450</v>
      </c>
      <c r="AJ173" s="317">
        <v>29560</v>
      </c>
      <c r="AK173" s="317">
        <v>29820</v>
      </c>
      <c r="AL173" s="317">
        <v>30300</v>
      </c>
      <c r="AM173" s="317">
        <v>30070</v>
      </c>
      <c r="AN173" s="317">
        <v>31000</v>
      </c>
      <c r="AO173" s="317">
        <v>30520</v>
      </c>
      <c r="AP173" s="317">
        <v>29260</v>
      </c>
      <c r="AQ173" s="317">
        <v>28220</v>
      </c>
      <c r="AR173" s="317">
        <v>27170</v>
      </c>
      <c r="AS173" s="317">
        <v>26030</v>
      </c>
      <c r="AT173" s="317">
        <v>26090</v>
      </c>
      <c r="AU173" s="317">
        <v>25910</v>
      </c>
      <c r="AV173" s="317">
        <v>26920</v>
      </c>
      <c r="AW173" s="317">
        <v>27320</v>
      </c>
      <c r="AX173" s="317">
        <v>27860</v>
      </c>
      <c r="AY173" s="317">
        <v>28680</v>
      </c>
      <c r="AZ173" s="317">
        <v>29630</v>
      </c>
      <c r="BA173" s="317">
        <v>30020</v>
      </c>
      <c r="BB173" s="317">
        <v>30480</v>
      </c>
      <c r="BC173" s="317">
        <v>31030</v>
      </c>
      <c r="BD173" s="317">
        <v>31080</v>
      </c>
      <c r="BE173" s="317">
        <v>32520</v>
      </c>
      <c r="BF173" s="317">
        <v>33440</v>
      </c>
    </row>
    <row r="174" spans="1:58" x14ac:dyDescent="0.2">
      <c r="A174" s="318" t="s">
        <v>78</v>
      </c>
      <c r="B174" s="315"/>
      <c r="C174" s="317">
        <v>12300</v>
      </c>
      <c r="D174" s="317">
        <v>12180</v>
      </c>
      <c r="E174" s="317">
        <v>12250</v>
      </c>
      <c r="F174" s="317">
        <v>12900</v>
      </c>
      <c r="G174" s="317">
        <v>13460</v>
      </c>
      <c r="H174" s="317">
        <v>13920</v>
      </c>
      <c r="I174" s="317">
        <v>14550</v>
      </c>
      <c r="J174" s="317">
        <v>15610</v>
      </c>
      <c r="K174" s="317">
        <v>16970</v>
      </c>
      <c r="L174" s="317">
        <v>17250</v>
      </c>
      <c r="M174" s="317">
        <v>15470</v>
      </c>
      <c r="N174" s="317">
        <v>17140</v>
      </c>
      <c r="O174" s="317">
        <v>18070</v>
      </c>
      <c r="P174" s="317">
        <v>19090</v>
      </c>
      <c r="Q174" s="317">
        <v>22580</v>
      </c>
      <c r="R174" s="317">
        <v>22480</v>
      </c>
      <c r="S174" s="317">
        <v>22030</v>
      </c>
      <c r="T174" s="317">
        <v>22790</v>
      </c>
      <c r="U174" s="317">
        <v>22720</v>
      </c>
      <c r="V174" s="317">
        <v>23080</v>
      </c>
      <c r="W174" s="317">
        <v>23520</v>
      </c>
      <c r="X174" s="317">
        <v>24480</v>
      </c>
      <c r="Y174" s="317">
        <v>25170</v>
      </c>
      <c r="Z174" s="317">
        <v>26060</v>
      </c>
      <c r="AA174" s="317">
        <v>26650</v>
      </c>
      <c r="AB174" s="317">
        <v>27260</v>
      </c>
      <c r="AC174" s="317">
        <v>28510</v>
      </c>
      <c r="AD174" s="317">
        <v>28970</v>
      </c>
      <c r="AE174" s="317">
        <v>30390</v>
      </c>
      <c r="AF174" s="317">
        <v>30950</v>
      </c>
      <c r="AG174" s="317">
        <v>31170</v>
      </c>
      <c r="AH174" s="317">
        <v>30380</v>
      </c>
      <c r="AI174" s="317">
        <v>29500</v>
      </c>
      <c r="AJ174" s="317">
        <v>29250</v>
      </c>
      <c r="AK174" s="317">
        <v>29370</v>
      </c>
      <c r="AL174" s="317">
        <v>29630</v>
      </c>
      <c r="AM174" s="317">
        <v>30110</v>
      </c>
      <c r="AN174" s="317">
        <v>29890</v>
      </c>
      <c r="AO174" s="317">
        <v>30820</v>
      </c>
      <c r="AP174" s="317">
        <v>30350</v>
      </c>
      <c r="AQ174" s="317">
        <v>29100</v>
      </c>
      <c r="AR174" s="317">
        <v>28070</v>
      </c>
      <c r="AS174" s="317">
        <v>27030</v>
      </c>
      <c r="AT174" s="317">
        <v>25910</v>
      </c>
      <c r="AU174" s="317">
        <v>25970</v>
      </c>
      <c r="AV174" s="317">
        <v>25790</v>
      </c>
      <c r="AW174" s="317">
        <v>26800</v>
      </c>
      <c r="AX174" s="317">
        <v>27210</v>
      </c>
      <c r="AY174" s="317">
        <v>27740</v>
      </c>
      <c r="AZ174" s="317">
        <v>28570</v>
      </c>
      <c r="BA174" s="317">
        <v>29510</v>
      </c>
      <c r="BB174" s="317">
        <v>29910</v>
      </c>
      <c r="BC174" s="317">
        <v>30370</v>
      </c>
      <c r="BD174" s="317">
        <v>30920</v>
      </c>
      <c r="BE174" s="317">
        <v>30980</v>
      </c>
      <c r="BF174" s="317">
        <v>32410</v>
      </c>
    </row>
    <row r="175" spans="1:58" x14ac:dyDescent="0.2">
      <c r="A175" s="318" t="s">
        <v>79</v>
      </c>
      <c r="B175" s="315"/>
      <c r="C175" s="317">
        <v>11960</v>
      </c>
      <c r="D175" s="317">
        <v>12060</v>
      </c>
      <c r="E175" s="317">
        <v>11950</v>
      </c>
      <c r="F175" s="317">
        <v>12010</v>
      </c>
      <c r="G175" s="317">
        <v>12660</v>
      </c>
      <c r="H175" s="317">
        <v>13260</v>
      </c>
      <c r="I175" s="317">
        <v>13690</v>
      </c>
      <c r="J175" s="317">
        <v>14320</v>
      </c>
      <c r="K175" s="317">
        <v>15380</v>
      </c>
      <c r="L175" s="317">
        <v>16730</v>
      </c>
      <c r="M175" s="317">
        <v>17000</v>
      </c>
      <c r="N175" s="317">
        <v>15260</v>
      </c>
      <c r="O175" s="317">
        <v>16910</v>
      </c>
      <c r="P175" s="317">
        <v>17830</v>
      </c>
      <c r="Q175" s="317">
        <v>18840</v>
      </c>
      <c r="R175" s="317">
        <v>22290</v>
      </c>
      <c r="S175" s="317">
        <v>22200</v>
      </c>
      <c r="T175" s="317">
        <v>21770</v>
      </c>
      <c r="U175" s="317">
        <v>22530</v>
      </c>
      <c r="V175" s="317">
        <v>22470</v>
      </c>
      <c r="W175" s="317">
        <v>22830</v>
      </c>
      <c r="X175" s="317">
        <v>23270</v>
      </c>
      <c r="Y175" s="317">
        <v>24230</v>
      </c>
      <c r="Z175" s="317">
        <v>24910</v>
      </c>
      <c r="AA175" s="317">
        <v>25800</v>
      </c>
      <c r="AB175" s="317">
        <v>26400</v>
      </c>
      <c r="AC175" s="317">
        <v>27010</v>
      </c>
      <c r="AD175" s="317">
        <v>28250</v>
      </c>
      <c r="AE175" s="317">
        <v>28720</v>
      </c>
      <c r="AF175" s="317">
        <v>30120</v>
      </c>
      <c r="AG175" s="317">
        <v>30690</v>
      </c>
      <c r="AH175" s="317">
        <v>30920</v>
      </c>
      <c r="AI175" s="317">
        <v>30140</v>
      </c>
      <c r="AJ175" s="317">
        <v>29270</v>
      </c>
      <c r="AK175" s="317">
        <v>29040</v>
      </c>
      <c r="AL175" s="317">
        <v>29160</v>
      </c>
      <c r="AM175" s="317">
        <v>29420</v>
      </c>
      <c r="AN175" s="317">
        <v>29910</v>
      </c>
      <c r="AO175" s="317">
        <v>29690</v>
      </c>
      <c r="AP175" s="317">
        <v>30630</v>
      </c>
      <c r="AQ175" s="317">
        <v>30160</v>
      </c>
      <c r="AR175" s="317">
        <v>28930</v>
      </c>
      <c r="AS175" s="317">
        <v>27910</v>
      </c>
      <c r="AT175" s="317">
        <v>26880</v>
      </c>
      <c r="AU175" s="317">
        <v>25770</v>
      </c>
      <c r="AV175" s="317">
        <v>25830</v>
      </c>
      <c r="AW175" s="317">
        <v>25660</v>
      </c>
      <c r="AX175" s="317">
        <v>26670</v>
      </c>
      <c r="AY175" s="317">
        <v>27080</v>
      </c>
      <c r="AZ175" s="317">
        <v>27610</v>
      </c>
      <c r="BA175" s="317">
        <v>28440</v>
      </c>
      <c r="BB175" s="317">
        <v>29380</v>
      </c>
      <c r="BC175" s="317">
        <v>29780</v>
      </c>
      <c r="BD175" s="317">
        <v>30240</v>
      </c>
      <c r="BE175" s="317">
        <v>30790</v>
      </c>
      <c r="BF175" s="317">
        <v>30850</v>
      </c>
    </row>
    <row r="176" spans="1:58" x14ac:dyDescent="0.2">
      <c r="A176" s="318" t="s">
        <v>80</v>
      </c>
      <c r="B176" s="315"/>
      <c r="C176" s="317">
        <v>12130</v>
      </c>
      <c r="D176" s="317">
        <v>11690</v>
      </c>
      <c r="E176" s="317">
        <v>11790</v>
      </c>
      <c r="F176" s="317">
        <v>11700</v>
      </c>
      <c r="G176" s="317">
        <v>11780</v>
      </c>
      <c r="H176" s="317">
        <v>12400</v>
      </c>
      <c r="I176" s="317">
        <v>13020</v>
      </c>
      <c r="J176" s="317">
        <v>13450</v>
      </c>
      <c r="K176" s="317">
        <v>14070</v>
      </c>
      <c r="L176" s="317">
        <v>15120</v>
      </c>
      <c r="M176" s="317">
        <v>16460</v>
      </c>
      <c r="N176" s="317">
        <v>16740</v>
      </c>
      <c r="O176" s="317">
        <v>15030</v>
      </c>
      <c r="P176" s="317">
        <v>16660</v>
      </c>
      <c r="Q176" s="317">
        <v>17570</v>
      </c>
      <c r="R176" s="317">
        <v>18580</v>
      </c>
      <c r="S176" s="317">
        <v>21980</v>
      </c>
      <c r="T176" s="317">
        <v>21910</v>
      </c>
      <c r="U176" s="317">
        <v>21490</v>
      </c>
      <c r="V176" s="317">
        <v>22240</v>
      </c>
      <c r="W176" s="317">
        <v>22190</v>
      </c>
      <c r="X176" s="317">
        <v>22560</v>
      </c>
      <c r="Y176" s="317">
        <v>23000</v>
      </c>
      <c r="Z176" s="317">
        <v>23950</v>
      </c>
      <c r="AA176" s="317">
        <v>24640</v>
      </c>
      <c r="AB176" s="317">
        <v>25520</v>
      </c>
      <c r="AC176" s="317">
        <v>26120</v>
      </c>
      <c r="AD176" s="317">
        <v>26730</v>
      </c>
      <c r="AE176" s="317">
        <v>27970</v>
      </c>
      <c r="AF176" s="317">
        <v>28430</v>
      </c>
      <c r="AG176" s="317">
        <v>29840</v>
      </c>
      <c r="AH176" s="317">
        <v>30410</v>
      </c>
      <c r="AI176" s="317">
        <v>30640</v>
      </c>
      <c r="AJ176" s="317">
        <v>29880</v>
      </c>
      <c r="AK176" s="317">
        <v>29020</v>
      </c>
      <c r="AL176" s="317">
        <v>28800</v>
      </c>
      <c r="AM176" s="317">
        <v>28920</v>
      </c>
      <c r="AN176" s="317">
        <v>29190</v>
      </c>
      <c r="AO176" s="317">
        <v>29680</v>
      </c>
      <c r="AP176" s="317">
        <v>29480</v>
      </c>
      <c r="AQ176" s="317">
        <v>30410</v>
      </c>
      <c r="AR176" s="317">
        <v>29950</v>
      </c>
      <c r="AS176" s="317">
        <v>28730</v>
      </c>
      <c r="AT176" s="317">
        <v>27730</v>
      </c>
      <c r="AU176" s="317">
        <v>26710</v>
      </c>
      <c r="AV176" s="317">
        <v>25610</v>
      </c>
      <c r="AW176" s="317">
        <v>25680</v>
      </c>
      <c r="AX176" s="317">
        <v>25510</v>
      </c>
      <c r="AY176" s="317">
        <v>26520</v>
      </c>
      <c r="AZ176" s="317">
        <v>26930</v>
      </c>
      <c r="BA176" s="317">
        <v>27460</v>
      </c>
      <c r="BB176" s="317">
        <v>28290</v>
      </c>
      <c r="BC176" s="317">
        <v>29230</v>
      </c>
      <c r="BD176" s="317">
        <v>29630</v>
      </c>
      <c r="BE176" s="317">
        <v>30100</v>
      </c>
      <c r="BF176" s="317">
        <v>30650</v>
      </c>
    </row>
    <row r="177" spans="1:58" x14ac:dyDescent="0.2">
      <c r="A177" s="318" t="s">
        <v>81</v>
      </c>
      <c r="B177" s="315"/>
      <c r="C177" s="317">
        <v>11810</v>
      </c>
      <c r="D177" s="317">
        <v>11840</v>
      </c>
      <c r="E177" s="317">
        <v>11440</v>
      </c>
      <c r="F177" s="317">
        <v>11570</v>
      </c>
      <c r="G177" s="317">
        <v>11470</v>
      </c>
      <c r="H177" s="317">
        <v>11540</v>
      </c>
      <c r="I177" s="317">
        <v>12140</v>
      </c>
      <c r="J177" s="317">
        <v>12760</v>
      </c>
      <c r="K177" s="317">
        <v>13190</v>
      </c>
      <c r="L177" s="317">
        <v>13810</v>
      </c>
      <c r="M177" s="317">
        <v>14850</v>
      </c>
      <c r="N177" s="317">
        <v>16160</v>
      </c>
      <c r="O177" s="317">
        <v>16450</v>
      </c>
      <c r="P177" s="317">
        <v>14780</v>
      </c>
      <c r="Q177" s="317">
        <v>16390</v>
      </c>
      <c r="R177" s="317">
        <v>17290</v>
      </c>
      <c r="S177" s="317">
        <v>18290</v>
      </c>
      <c r="T177" s="317">
        <v>21650</v>
      </c>
      <c r="U177" s="317">
        <v>21580</v>
      </c>
      <c r="V177" s="317">
        <v>21180</v>
      </c>
      <c r="W177" s="317">
        <v>21930</v>
      </c>
      <c r="X177" s="317">
        <v>21890</v>
      </c>
      <c r="Y177" s="317">
        <v>22250</v>
      </c>
      <c r="Z177" s="317">
        <v>22700</v>
      </c>
      <c r="AA177" s="317">
        <v>23650</v>
      </c>
      <c r="AB177" s="317">
        <v>24330</v>
      </c>
      <c r="AC177" s="317">
        <v>25210</v>
      </c>
      <c r="AD177" s="317">
        <v>25810</v>
      </c>
      <c r="AE177" s="317">
        <v>26420</v>
      </c>
      <c r="AF177" s="317">
        <v>27660</v>
      </c>
      <c r="AG177" s="317">
        <v>28120</v>
      </c>
      <c r="AH177" s="317">
        <v>29520</v>
      </c>
      <c r="AI177" s="317">
        <v>30090</v>
      </c>
      <c r="AJ177" s="317">
        <v>30330</v>
      </c>
      <c r="AK177" s="317">
        <v>29580</v>
      </c>
      <c r="AL177" s="317">
        <v>28740</v>
      </c>
      <c r="AM177" s="317">
        <v>28530</v>
      </c>
      <c r="AN177" s="317">
        <v>28660</v>
      </c>
      <c r="AO177" s="317">
        <v>28930</v>
      </c>
      <c r="AP177" s="317">
        <v>29420</v>
      </c>
      <c r="AQ177" s="317">
        <v>29230</v>
      </c>
      <c r="AR177" s="317">
        <v>30160</v>
      </c>
      <c r="AS177" s="317">
        <v>29710</v>
      </c>
      <c r="AT177" s="317">
        <v>28510</v>
      </c>
      <c r="AU177" s="317">
        <v>27520</v>
      </c>
      <c r="AV177" s="317">
        <v>26520</v>
      </c>
      <c r="AW177" s="317">
        <v>25430</v>
      </c>
      <c r="AX177" s="317">
        <v>25500</v>
      </c>
      <c r="AY177" s="317">
        <v>25340</v>
      </c>
      <c r="AZ177" s="317">
        <v>26350</v>
      </c>
      <c r="BA177" s="317">
        <v>26760</v>
      </c>
      <c r="BB177" s="317">
        <v>27300</v>
      </c>
      <c r="BC177" s="317">
        <v>28120</v>
      </c>
      <c r="BD177" s="317">
        <v>29060</v>
      </c>
      <c r="BE177" s="317">
        <v>29470</v>
      </c>
      <c r="BF177" s="317">
        <v>29930</v>
      </c>
    </row>
    <row r="178" spans="1:58" x14ac:dyDescent="0.2">
      <c r="A178" s="318" t="s">
        <v>82</v>
      </c>
      <c r="B178" s="315"/>
      <c r="C178" s="317">
        <v>11080</v>
      </c>
      <c r="D178" s="317">
        <v>11500</v>
      </c>
      <c r="E178" s="317">
        <v>11530</v>
      </c>
      <c r="F178" s="317">
        <v>11160</v>
      </c>
      <c r="G178" s="317">
        <v>11280</v>
      </c>
      <c r="H178" s="317">
        <v>11220</v>
      </c>
      <c r="I178" s="317">
        <v>11270</v>
      </c>
      <c r="J178" s="317">
        <v>11870</v>
      </c>
      <c r="K178" s="317">
        <v>12480</v>
      </c>
      <c r="L178" s="317">
        <v>12910</v>
      </c>
      <c r="M178" s="317">
        <v>13530</v>
      </c>
      <c r="N178" s="317">
        <v>14550</v>
      </c>
      <c r="O178" s="317">
        <v>15850</v>
      </c>
      <c r="P178" s="317">
        <v>16130</v>
      </c>
      <c r="Q178" s="317">
        <v>14500</v>
      </c>
      <c r="R178" s="317">
        <v>16090</v>
      </c>
      <c r="S178" s="317">
        <v>16980</v>
      </c>
      <c r="T178" s="317">
        <v>17970</v>
      </c>
      <c r="U178" s="317">
        <v>21280</v>
      </c>
      <c r="V178" s="317">
        <v>21220</v>
      </c>
      <c r="W178" s="317">
        <v>20830</v>
      </c>
      <c r="X178" s="317">
        <v>21580</v>
      </c>
      <c r="Y178" s="317">
        <v>21550</v>
      </c>
      <c r="Z178" s="317">
        <v>21920</v>
      </c>
      <c r="AA178" s="317">
        <v>22360</v>
      </c>
      <c r="AB178" s="317">
        <v>23310</v>
      </c>
      <c r="AC178" s="317">
        <v>23990</v>
      </c>
      <c r="AD178" s="317">
        <v>24870</v>
      </c>
      <c r="AE178" s="317">
        <v>25470</v>
      </c>
      <c r="AF178" s="317">
        <v>26080</v>
      </c>
      <c r="AG178" s="317">
        <v>27310</v>
      </c>
      <c r="AH178" s="317">
        <v>27780</v>
      </c>
      <c r="AI178" s="317">
        <v>29160</v>
      </c>
      <c r="AJ178" s="317">
        <v>29740</v>
      </c>
      <c r="AK178" s="317">
        <v>29980</v>
      </c>
      <c r="AL178" s="317">
        <v>29250</v>
      </c>
      <c r="AM178" s="317">
        <v>28430</v>
      </c>
      <c r="AN178" s="317">
        <v>28230</v>
      </c>
      <c r="AO178" s="317">
        <v>28360</v>
      </c>
      <c r="AP178" s="317">
        <v>28640</v>
      </c>
      <c r="AQ178" s="317">
        <v>29140</v>
      </c>
      <c r="AR178" s="317">
        <v>28950</v>
      </c>
      <c r="AS178" s="317">
        <v>29880</v>
      </c>
      <c r="AT178" s="317">
        <v>29440</v>
      </c>
      <c r="AU178" s="317">
        <v>28260</v>
      </c>
      <c r="AV178" s="317">
        <v>27290</v>
      </c>
      <c r="AW178" s="317">
        <v>26300</v>
      </c>
      <c r="AX178" s="317">
        <v>25230</v>
      </c>
      <c r="AY178" s="317">
        <v>25300</v>
      </c>
      <c r="AZ178" s="317">
        <v>25150</v>
      </c>
      <c r="BA178" s="317">
        <v>26150</v>
      </c>
      <c r="BB178" s="317">
        <v>26560</v>
      </c>
      <c r="BC178" s="317">
        <v>27100</v>
      </c>
      <c r="BD178" s="317">
        <v>27930</v>
      </c>
      <c r="BE178" s="317">
        <v>28860</v>
      </c>
      <c r="BF178" s="317">
        <v>29270</v>
      </c>
    </row>
    <row r="179" spans="1:58" x14ac:dyDescent="0.2">
      <c r="A179" s="318" t="s">
        <v>83</v>
      </c>
      <c r="B179" s="315"/>
      <c r="C179" s="317">
        <v>10800</v>
      </c>
      <c r="D179" s="317">
        <v>10770</v>
      </c>
      <c r="E179" s="317">
        <v>11190</v>
      </c>
      <c r="F179" s="317">
        <v>11220</v>
      </c>
      <c r="G179" s="317">
        <v>10860</v>
      </c>
      <c r="H179" s="317">
        <v>11000</v>
      </c>
      <c r="I179" s="317">
        <v>10920</v>
      </c>
      <c r="J179" s="317">
        <v>10980</v>
      </c>
      <c r="K179" s="317">
        <v>11570</v>
      </c>
      <c r="L179" s="317">
        <v>12180</v>
      </c>
      <c r="M179" s="317">
        <v>12600</v>
      </c>
      <c r="N179" s="317">
        <v>13210</v>
      </c>
      <c r="O179" s="317">
        <v>14220</v>
      </c>
      <c r="P179" s="317">
        <v>15490</v>
      </c>
      <c r="Q179" s="317">
        <v>15780</v>
      </c>
      <c r="R179" s="317">
        <v>14200</v>
      </c>
      <c r="S179" s="317">
        <v>15760</v>
      </c>
      <c r="T179" s="317">
        <v>16640</v>
      </c>
      <c r="U179" s="317">
        <v>17620</v>
      </c>
      <c r="V179" s="317">
        <v>20870</v>
      </c>
      <c r="W179" s="317">
        <v>20820</v>
      </c>
      <c r="X179" s="317">
        <v>20450</v>
      </c>
      <c r="Y179" s="317">
        <v>21190</v>
      </c>
      <c r="Z179" s="317">
        <v>21170</v>
      </c>
      <c r="AA179" s="317">
        <v>21540</v>
      </c>
      <c r="AB179" s="317">
        <v>21990</v>
      </c>
      <c r="AC179" s="317">
        <v>22930</v>
      </c>
      <c r="AD179" s="317">
        <v>23610</v>
      </c>
      <c r="AE179" s="317">
        <v>24480</v>
      </c>
      <c r="AF179" s="317">
        <v>25080</v>
      </c>
      <c r="AG179" s="317">
        <v>25690</v>
      </c>
      <c r="AH179" s="317">
        <v>26910</v>
      </c>
      <c r="AI179" s="317">
        <v>27380</v>
      </c>
      <c r="AJ179" s="317">
        <v>28760</v>
      </c>
      <c r="AK179" s="317">
        <v>29340</v>
      </c>
      <c r="AL179" s="317">
        <v>29590</v>
      </c>
      <c r="AM179" s="317">
        <v>28880</v>
      </c>
      <c r="AN179" s="317">
        <v>28080</v>
      </c>
      <c r="AO179" s="317">
        <v>27880</v>
      </c>
      <c r="AP179" s="317">
        <v>28030</v>
      </c>
      <c r="AQ179" s="317">
        <v>28310</v>
      </c>
      <c r="AR179" s="317">
        <v>28810</v>
      </c>
      <c r="AS179" s="317">
        <v>28630</v>
      </c>
      <c r="AT179" s="317">
        <v>29560</v>
      </c>
      <c r="AU179" s="317">
        <v>29130</v>
      </c>
      <c r="AV179" s="317">
        <v>27970</v>
      </c>
      <c r="AW179" s="317">
        <v>27010</v>
      </c>
      <c r="AX179" s="317">
        <v>26040</v>
      </c>
      <c r="AY179" s="317">
        <v>24990</v>
      </c>
      <c r="AZ179" s="317">
        <v>25070</v>
      </c>
      <c r="BA179" s="317">
        <v>24920</v>
      </c>
      <c r="BB179" s="317">
        <v>25920</v>
      </c>
      <c r="BC179" s="317">
        <v>26340</v>
      </c>
      <c r="BD179" s="317">
        <v>26880</v>
      </c>
      <c r="BE179" s="317">
        <v>27700</v>
      </c>
      <c r="BF179" s="317">
        <v>28640</v>
      </c>
    </row>
    <row r="180" spans="1:58" x14ac:dyDescent="0.2">
      <c r="A180" s="318" t="s">
        <v>84</v>
      </c>
      <c r="B180" s="315"/>
      <c r="C180" s="317">
        <v>10220</v>
      </c>
      <c r="D180" s="317">
        <v>10420</v>
      </c>
      <c r="E180" s="317">
        <v>10420</v>
      </c>
      <c r="F180" s="317">
        <v>10830</v>
      </c>
      <c r="G180" s="317">
        <v>10910</v>
      </c>
      <c r="H180" s="317">
        <v>10540</v>
      </c>
      <c r="I180" s="317">
        <v>10660</v>
      </c>
      <c r="J180" s="317">
        <v>10600</v>
      </c>
      <c r="K180" s="317">
        <v>10660</v>
      </c>
      <c r="L180" s="317">
        <v>11250</v>
      </c>
      <c r="M180" s="317">
        <v>11840</v>
      </c>
      <c r="N180" s="317">
        <v>12270</v>
      </c>
      <c r="O180" s="317">
        <v>12870</v>
      </c>
      <c r="P180" s="317">
        <v>13860</v>
      </c>
      <c r="Q180" s="317">
        <v>15110</v>
      </c>
      <c r="R180" s="317">
        <v>15400</v>
      </c>
      <c r="S180" s="317">
        <v>13860</v>
      </c>
      <c r="T180" s="317">
        <v>15390</v>
      </c>
      <c r="U180" s="317">
        <v>16260</v>
      </c>
      <c r="V180" s="317">
        <v>17220</v>
      </c>
      <c r="W180" s="317">
        <v>20410</v>
      </c>
      <c r="X180" s="317">
        <v>20370</v>
      </c>
      <c r="Y180" s="317">
        <v>20020</v>
      </c>
      <c r="Z180" s="317">
        <v>20760</v>
      </c>
      <c r="AA180" s="317">
        <v>20750</v>
      </c>
      <c r="AB180" s="317">
        <v>21120</v>
      </c>
      <c r="AC180" s="317">
        <v>21570</v>
      </c>
      <c r="AD180" s="317">
        <v>22500</v>
      </c>
      <c r="AE180" s="317">
        <v>23180</v>
      </c>
      <c r="AF180" s="317">
        <v>24050</v>
      </c>
      <c r="AG180" s="317">
        <v>24640</v>
      </c>
      <c r="AH180" s="317">
        <v>25260</v>
      </c>
      <c r="AI180" s="317">
        <v>26460</v>
      </c>
      <c r="AJ180" s="317">
        <v>26940</v>
      </c>
      <c r="AK180" s="317">
        <v>28300</v>
      </c>
      <c r="AL180" s="317">
        <v>28880</v>
      </c>
      <c r="AM180" s="317">
        <v>29140</v>
      </c>
      <c r="AN180" s="317">
        <v>28450</v>
      </c>
      <c r="AO180" s="317">
        <v>27670</v>
      </c>
      <c r="AP180" s="317">
        <v>27490</v>
      </c>
      <c r="AQ180" s="317">
        <v>27640</v>
      </c>
      <c r="AR180" s="317">
        <v>27930</v>
      </c>
      <c r="AS180" s="317">
        <v>28430</v>
      </c>
      <c r="AT180" s="317">
        <v>28260</v>
      </c>
      <c r="AU180" s="317">
        <v>29180</v>
      </c>
      <c r="AV180" s="317">
        <v>28770</v>
      </c>
      <c r="AW180" s="317">
        <v>27640</v>
      </c>
      <c r="AX180" s="317">
        <v>26700</v>
      </c>
      <c r="AY180" s="317">
        <v>25750</v>
      </c>
      <c r="AZ180" s="317">
        <v>24710</v>
      </c>
      <c r="BA180" s="317">
        <v>24800</v>
      </c>
      <c r="BB180" s="317">
        <v>24660</v>
      </c>
      <c r="BC180" s="317">
        <v>25660</v>
      </c>
      <c r="BD180" s="317">
        <v>26070</v>
      </c>
      <c r="BE180" s="317">
        <v>26610</v>
      </c>
      <c r="BF180" s="317">
        <v>27430</v>
      </c>
    </row>
    <row r="181" spans="1:58" x14ac:dyDescent="0.2">
      <c r="A181" s="318" t="s">
        <v>85</v>
      </c>
      <c r="B181" s="315"/>
      <c r="C181" s="317">
        <v>9890</v>
      </c>
      <c r="D181" s="317">
        <v>9870</v>
      </c>
      <c r="E181" s="317">
        <v>10050</v>
      </c>
      <c r="F181" s="317">
        <v>10040</v>
      </c>
      <c r="G181" s="317">
        <v>10460</v>
      </c>
      <c r="H181" s="317">
        <v>10550</v>
      </c>
      <c r="I181" s="317">
        <v>10170</v>
      </c>
      <c r="J181" s="317">
        <v>10300</v>
      </c>
      <c r="K181" s="317">
        <v>10250</v>
      </c>
      <c r="L181" s="317">
        <v>10320</v>
      </c>
      <c r="M181" s="317">
        <v>10890</v>
      </c>
      <c r="N181" s="317">
        <v>11480</v>
      </c>
      <c r="O181" s="317">
        <v>11890</v>
      </c>
      <c r="P181" s="317">
        <v>12490</v>
      </c>
      <c r="Q181" s="317">
        <v>13450</v>
      </c>
      <c r="R181" s="317">
        <v>14680</v>
      </c>
      <c r="S181" s="317">
        <v>14970</v>
      </c>
      <c r="T181" s="317">
        <v>13480</v>
      </c>
      <c r="U181" s="317">
        <v>14980</v>
      </c>
      <c r="V181" s="317">
        <v>15840</v>
      </c>
      <c r="W181" s="317">
        <v>16790</v>
      </c>
      <c r="X181" s="317">
        <v>19900</v>
      </c>
      <c r="Y181" s="317">
        <v>19880</v>
      </c>
      <c r="Z181" s="317">
        <v>19540</v>
      </c>
      <c r="AA181" s="317">
        <v>20270</v>
      </c>
      <c r="AB181" s="317">
        <v>20270</v>
      </c>
      <c r="AC181" s="317">
        <v>20650</v>
      </c>
      <c r="AD181" s="317">
        <v>21100</v>
      </c>
      <c r="AE181" s="317">
        <v>22020</v>
      </c>
      <c r="AF181" s="317">
        <v>22690</v>
      </c>
      <c r="AG181" s="317">
        <v>23550</v>
      </c>
      <c r="AH181" s="317">
        <v>24150</v>
      </c>
      <c r="AI181" s="317">
        <v>24760</v>
      </c>
      <c r="AJ181" s="317">
        <v>25950</v>
      </c>
      <c r="AK181" s="317">
        <v>26430</v>
      </c>
      <c r="AL181" s="317">
        <v>27780</v>
      </c>
      <c r="AM181" s="317">
        <v>28360</v>
      </c>
      <c r="AN181" s="317">
        <v>28620</v>
      </c>
      <c r="AO181" s="317">
        <v>27950</v>
      </c>
      <c r="AP181" s="317">
        <v>27200</v>
      </c>
      <c r="AQ181" s="317">
        <v>27030</v>
      </c>
      <c r="AR181" s="317">
        <v>27190</v>
      </c>
      <c r="AS181" s="317">
        <v>27490</v>
      </c>
      <c r="AT181" s="317">
        <v>27990</v>
      </c>
      <c r="AU181" s="317">
        <v>27830</v>
      </c>
      <c r="AV181" s="317">
        <v>28750</v>
      </c>
      <c r="AW181" s="317">
        <v>28360</v>
      </c>
      <c r="AX181" s="317">
        <v>27240</v>
      </c>
      <c r="AY181" s="317">
        <v>26330</v>
      </c>
      <c r="AZ181" s="317">
        <v>25400</v>
      </c>
      <c r="BA181" s="317">
        <v>24380</v>
      </c>
      <c r="BB181" s="317">
        <v>24480</v>
      </c>
      <c r="BC181" s="317">
        <v>24350</v>
      </c>
      <c r="BD181" s="317">
        <v>25340</v>
      </c>
      <c r="BE181" s="317">
        <v>25760</v>
      </c>
      <c r="BF181" s="317">
        <v>26300</v>
      </c>
    </row>
    <row r="182" spans="1:58" x14ac:dyDescent="0.2">
      <c r="A182" s="318" t="s">
        <v>86</v>
      </c>
      <c r="B182" s="315"/>
      <c r="C182" s="317">
        <v>9610</v>
      </c>
      <c r="D182" s="317">
        <v>9490</v>
      </c>
      <c r="E182" s="317">
        <v>9460</v>
      </c>
      <c r="F182" s="317">
        <v>9630</v>
      </c>
      <c r="G182" s="317">
        <v>9650</v>
      </c>
      <c r="H182" s="317">
        <v>10020</v>
      </c>
      <c r="I182" s="317">
        <v>10120</v>
      </c>
      <c r="J182" s="317">
        <v>9770</v>
      </c>
      <c r="K182" s="317">
        <v>9910</v>
      </c>
      <c r="L182" s="317">
        <v>9870</v>
      </c>
      <c r="M182" s="317">
        <v>9940</v>
      </c>
      <c r="N182" s="317">
        <v>10500</v>
      </c>
      <c r="O182" s="317">
        <v>11070</v>
      </c>
      <c r="P182" s="317">
        <v>11480</v>
      </c>
      <c r="Q182" s="317">
        <v>12070</v>
      </c>
      <c r="R182" s="317">
        <v>13010</v>
      </c>
      <c r="S182" s="317">
        <v>14200</v>
      </c>
      <c r="T182" s="317">
        <v>14490</v>
      </c>
      <c r="U182" s="317">
        <v>13060</v>
      </c>
      <c r="V182" s="317">
        <v>14520</v>
      </c>
      <c r="W182" s="317">
        <v>15360</v>
      </c>
      <c r="X182" s="317">
        <v>16290</v>
      </c>
      <c r="Y182" s="317">
        <v>19330</v>
      </c>
      <c r="Z182" s="317">
        <v>19310</v>
      </c>
      <c r="AA182" s="317">
        <v>19000</v>
      </c>
      <c r="AB182" s="317">
        <v>19720</v>
      </c>
      <c r="AC182" s="317">
        <v>19730</v>
      </c>
      <c r="AD182" s="317">
        <v>20110</v>
      </c>
      <c r="AE182" s="317">
        <v>20560</v>
      </c>
      <c r="AF182" s="317">
        <v>21470</v>
      </c>
      <c r="AG182" s="317">
        <v>22140</v>
      </c>
      <c r="AH182" s="317">
        <v>22990</v>
      </c>
      <c r="AI182" s="317">
        <v>23580</v>
      </c>
      <c r="AJ182" s="317">
        <v>24190</v>
      </c>
      <c r="AK182" s="317">
        <v>25370</v>
      </c>
      <c r="AL182" s="317">
        <v>25840</v>
      </c>
      <c r="AM182" s="317">
        <v>27180</v>
      </c>
      <c r="AN182" s="317">
        <v>27750</v>
      </c>
      <c r="AO182" s="317">
        <v>28020</v>
      </c>
      <c r="AP182" s="317">
        <v>27390</v>
      </c>
      <c r="AQ182" s="317">
        <v>26660</v>
      </c>
      <c r="AR182" s="317">
        <v>26500</v>
      </c>
      <c r="AS182" s="317">
        <v>26670</v>
      </c>
      <c r="AT182" s="317">
        <v>26970</v>
      </c>
      <c r="AU182" s="317">
        <v>27470</v>
      </c>
      <c r="AV182" s="317">
        <v>27330</v>
      </c>
      <c r="AW182" s="317">
        <v>28240</v>
      </c>
      <c r="AX182" s="317">
        <v>27870</v>
      </c>
      <c r="AY182" s="317">
        <v>26780</v>
      </c>
      <c r="AZ182" s="317">
        <v>25890</v>
      </c>
      <c r="BA182" s="317">
        <v>24990</v>
      </c>
      <c r="BB182" s="317">
        <v>24000</v>
      </c>
      <c r="BC182" s="317">
        <v>24100</v>
      </c>
      <c r="BD182" s="317">
        <v>23980</v>
      </c>
      <c r="BE182" s="317">
        <v>24960</v>
      </c>
      <c r="BF182" s="317">
        <v>25380</v>
      </c>
    </row>
    <row r="183" spans="1:58" x14ac:dyDescent="0.2">
      <c r="A183" s="318" t="s">
        <v>87</v>
      </c>
      <c r="B183" s="315"/>
      <c r="C183" s="317">
        <v>8770</v>
      </c>
      <c r="D183" s="317">
        <v>9140</v>
      </c>
      <c r="E183" s="317">
        <v>9050</v>
      </c>
      <c r="F183" s="317">
        <v>9030</v>
      </c>
      <c r="G183" s="317">
        <v>9210</v>
      </c>
      <c r="H183" s="317">
        <v>9210</v>
      </c>
      <c r="I183" s="317">
        <v>9560</v>
      </c>
      <c r="J183" s="317">
        <v>9670</v>
      </c>
      <c r="K183" s="317">
        <v>9340</v>
      </c>
      <c r="L183" s="317">
        <v>9480</v>
      </c>
      <c r="M183" s="317">
        <v>9450</v>
      </c>
      <c r="N183" s="317">
        <v>9530</v>
      </c>
      <c r="O183" s="317">
        <v>10070</v>
      </c>
      <c r="P183" s="317">
        <v>10630</v>
      </c>
      <c r="Q183" s="317">
        <v>11030</v>
      </c>
      <c r="R183" s="317">
        <v>11600</v>
      </c>
      <c r="S183" s="317">
        <v>12520</v>
      </c>
      <c r="T183" s="317">
        <v>13670</v>
      </c>
      <c r="U183" s="317">
        <v>13960</v>
      </c>
      <c r="V183" s="317">
        <v>12600</v>
      </c>
      <c r="W183" s="317">
        <v>14010</v>
      </c>
      <c r="X183" s="317">
        <v>14830</v>
      </c>
      <c r="Y183" s="317">
        <v>15740</v>
      </c>
      <c r="Z183" s="317">
        <v>18680</v>
      </c>
      <c r="AA183" s="317">
        <v>18680</v>
      </c>
      <c r="AB183" s="317">
        <v>18400</v>
      </c>
      <c r="AC183" s="317">
        <v>19100</v>
      </c>
      <c r="AD183" s="317">
        <v>19130</v>
      </c>
      <c r="AE183" s="317">
        <v>19500</v>
      </c>
      <c r="AF183" s="317">
        <v>19950</v>
      </c>
      <c r="AG183" s="317">
        <v>20840</v>
      </c>
      <c r="AH183" s="317">
        <v>21500</v>
      </c>
      <c r="AI183" s="317">
        <v>22340</v>
      </c>
      <c r="AJ183" s="317">
        <v>22930</v>
      </c>
      <c r="AK183" s="317">
        <v>23530</v>
      </c>
      <c r="AL183" s="317">
        <v>24690</v>
      </c>
      <c r="AM183" s="317">
        <v>25170</v>
      </c>
      <c r="AN183" s="317">
        <v>26480</v>
      </c>
      <c r="AO183" s="317">
        <v>27060</v>
      </c>
      <c r="AP183" s="317">
        <v>27340</v>
      </c>
      <c r="AQ183" s="317">
        <v>26720</v>
      </c>
      <c r="AR183" s="317">
        <v>26030</v>
      </c>
      <c r="AS183" s="317">
        <v>25890</v>
      </c>
      <c r="AT183" s="317">
        <v>26060</v>
      </c>
      <c r="AU183" s="317">
        <v>26370</v>
      </c>
      <c r="AV183" s="317">
        <v>26870</v>
      </c>
      <c r="AW183" s="317">
        <v>26750</v>
      </c>
      <c r="AX183" s="317">
        <v>27650</v>
      </c>
      <c r="AY183" s="317">
        <v>27290</v>
      </c>
      <c r="AZ183" s="317">
        <v>26240</v>
      </c>
      <c r="BA183" s="317">
        <v>25380</v>
      </c>
      <c r="BB183" s="317">
        <v>24500</v>
      </c>
      <c r="BC183" s="317">
        <v>23540</v>
      </c>
      <c r="BD183" s="317">
        <v>23650</v>
      </c>
      <c r="BE183" s="317">
        <v>23540</v>
      </c>
      <c r="BF183" s="317">
        <v>24510</v>
      </c>
    </row>
    <row r="184" spans="1:58" x14ac:dyDescent="0.2">
      <c r="A184" s="318" t="s">
        <v>88</v>
      </c>
      <c r="B184" s="315"/>
      <c r="C184" s="317">
        <v>8030</v>
      </c>
      <c r="D184" s="317">
        <v>8310</v>
      </c>
      <c r="E184" s="317">
        <v>8630</v>
      </c>
      <c r="F184" s="317">
        <v>8560</v>
      </c>
      <c r="G184" s="317">
        <v>8530</v>
      </c>
      <c r="H184" s="317">
        <v>8740</v>
      </c>
      <c r="I184" s="317">
        <v>8720</v>
      </c>
      <c r="J184" s="317">
        <v>9060</v>
      </c>
      <c r="K184" s="317">
        <v>9170</v>
      </c>
      <c r="L184" s="317">
        <v>8870</v>
      </c>
      <c r="M184" s="317">
        <v>9010</v>
      </c>
      <c r="N184" s="317">
        <v>8990</v>
      </c>
      <c r="O184" s="317">
        <v>9080</v>
      </c>
      <c r="P184" s="317">
        <v>9600</v>
      </c>
      <c r="Q184" s="317">
        <v>10140</v>
      </c>
      <c r="R184" s="317">
        <v>10540</v>
      </c>
      <c r="S184" s="317">
        <v>11090</v>
      </c>
      <c r="T184" s="317">
        <v>11970</v>
      </c>
      <c r="U184" s="317">
        <v>13090</v>
      </c>
      <c r="V184" s="317">
        <v>13380</v>
      </c>
      <c r="W184" s="317">
        <v>12080</v>
      </c>
      <c r="X184" s="317">
        <v>13440</v>
      </c>
      <c r="Y184" s="317">
        <v>14240</v>
      </c>
      <c r="Z184" s="317">
        <v>15120</v>
      </c>
      <c r="AA184" s="317">
        <v>17960</v>
      </c>
      <c r="AB184" s="317">
        <v>17980</v>
      </c>
      <c r="AC184" s="317">
        <v>17710</v>
      </c>
      <c r="AD184" s="317">
        <v>18410</v>
      </c>
      <c r="AE184" s="317">
        <v>18440</v>
      </c>
      <c r="AF184" s="317">
        <v>18820</v>
      </c>
      <c r="AG184" s="317">
        <v>19260</v>
      </c>
      <c r="AH184" s="317">
        <v>20130</v>
      </c>
      <c r="AI184" s="317">
        <v>20780</v>
      </c>
      <c r="AJ184" s="317">
        <v>21610</v>
      </c>
      <c r="AK184" s="317">
        <v>22190</v>
      </c>
      <c r="AL184" s="317">
        <v>22790</v>
      </c>
      <c r="AM184" s="317">
        <v>23920</v>
      </c>
      <c r="AN184" s="317">
        <v>24400</v>
      </c>
      <c r="AO184" s="317">
        <v>25680</v>
      </c>
      <c r="AP184" s="317">
        <v>26260</v>
      </c>
      <c r="AQ184" s="317">
        <v>26540</v>
      </c>
      <c r="AR184" s="317">
        <v>25960</v>
      </c>
      <c r="AS184" s="317">
        <v>25300</v>
      </c>
      <c r="AT184" s="317">
        <v>25180</v>
      </c>
      <c r="AU184" s="317">
        <v>25360</v>
      </c>
      <c r="AV184" s="317">
        <v>25670</v>
      </c>
      <c r="AW184" s="317">
        <v>26170</v>
      </c>
      <c r="AX184" s="317">
        <v>26060</v>
      </c>
      <c r="AY184" s="317">
        <v>26950</v>
      </c>
      <c r="AZ184" s="317">
        <v>26610</v>
      </c>
      <c r="BA184" s="317">
        <v>25600</v>
      </c>
      <c r="BB184" s="317">
        <v>24770</v>
      </c>
      <c r="BC184" s="317">
        <v>23920</v>
      </c>
      <c r="BD184" s="317">
        <v>22990</v>
      </c>
      <c r="BE184" s="317">
        <v>23110</v>
      </c>
      <c r="BF184" s="317">
        <v>23010</v>
      </c>
    </row>
    <row r="185" spans="1:58" x14ac:dyDescent="0.2">
      <c r="A185" s="318" t="s">
        <v>89</v>
      </c>
      <c r="B185" s="315"/>
      <c r="C185" s="317">
        <v>7700</v>
      </c>
      <c r="D185" s="317">
        <v>7520</v>
      </c>
      <c r="E185" s="317">
        <v>7800</v>
      </c>
      <c r="F185" s="317">
        <v>8130</v>
      </c>
      <c r="G185" s="317">
        <v>8060</v>
      </c>
      <c r="H185" s="317">
        <v>8030</v>
      </c>
      <c r="I185" s="317">
        <v>8210</v>
      </c>
      <c r="J185" s="317">
        <v>8200</v>
      </c>
      <c r="K185" s="317">
        <v>8530</v>
      </c>
      <c r="L185" s="317">
        <v>8640</v>
      </c>
      <c r="M185" s="317">
        <v>8370</v>
      </c>
      <c r="N185" s="317">
        <v>8510</v>
      </c>
      <c r="O185" s="317">
        <v>8500</v>
      </c>
      <c r="P185" s="317">
        <v>8590</v>
      </c>
      <c r="Q185" s="317">
        <v>9090</v>
      </c>
      <c r="R185" s="317">
        <v>9610</v>
      </c>
      <c r="S185" s="317">
        <v>9990</v>
      </c>
      <c r="T185" s="317">
        <v>10520</v>
      </c>
      <c r="U185" s="317">
        <v>11370</v>
      </c>
      <c r="V185" s="317">
        <v>12440</v>
      </c>
      <c r="W185" s="317">
        <v>12730</v>
      </c>
      <c r="X185" s="317">
        <v>11500</v>
      </c>
      <c r="Y185" s="317">
        <v>12810</v>
      </c>
      <c r="Z185" s="317">
        <v>13590</v>
      </c>
      <c r="AA185" s="317">
        <v>14440</v>
      </c>
      <c r="AB185" s="317">
        <v>17160</v>
      </c>
      <c r="AC185" s="317">
        <v>17190</v>
      </c>
      <c r="AD185" s="317">
        <v>16940</v>
      </c>
      <c r="AE185" s="317">
        <v>17620</v>
      </c>
      <c r="AF185" s="317">
        <v>17670</v>
      </c>
      <c r="AG185" s="317">
        <v>18040</v>
      </c>
      <c r="AH185" s="317">
        <v>18480</v>
      </c>
      <c r="AI185" s="317">
        <v>19330</v>
      </c>
      <c r="AJ185" s="317">
        <v>19970</v>
      </c>
      <c r="AK185" s="317">
        <v>20770</v>
      </c>
      <c r="AL185" s="317">
        <v>21340</v>
      </c>
      <c r="AM185" s="317">
        <v>21930</v>
      </c>
      <c r="AN185" s="317">
        <v>23040</v>
      </c>
      <c r="AO185" s="317">
        <v>23510</v>
      </c>
      <c r="AP185" s="317">
        <v>24770</v>
      </c>
      <c r="AQ185" s="317">
        <v>25330</v>
      </c>
      <c r="AR185" s="317">
        <v>25620</v>
      </c>
      <c r="AS185" s="317">
        <v>25080</v>
      </c>
      <c r="AT185" s="317">
        <v>24450</v>
      </c>
      <c r="AU185" s="317">
        <v>24350</v>
      </c>
      <c r="AV185" s="317">
        <v>24540</v>
      </c>
      <c r="AW185" s="317">
        <v>24850</v>
      </c>
      <c r="AX185" s="317">
        <v>25350</v>
      </c>
      <c r="AY185" s="317">
        <v>25250</v>
      </c>
      <c r="AZ185" s="317">
        <v>26130</v>
      </c>
      <c r="BA185" s="317">
        <v>25820</v>
      </c>
      <c r="BB185" s="317">
        <v>24850</v>
      </c>
      <c r="BC185" s="317">
        <v>24050</v>
      </c>
      <c r="BD185" s="317">
        <v>23240</v>
      </c>
      <c r="BE185" s="317">
        <v>22350</v>
      </c>
      <c r="BF185" s="317">
        <v>22470</v>
      </c>
    </row>
    <row r="186" spans="1:58" x14ac:dyDescent="0.2">
      <c r="A186" s="318" t="s">
        <v>90</v>
      </c>
      <c r="B186" s="315"/>
      <c r="C186" s="317">
        <v>6940</v>
      </c>
      <c r="D186" s="317">
        <v>7150</v>
      </c>
      <c r="E186" s="317">
        <v>7020</v>
      </c>
      <c r="F186" s="317">
        <v>7280</v>
      </c>
      <c r="G186" s="317">
        <v>7600</v>
      </c>
      <c r="H186" s="317">
        <v>7490</v>
      </c>
      <c r="I186" s="317">
        <v>7470</v>
      </c>
      <c r="J186" s="317">
        <v>7650</v>
      </c>
      <c r="K186" s="317">
        <v>7640</v>
      </c>
      <c r="L186" s="317">
        <v>7960</v>
      </c>
      <c r="M186" s="317">
        <v>8080</v>
      </c>
      <c r="N186" s="317">
        <v>7830</v>
      </c>
      <c r="O186" s="317">
        <v>7970</v>
      </c>
      <c r="P186" s="317">
        <v>7970</v>
      </c>
      <c r="Q186" s="317">
        <v>8060</v>
      </c>
      <c r="R186" s="317">
        <v>8540</v>
      </c>
      <c r="S186" s="317">
        <v>9040</v>
      </c>
      <c r="T186" s="317">
        <v>9400</v>
      </c>
      <c r="U186" s="317">
        <v>9910</v>
      </c>
      <c r="V186" s="317">
        <v>10720</v>
      </c>
      <c r="W186" s="317">
        <v>11740</v>
      </c>
      <c r="X186" s="317">
        <v>12020</v>
      </c>
      <c r="Y186" s="317">
        <v>10870</v>
      </c>
      <c r="Z186" s="317">
        <v>12120</v>
      </c>
      <c r="AA186" s="317">
        <v>12860</v>
      </c>
      <c r="AB186" s="317">
        <v>13680</v>
      </c>
      <c r="AC186" s="317">
        <v>16270</v>
      </c>
      <c r="AD186" s="317">
        <v>16310</v>
      </c>
      <c r="AE186" s="317">
        <v>16090</v>
      </c>
      <c r="AF186" s="317">
        <v>16750</v>
      </c>
      <c r="AG186" s="317">
        <v>16800</v>
      </c>
      <c r="AH186" s="317">
        <v>17170</v>
      </c>
      <c r="AI186" s="317">
        <v>17600</v>
      </c>
      <c r="AJ186" s="317">
        <v>18420</v>
      </c>
      <c r="AK186" s="317">
        <v>19040</v>
      </c>
      <c r="AL186" s="317">
        <v>19830</v>
      </c>
      <c r="AM186" s="317">
        <v>20390</v>
      </c>
      <c r="AN186" s="317">
        <v>20960</v>
      </c>
      <c r="AO186" s="317">
        <v>22040</v>
      </c>
      <c r="AP186" s="317">
        <v>22510</v>
      </c>
      <c r="AQ186" s="317">
        <v>23720</v>
      </c>
      <c r="AR186" s="317">
        <v>24280</v>
      </c>
      <c r="AS186" s="317">
        <v>24570</v>
      </c>
      <c r="AT186" s="317">
        <v>24060</v>
      </c>
      <c r="AU186" s="317">
        <v>23480</v>
      </c>
      <c r="AV186" s="317">
        <v>23390</v>
      </c>
      <c r="AW186" s="317">
        <v>23590</v>
      </c>
      <c r="AX186" s="317">
        <v>23900</v>
      </c>
      <c r="AY186" s="317">
        <v>24390</v>
      </c>
      <c r="AZ186" s="317">
        <v>24320</v>
      </c>
      <c r="BA186" s="317">
        <v>25180</v>
      </c>
      <c r="BB186" s="317">
        <v>24890</v>
      </c>
      <c r="BC186" s="317">
        <v>23970</v>
      </c>
      <c r="BD186" s="317">
        <v>23220</v>
      </c>
      <c r="BE186" s="317">
        <v>22440</v>
      </c>
      <c r="BF186" s="317">
        <v>21600</v>
      </c>
    </row>
    <row r="187" spans="1:58" x14ac:dyDescent="0.2">
      <c r="A187" s="318" t="s">
        <v>91</v>
      </c>
      <c r="B187" s="315"/>
      <c r="C187" s="317">
        <v>6240</v>
      </c>
      <c r="D187" s="317">
        <v>6400</v>
      </c>
      <c r="E187" s="317">
        <v>6580</v>
      </c>
      <c r="F187" s="317">
        <v>6460</v>
      </c>
      <c r="G187" s="317">
        <v>6710</v>
      </c>
      <c r="H187" s="317">
        <v>7050</v>
      </c>
      <c r="I187" s="317">
        <v>6890</v>
      </c>
      <c r="J187" s="317">
        <v>6890</v>
      </c>
      <c r="K187" s="317">
        <v>7050</v>
      </c>
      <c r="L187" s="317">
        <v>7060</v>
      </c>
      <c r="M187" s="317">
        <v>7360</v>
      </c>
      <c r="N187" s="317">
        <v>7480</v>
      </c>
      <c r="O187" s="317">
        <v>7250</v>
      </c>
      <c r="P187" s="317">
        <v>7390</v>
      </c>
      <c r="Q187" s="317">
        <v>7400</v>
      </c>
      <c r="R187" s="317">
        <v>7490</v>
      </c>
      <c r="S187" s="317">
        <v>7940</v>
      </c>
      <c r="T187" s="317">
        <v>8420</v>
      </c>
      <c r="U187" s="317">
        <v>8770</v>
      </c>
      <c r="V187" s="317">
        <v>9250</v>
      </c>
      <c r="W187" s="317">
        <v>10010</v>
      </c>
      <c r="X187" s="317">
        <v>10980</v>
      </c>
      <c r="Y187" s="317">
        <v>11250</v>
      </c>
      <c r="Z187" s="317">
        <v>10180</v>
      </c>
      <c r="AA187" s="317">
        <v>11360</v>
      </c>
      <c r="AB187" s="317">
        <v>12070</v>
      </c>
      <c r="AC187" s="317">
        <v>12840</v>
      </c>
      <c r="AD187" s="317">
        <v>15290</v>
      </c>
      <c r="AE187" s="317">
        <v>15340</v>
      </c>
      <c r="AF187" s="317">
        <v>15150</v>
      </c>
      <c r="AG187" s="317">
        <v>15780</v>
      </c>
      <c r="AH187" s="317">
        <v>15840</v>
      </c>
      <c r="AI187" s="317">
        <v>16200</v>
      </c>
      <c r="AJ187" s="317">
        <v>16620</v>
      </c>
      <c r="AK187" s="317">
        <v>17410</v>
      </c>
      <c r="AL187" s="317">
        <v>18010</v>
      </c>
      <c r="AM187" s="317">
        <v>18770</v>
      </c>
      <c r="AN187" s="317">
        <v>19310</v>
      </c>
      <c r="AO187" s="317">
        <v>19880</v>
      </c>
      <c r="AP187" s="317">
        <v>20910</v>
      </c>
      <c r="AQ187" s="317">
        <v>21370</v>
      </c>
      <c r="AR187" s="317">
        <v>22540</v>
      </c>
      <c r="AS187" s="317">
        <v>23080</v>
      </c>
      <c r="AT187" s="317">
        <v>23380</v>
      </c>
      <c r="AU187" s="317">
        <v>22910</v>
      </c>
      <c r="AV187" s="317">
        <v>22370</v>
      </c>
      <c r="AW187" s="317">
        <v>22300</v>
      </c>
      <c r="AX187" s="317">
        <v>22500</v>
      </c>
      <c r="AY187" s="317">
        <v>22820</v>
      </c>
      <c r="AZ187" s="317">
        <v>23300</v>
      </c>
      <c r="BA187" s="317">
        <v>23240</v>
      </c>
      <c r="BB187" s="317">
        <v>24080</v>
      </c>
      <c r="BC187" s="317">
        <v>23820</v>
      </c>
      <c r="BD187" s="317">
        <v>22950</v>
      </c>
      <c r="BE187" s="317">
        <v>22240</v>
      </c>
      <c r="BF187" s="317">
        <v>21520</v>
      </c>
    </row>
    <row r="188" spans="1:58" x14ac:dyDescent="0.2">
      <c r="A188" s="318" t="s">
        <v>92</v>
      </c>
      <c r="B188" s="315"/>
      <c r="C188" s="317">
        <v>4700</v>
      </c>
      <c r="D188" s="317">
        <v>5650</v>
      </c>
      <c r="E188" s="317">
        <v>5770</v>
      </c>
      <c r="F188" s="317">
        <v>5960</v>
      </c>
      <c r="G188" s="317">
        <v>5900</v>
      </c>
      <c r="H188" s="317">
        <v>6120</v>
      </c>
      <c r="I188" s="317">
        <v>6410</v>
      </c>
      <c r="J188" s="317">
        <v>6280</v>
      </c>
      <c r="K188" s="317">
        <v>6280</v>
      </c>
      <c r="L188" s="317">
        <v>6440</v>
      </c>
      <c r="M188" s="317">
        <v>6450</v>
      </c>
      <c r="N188" s="317">
        <v>6740</v>
      </c>
      <c r="O188" s="317">
        <v>6850</v>
      </c>
      <c r="P188" s="317">
        <v>6650</v>
      </c>
      <c r="Q188" s="317">
        <v>6780</v>
      </c>
      <c r="R188" s="317">
        <v>6800</v>
      </c>
      <c r="S188" s="317">
        <v>6890</v>
      </c>
      <c r="T188" s="317">
        <v>7310</v>
      </c>
      <c r="U188" s="317">
        <v>7760</v>
      </c>
      <c r="V188" s="317">
        <v>8090</v>
      </c>
      <c r="W188" s="317">
        <v>8540</v>
      </c>
      <c r="X188" s="317">
        <v>9260</v>
      </c>
      <c r="Y188" s="317">
        <v>10160</v>
      </c>
      <c r="Z188" s="317">
        <v>10420</v>
      </c>
      <c r="AA188" s="317">
        <v>9440</v>
      </c>
      <c r="AB188" s="317">
        <v>10540</v>
      </c>
      <c r="AC188" s="317">
        <v>11210</v>
      </c>
      <c r="AD188" s="317">
        <v>11940</v>
      </c>
      <c r="AE188" s="317">
        <v>14230</v>
      </c>
      <c r="AF188" s="317">
        <v>14290</v>
      </c>
      <c r="AG188" s="317">
        <v>14120</v>
      </c>
      <c r="AH188" s="317">
        <v>14720</v>
      </c>
      <c r="AI188" s="317">
        <v>14790</v>
      </c>
      <c r="AJ188" s="317">
        <v>15140</v>
      </c>
      <c r="AK188" s="317">
        <v>15550</v>
      </c>
      <c r="AL188" s="317">
        <v>16300</v>
      </c>
      <c r="AM188" s="317">
        <v>16880</v>
      </c>
      <c r="AN188" s="317">
        <v>17600</v>
      </c>
      <c r="AO188" s="317">
        <v>18120</v>
      </c>
      <c r="AP188" s="317">
        <v>18670</v>
      </c>
      <c r="AQ188" s="317">
        <v>19650</v>
      </c>
      <c r="AR188" s="317">
        <v>20100</v>
      </c>
      <c r="AS188" s="317">
        <v>21210</v>
      </c>
      <c r="AT188" s="317">
        <v>21750</v>
      </c>
      <c r="AU188" s="317">
        <v>22040</v>
      </c>
      <c r="AV188" s="317">
        <v>21610</v>
      </c>
      <c r="AW188" s="317">
        <v>21120</v>
      </c>
      <c r="AX188" s="317">
        <v>21070</v>
      </c>
      <c r="AY188" s="317">
        <v>21270</v>
      </c>
      <c r="AZ188" s="317">
        <v>21590</v>
      </c>
      <c r="BA188" s="317">
        <v>22060</v>
      </c>
      <c r="BB188" s="317">
        <v>22020</v>
      </c>
      <c r="BC188" s="317">
        <v>22830</v>
      </c>
      <c r="BD188" s="317">
        <v>22600</v>
      </c>
      <c r="BE188" s="317">
        <v>21790</v>
      </c>
      <c r="BF188" s="317">
        <v>21130</v>
      </c>
    </row>
    <row r="189" spans="1:58" x14ac:dyDescent="0.2">
      <c r="A189" s="318" t="s">
        <v>93</v>
      </c>
      <c r="B189" s="315"/>
      <c r="C189" s="317">
        <v>4260</v>
      </c>
      <c r="D189" s="317">
        <v>4230</v>
      </c>
      <c r="E189" s="317">
        <v>5020</v>
      </c>
      <c r="F189" s="317">
        <v>5210</v>
      </c>
      <c r="G189" s="317">
        <v>5350</v>
      </c>
      <c r="H189" s="317">
        <v>5310</v>
      </c>
      <c r="I189" s="317">
        <v>5500</v>
      </c>
      <c r="J189" s="317">
        <v>5760</v>
      </c>
      <c r="K189" s="317">
        <v>5650</v>
      </c>
      <c r="L189" s="317">
        <v>5660</v>
      </c>
      <c r="M189" s="317">
        <v>5810</v>
      </c>
      <c r="N189" s="317">
        <v>5830</v>
      </c>
      <c r="O189" s="317">
        <v>6090</v>
      </c>
      <c r="P189" s="317">
        <v>6200</v>
      </c>
      <c r="Q189" s="317">
        <v>6030</v>
      </c>
      <c r="R189" s="317">
        <v>6150</v>
      </c>
      <c r="S189" s="317">
        <v>6170</v>
      </c>
      <c r="T189" s="317">
        <v>6260</v>
      </c>
      <c r="U189" s="317">
        <v>6660</v>
      </c>
      <c r="V189" s="317">
        <v>7070</v>
      </c>
      <c r="W189" s="317">
        <v>7380</v>
      </c>
      <c r="X189" s="317">
        <v>7800</v>
      </c>
      <c r="Y189" s="317">
        <v>8460</v>
      </c>
      <c r="Z189" s="317">
        <v>9290</v>
      </c>
      <c r="AA189" s="317">
        <v>9540</v>
      </c>
      <c r="AB189" s="317">
        <v>8650</v>
      </c>
      <c r="AC189" s="317">
        <v>9670</v>
      </c>
      <c r="AD189" s="317">
        <v>10290</v>
      </c>
      <c r="AE189" s="317">
        <v>10980</v>
      </c>
      <c r="AF189" s="317">
        <v>13090</v>
      </c>
      <c r="AG189" s="317">
        <v>13160</v>
      </c>
      <c r="AH189" s="317">
        <v>13020</v>
      </c>
      <c r="AI189" s="317">
        <v>13580</v>
      </c>
      <c r="AJ189" s="317">
        <v>13660</v>
      </c>
      <c r="AK189" s="317">
        <v>14000</v>
      </c>
      <c r="AL189" s="317">
        <v>14380</v>
      </c>
      <c r="AM189" s="317">
        <v>15090</v>
      </c>
      <c r="AN189" s="317">
        <v>15640</v>
      </c>
      <c r="AO189" s="317">
        <v>16320</v>
      </c>
      <c r="AP189" s="317">
        <v>16830</v>
      </c>
      <c r="AQ189" s="317">
        <v>17340</v>
      </c>
      <c r="AR189" s="317">
        <v>18270</v>
      </c>
      <c r="AS189" s="317">
        <v>18700</v>
      </c>
      <c r="AT189" s="317">
        <v>19760</v>
      </c>
      <c r="AU189" s="317">
        <v>20270</v>
      </c>
      <c r="AV189" s="317">
        <v>20560</v>
      </c>
      <c r="AW189" s="317">
        <v>20180</v>
      </c>
      <c r="AX189" s="317">
        <v>19730</v>
      </c>
      <c r="AY189" s="317">
        <v>19700</v>
      </c>
      <c r="AZ189" s="317">
        <v>19910</v>
      </c>
      <c r="BA189" s="317">
        <v>20210</v>
      </c>
      <c r="BB189" s="317">
        <v>20670</v>
      </c>
      <c r="BC189" s="317">
        <v>20650</v>
      </c>
      <c r="BD189" s="317">
        <v>21420</v>
      </c>
      <c r="BE189" s="317">
        <v>21220</v>
      </c>
      <c r="BF189" s="317">
        <v>20470</v>
      </c>
    </row>
    <row r="190" spans="1:58" x14ac:dyDescent="0.2">
      <c r="A190" s="318" t="s">
        <v>94</v>
      </c>
      <c r="B190" s="315"/>
      <c r="C190" s="317">
        <v>3770</v>
      </c>
      <c r="D190" s="317">
        <v>3750</v>
      </c>
      <c r="E190" s="317">
        <v>3750</v>
      </c>
      <c r="F190" s="317">
        <v>4440</v>
      </c>
      <c r="G190" s="317">
        <v>4610</v>
      </c>
      <c r="H190" s="317">
        <v>4750</v>
      </c>
      <c r="I190" s="317">
        <v>4700</v>
      </c>
      <c r="J190" s="317">
        <v>4870</v>
      </c>
      <c r="K190" s="317">
        <v>5110</v>
      </c>
      <c r="L190" s="317">
        <v>5020</v>
      </c>
      <c r="M190" s="317">
        <v>5030</v>
      </c>
      <c r="N190" s="317">
        <v>5170</v>
      </c>
      <c r="O190" s="317">
        <v>5190</v>
      </c>
      <c r="P190" s="317">
        <v>5440</v>
      </c>
      <c r="Q190" s="317">
        <v>5540</v>
      </c>
      <c r="R190" s="317">
        <v>5390</v>
      </c>
      <c r="S190" s="317">
        <v>5510</v>
      </c>
      <c r="T190" s="317">
        <v>5530</v>
      </c>
      <c r="U190" s="317">
        <v>5620</v>
      </c>
      <c r="V190" s="317">
        <v>5980</v>
      </c>
      <c r="W190" s="317">
        <v>6360</v>
      </c>
      <c r="X190" s="317">
        <v>6640</v>
      </c>
      <c r="Y190" s="317">
        <v>7030</v>
      </c>
      <c r="Z190" s="317">
        <v>7630</v>
      </c>
      <c r="AA190" s="317">
        <v>8390</v>
      </c>
      <c r="AB190" s="317">
        <v>8630</v>
      </c>
      <c r="AC190" s="317">
        <v>7830</v>
      </c>
      <c r="AD190" s="317">
        <v>8760</v>
      </c>
      <c r="AE190" s="317">
        <v>9340</v>
      </c>
      <c r="AF190" s="317">
        <v>9970</v>
      </c>
      <c r="AG190" s="317">
        <v>11900</v>
      </c>
      <c r="AH190" s="317">
        <v>11970</v>
      </c>
      <c r="AI190" s="317">
        <v>11850</v>
      </c>
      <c r="AJ190" s="317">
        <v>12380</v>
      </c>
      <c r="AK190" s="317">
        <v>12460</v>
      </c>
      <c r="AL190" s="317">
        <v>12780</v>
      </c>
      <c r="AM190" s="317">
        <v>13140</v>
      </c>
      <c r="AN190" s="317">
        <v>13810</v>
      </c>
      <c r="AO190" s="317">
        <v>14320</v>
      </c>
      <c r="AP190" s="317">
        <v>14960</v>
      </c>
      <c r="AQ190" s="317">
        <v>15430</v>
      </c>
      <c r="AR190" s="317">
        <v>15920</v>
      </c>
      <c r="AS190" s="317">
        <v>16790</v>
      </c>
      <c r="AT190" s="317">
        <v>17200</v>
      </c>
      <c r="AU190" s="317">
        <v>18180</v>
      </c>
      <c r="AV190" s="317">
        <v>18670</v>
      </c>
      <c r="AW190" s="317">
        <v>18950</v>
      </c>
      <c r="AX190" s="317">
        <v>18620</v>
      </c>
      <c r="AY190" s="317">
        <v>18220</v>
      </c>
      <c r="AZ190" s="317">
        <v>18200</v>
      </c>
      <c r="BA190" s="317">
        <v>18410</v>
      </c>
      <c r="BB190" s="317">
        <v>18710</v>
      </c>
      <c r="BC190" s="317">
        <v>19150</v>
      </c>
      <c r="BD190" s="317">
        <v>19150</v>
      </c>
      <c r="BE190" s="317">
        <v>19880</v>
      </c>
      <c r="BF190" s="317">
        <v>19700</v>
      </c>
    </row>
    <row r="191" spans="1:58" x14ac:dyDescent="0.2">
      <c r="A191" s="318" t="s">
        <v>95</v>
      </c>
      <c r="B191" s="315"/>
      <c r="C191" s="317">
        <v>14040</v>
      </c>
      <c r="D191" s="317">
        <v>14350</v>
      </c>
      <c r="E191" s="317">
        <v>14770</v>
      </c>
      <c r="F191" s="317">
        <v>15000</v>
      </c>
      <c r="G191" s="317">
        <v>16010</v>
      </c>
      <c r="H191" s="317">
        <v>16870</v>
      </c>
      <c r="I191" s="317">
        <v>17810</v>
      </c>
      <c r="J191" s="317">
        <v>18570</v>
      </c>
      <c r="K191" s="317">
        <v>19340</v>
      </c>
      <c r="L191" s="317">
        <v>20200</v>
      </c>
      <c r="M191" s="317">
        <v>20830</v>
      </c>
      <c r="N191" s="317">
        <v>21370</v>
      </c>
      <c r="O191" s="317">
        <v>21940</v>
      </c>
      <c r="P191" s="317">
        <v>22440</v>
      </c>
      <c r="Q191" s="317">
        <v>23080</v>
      </c>
      <c r="R191" s="317">
        <v>23710</v>
      </c>
      <c r="S191" s="317">
        <v>24120</v>
      </c>
      <c r="T191" s="317">
        <v>24580</v>
      </c>
      <c r="U191" s="317">
        <v>24990</v>
      </c>
      <c r="V191" s="317">
        <v>25430</v>
      </c>
      <c r="W191" s="317">
        <v>26130</v>
      </c>
      <c r="X191" s="317">
        <v>27080</v>
      </c>
      <c r="Y191" s="317">
        <v>28160</v>
      </c>
      <c r="Z191" s="317">
        <v>29450</v>
      </c>
      <c r="AA191" s="317">
        <v>31100</v>
      </c>
      <c r="AB191" s="317">
        <v>33210</v>
      </c>
      <c r="AC191" s="317">
        <v>35240</v>
      </c>
      <c r="AD191" s="317">
        <v>36280</v>
      </c>
      <c r="AE191" s="317">
        <v>37980</v>
      </c>
      <c r="AF191" s="317">
        <v>39940</v>
      </c>
      <c r="AG191" s="317">
        <v>42190</v>
      </c>
      <c r="AH191" s="317">
        <v>45850</v>
      </c>
      <c r="AI191" s="317">
        <v>49090</v>
      </c>
      <c r="AJ191" s="317">
        <v>51770</v>
      </c>
      <c r="AK191" s="317">
        <v>54520</v>
      </c>
      <c r="AL191" s="317">
        <v>56940</v>
      </c>
      <c r="AM191" s="317">
        <v>59270</v>
      </c>
      <c r="AN191" s="317">
        <v>61570</v>
      </c>
      <c r="AO191" s="317">
        <v>64130</v>
      </c>
      <c r="AP191" s="317">
        <v>66790</v>
      </c>
      <c r="AQ191" s="317">
        <v>69660</v>
      </c>
      <c r="AR191" s="317">
        <v>72560</v>
      </c>
      <c r="AS191" s="317">
        <v>75500</v>
      </c>
      <c r="AT191" s="317">
        <v>78820</v>
      </c>
      <c r="AU191" s="317">
        <v>82090</v>
      </c>
      <c r="AV191" s="317">
        <v>85820</v>
      </c>
      <c r="AW191" s="317">
        <v>89510</v>
      </c>
      <c r="AX191" s="317">
        <v>92980</v>
      </c>
      <c r="AY191" s="317">
        <v>95680</v>
      </c>
      <c r="AZ191" s="317">
        <v>97630</v>
      </c>
      <c r="BA191" s="317">
        <v>99280</v>
      </c>
      <c r="BB191" s="317">
        <v>100860</v>
      </c>
      <c r="BC191" s="317">
        <v>102490</v>
      </c>
      <c r="BD191" s="317">
        <v>104310</v>
      </c>
      <c r="BE191" s="317">
        <v>105920</v>
      </c>
      <c r="BF191" s="317">
        <v>108010</v>
      </c>
    </row>
    <row r="192" spans="1:58" x14ac:dyDescent="0.2">
      <c r="A192" s="314" t="s">
        <v>98</v>
      </c>
      <c r="B192" s="315"/>
      <c r="C192" s="316">
        <f t="shared" ref="C192:BF192" si="3">SUM(C$101:C$191)/1000000</f>
        <v>2.13625</v>
      </c>
      <c r="D192" s="316">
        <f t="shared" si="3"/>
        <v>2.1575799999999998</v>
      </c>
      <c r="E192" s="316">
        <f t="shared" si="3"/>
        <v>2.1766999999999999</v>
      </c>
      <c r="F192" s="316">
        <f t="shared" si="3"/>
        <v>2.1983000000000001</v>
      </c>
      <c r="G192" s="316">
        <f t="shared" si="3"/>
        <v>2.22322</v>
      </c>
      <c r="H192" s="316">
        <f t="shared" si="3"/>
        <v>2.2405400000000002</v>
      </c>
      <c r="I192" s="316">
        <f t="shared" si="3"/>
        <v>2.2538800000000001</v>
      </c>
      <c r="J192" s="316">
        <f t="shared" si="3"/>
        <v>2.2685599999999999</v>
      </c>
      <c r="K192" s="316">
        <f t="shared" si="3"/>
        <v>2.28653</v>
      </c>
      <c r="L192" s="316">
        <f t="shared" si="3"/>
        <v>2.3070599999999999</v>
      </c>
      <c r="M192" s="316">
        <f t="shared" si="3"/>
        <v>2.3275600000000001</v>
      </c>
      <c r="N192" s="316">
        <f t="shared" si="3"/>
        <v>2.3481700000000001</v>
      </c>
      <c r="O192" s="316">
        <f t="shared" si="3"/>
        <v>2.3689</v>
      </c>
      <c r="P192" s="316">
        <f t="shared" si="3"/>
        <v>2.3895900000000001</v>
      </c>
      <c r="Q192" s="316">
        <f t="shared" si="3"/>
        <v>2.4103500000000002</v>
      </c>
      <c r="R192" s="316">
        <f t="shared" si="3"/>
        <v>2.4310200000000002</v>
      </c>
      <c r="S192" s="316">
        <f t="shared" si="3"/>
        <v>2.45166</v>
      </c>
      <c r="T192" s="316">
        <f t="shared" si="3"/>
        <v>2.4721600000000001</v>
      </c>
      <c r="U192" s="316">
        <f t="shared" si="3"/>
        <v>2.49254</v>
      </c>
      <c r="V192" s="316">
        <f t="shared" si="3"/>
        <v>2.51267</v>
      </c>
      <c r="W192" s="316">
        <f t="shared" si="3"/>
        <v>2.5325700000000002</v>
      </c>
      <c r="X192" s="316">
        <f t="shared" si="3"/>
        <v>2.5520900000000002</v>
      </c>
      <c r="Y192" s="316">
        <f t="shared" si="3"/>
        <v>2.5712700000000002</v>
      </c>
      <c r="Z192" s="316">
        <f t="shared" si="3"/>
        <v>2.5899700000000001</v>
      </c>
      <c r="AA192" s="316">
        <f t="shared" si="3"/>
        <v>2.6083699999999999</v>
      </c>
      <c r="AB192" s="316">
        <f t="shared" si="3"/>
        <v>2.62615</v>
      </c>
      <c r="AC192" s="316">
        <f t="shared" si="3"/>
        <v>2.6434799999999998</v>
      </c>
      <c r="AD192" s="316">
        <f t="shared" si="3"/>
        <v>2.6602600000000001</v>
      </c>
      <c r="AE192" s="316">
        <f t="shared" si="3"/>
        <v>2.67672</v>
      </c>
      <c r="AF192" s="316">
        <f t="shared" si="3"/>
        <v>2.6925300000000001</v>
      </c>
      <c r="AG192" s="316">
        <f t="shared" si="3"/>
        <v>2.7079900000000001</v>
      </c>
      <c r="AH192" s="316">
        <f t="shared" si="3"/>
        <v>2.7230599999999998</v>
      </c>
      <c r="AI192" s="316">
        <f t="shared" si="3"/>
        <v>2.73766</v>
      </c>
      <c r="AJ192" s="316">
        <f t="shared" si="3"/>
        <v>2.7519</v>
      </c>
      <c r="AK192" s="316">
        <f t="shared" si="3"/>
        <v>2.7657799999999999</v>
      </c>
      <c r="AL192" s="316">
        <f t="shared" si="3"/>
        <v>2.7793100000000002</v>
      </c>
      <c r="AM192" s="316">
        <f t="shared" si="3"/>
        <v>2.7924500000000001</v>
      </c>
      <c r="AN192" s="316">
        <f t="shared" si="3"/>
        <v>2.8052899999999998</v>
      </c>
      <c r="AO192" s="316">
        <f t="shared" si="3"/>
        <v>2.8176800000000002</v>
      </c>
      <c r="AP192" s="316">
        <f t="shared" si="3"/>
        <v>2.8298199999999998</v>
      </c>
      <c r="AQ192" s="316">
        <f t="shared" si="3"/>
        <v>2.8415300000000001</v>
      </c>
      <c r="AR192" s="316">
        <f t="shared" si="3"/>
        <v>2.8529900000000001</v>
      </c>
      <c r="AS192" s="316">
        <f t="shared" si="3"/>
        <v>2.8639600000000001</v>
      </c>
      <c r="AT192" s="316">
        <f t="shared" si="3"/>
        <v>2.8748100000000001</v>
      </c>
      <c r="AU192" s="316">
        <f t="shared" si="3"/>
        <v>2.8852699999999998</v>
      </c>
      <c r="AV192" s="316">
        <f t="shared" si="3"/>
        <v>2.8954599999999999</v>
      </c>
      <c r="AW192" s="316">
        <f t="shared" si="3"/>
        <v>2.90544</v>
      </c>
      <c r="AX192" s="316">
        <f t="shared" si="3"/>
        <v>2.9151899999999999</v>
      </c>
      <c r="AY192" s="316">
        <f t="shared" si="3"/>
        <v>2.9247700000000001</v>
      </c>
      <c r="AZ192" s="316">
        <f t="shared" si="3"/>
        <v>2.9342999999999999</v>
      </c>
      <c r="BA192" s="316">
        <f t="shared" si="3"/>
        <v>2.94367</v>
      </c>
      <c r="BB192" s="316">
        <f t="shared" si="3"/>
        <v>2.9529399999999999</v>
      </c>
      <c r="BC192" s="316">
        <f t="shared" si="3"/>
        <v>2.9623200000000001</v>
      </c>
      <c r="BD192" s="316">
        <f t="shared" si="3"/>
        <v>2.9714999999999998</v>
      </c>
      <c r="BE192" s="316">
        <f t="shared" si="3"/>
        <v>2.9807800000000002</v>
      </c>
      <c r="BF192" s="316">
        <f t="shared" si="3"/>
        <v>2.9901499999999999</v>
      </c>
    </row>
    <row r="194" spans="1:58" ht="18.75" x14ac:dyDescent="0.3">
      <c r="A194" s="310" t="s">
        <v>349</v>
      </c>
      <c r="H194" s="319"/>
      <c r="I194" s="319"/>
    </row>
    <row r="195" spans="1:58" x14ac:dyDescent="0.2">
      <c r="A195" s="320" t="s">
        <v>168</v>
      </c>
      <c r="B195" s="321"/>
      <c r="C195" s="322"/>
      <c r="D195" s="217">
        <f t="shared" ref="D195:BF195" si="4">SUM(D$7:D$97,D$101:D$191)/SUM(C$7:C$97,C$101:C$191)-1</f>
        <v>1.0431029744565334E-2</v>
      </c>
      <c r="E195" s="217">
        <f t="shared" si="4"/>
        <v>9.6020131117144913E-3</v>
      </c>
      <c r="F195" s="217">
        <f t="shared" si="4"/>
        <v>1.0988830794025573E-2</v>
      </c>
      <c r="G195" s="217">
        <f t="shared" si="4"/>
        <v>1.2055730237106044E-2</v>
      </c>
      <c r="H195" s="217">
        <f t="shared" si="4"/>
        <v>8.530571314751878E-3</v>
      </c>
      <c r="I195" s="217">
        <f t="shared" si="4"/>
        <v>6.4130503872801281E-3</v>
      </c>
      <c r="J195" s="217">
        <f t="shared" si="4"/>
        <v>6.9315841590857907E-3</v>
      </c>
      <c r="K195" s="217">
        <f t="shared" si="4"/>
        <v>8.3869840459134259E-3</v>
      </c>
      <c r="L195" s="217">
        <f t="shared" si="4"/>
        <v>9.4168610463178926E-3</v>
      </c>
      <c r="M195" s="217">
        <f t="shared" si="4"/>
        <v>9.3092042280953358E-3</v>
      </c>
      <c r="N195" s="217">
        <f t="shared" si="4"/>
        <v>9.2255227105724202E-3</v>
      </c>
      <c r="O195" s="217">
        <f t="shared" si="4"/>
        <v>9.1800799395052035E-3</v>
      </c>
      <c r="P195" s="217">
        <f t="shared" si="4"/>
        <v>9.0901500538429492E-3</v>
      </c>
      <c r="Q195" s="217">
        <f t="shared" si="4"/>
        <v>8.9870477039111218E-3</v>
      </c>
      <c r="R195" s="217">
        <f t="shared" si="4"/>
        <v>8.873357009636651E-3</v>
      </c>
      <c r="S195" s="217">
        <f t="shared" si="4"/>
        <v>8.7577975035484368E-3</v>
      </c>
      <c r="T195" s="217">
        <f t="shared" si="4"/>
        <v>8.6280456939316075E-3</v>
      </c>
      <c r="U195" s="217">
        <f t="shared" si="4"/>
        <v>8.4886895995115452E-3</v>
      </c>
      <c r="V195" s="217">
        <f t="shared" si="4"/>
        <v>8.2994294396159241E-3</v>
      </c>
      <c r="W195" s="217">
        <f t="shared" si="4"/>
        <v>8.1303924787825554E-3</v>
      </c>
      <c r="X195" s="217">
        <f t="shared" si="4"/>
        <v>7.9249467973503407E-3</v>
      </c>
      <c r="Y195" s="217">
        <f t="shared" si="4"/>
        <v>7.7119650443784327E-3</v>
      </c>
      <c r="Z195" s="217">
        <f t="shared" si="4"/>
        <v>7.487689380898388E-3</v>
      </c>
      <c r="AA195" s="217">
        <f t="shared" si="4"/>
        <v>7.2777759335451719E-3</v>
      </c>
      <c r="AB195" s="217">
        <f t="shared" si="4"/>
        <v>7.0177615279334304E-3</v>
      </c>
      <c r="AC195" s="217">
        <f t="shared" si="4"/>
        <v>6.7955969152224682E-3</v>
      </c>
      <c r="AD195" s="217">
        <f t="shared" si="4"/>
        <v>6.5680785645449991E-3</v>
      </c>
      <c r="AE195" s="217">
        <f t="shared" si="4"/>
        <v>6.3770494606008032E-3</v>
      </c>
      <c r="AF195" s="217">
        <f t="shared" si="4"/>
        <v>6.1497689589562476E-3</v>
      </c>
      <c r="AG195" s="217">
        <f t="shared" si="4"/>
        <v>5.9696004382459034E-3</v>
      </c>
      <c r="AH195" s="217">
        <f t="shared" si="4"/>
        <v>5.8092261327524763E-3</v>
      </c>
      <c r="AI195" s="217">
        <f t="shared" si="4"/>
        <v>5.6458835112389583E-3</v>
      </c>
      <c r="AJ195" s="217">
        <f t="shared" si="4"/>
        <v>5.4888121893299502E-3</v>
      </c>
      <c r="AK195" s="217">
        <f t="shared" si="4"/>
        <v>5.3506627817212493E-3</v>
      </c>
      <c r="AL195" s="217">
        <f t="shared" si="4"/>
        <v>5.2218702065218725E-3</v>
      </c>
      <c r="AM195" s="217">
        <f t="shared" si="4"/>
        <v>5.0804341593877478E-3</v>
      </c>
      <c r="AN195" s="217">
        <f t="shared" si="4"/>
        <v>4.9662956236664613E-3</v>
      </c>
      <c r="AO195" s="217">
        <f t="shared" si="4"/>
        <v>4.81960174964291E-3</v>
      </c>
      <c r="AP195" s="217">
        <f t="shared" si="4"/>
        <v>4.7160366699561251E-3</v>
      </c>
      <c r="AQ195" s="217">
        <f t="shared" si="4"/>
        <v>4.5800222773422217E-3</v>
      </c>
      <c r="AR195" s="217">
        <f t="shared" si="4"/>
        <v>4.4776648127811125E-3</v>
      </c>
      <c r="AS195" s="217">
        <f t="shared" si="4"/>
        <v>4.3466147541562083E-3</v>
      </c>
      <c r="AT195" s="217">
        <f t="shared" si="4"/>
        <v>4.2698653201609371E-3</v>
      </c>
      <c r="AU195" s="217">
        <f t="shared" si="4"/>
        <v>4.1695439725177863E-3</v>
      </c>
      <c r="AV195" s="217">
        <f t="shared" si="4"/>
        <v>4.0930378314385507E-3</v>
      </c>
      <c r="AW195" s="217">
        <f t="shared" si="4"/>
        <v>4.0278045084360947E-3</v>
      </c>
      <c r="AX195" s="217">
        <f t="shared" si="4"/>
        <v>3.9563847864829693E-3</v>
      </c>
      <c r="AY195" s="217">
        <f t="shared" si="4"/>
        <v>3.9098313422951669E-3</v>
      </c>
      <c r="AZ195" s="217">
        <f t="shared" si="4"/>
        <v>3.8860369961688512E-3</v>
      </c>
      <c r="BA195" s="217">
        <f t="shared" si="4"/>
        <v>3.8573398691919003E-3</v>
      </c>
      <c r="BB195" s="217">
        <f t="shared" si="4"/>
        <v>3.8238154503227317E-3</v>
      </c>
      <c r="BC195" s="217">
        <f t="shared" si="4"/>
        <v>3.8346558718167501E-3</v>
      </c>
      <c r="BD195" s="217">
        <f t="shared" si="4"/>
        <v>3.808196480666215E-3</v>
      </c>
      <c r="BE195" s="217">
        <f t="shared" si="4"/>
        <v>3.8273667649422194E-3</v>
      </c>
      <c r="BF195" s="217">
        <f t="shared" si="4"/>
        <v>3.8228207159038963E-3</v>
      </c>
    </row>
    <row r="196" spans="1:58" x14ac:dyDescent="0.2">
      <c r="A196" s="320" t="s">
        <v>1055</v>
      </c>
      <c r="B196" s="321"/>
      <c r="C196" s="322"/>
      <c r="D196" s="217">
        <f t="shared" ref="D196:BF196" si="5">SUM(D$8:D$11,D$102:D$105)/SUM(C$8:C$11,C$102:C$105)-1</f>
        <v>1.6127610822243676E-2</v>
      </c>
      <c r="E196" s="217">
        <f t="shared" si="5"/>
        <v>2.3330442324371203E-2</v>
      </c>
      <c r="F196" s="217">
        <f t="shared" si="5"/>
        <v>2.7332824815662349E-2</v>
      </c>
      <c r="G196" s="217">
        <f t="shared" si="5"/>
        <v>2.3470692571051499E-2</v>
      </c>
      <c r="H196" s="217">
        <f t="shared" si="5"/>
        <v>1.5194260841528306E-2</v>
      </c>
      <c r="I196" s="217">
        <f t="shared" si="5"/>
        <v>-2.1040930564929505E-3</v>
      </c>
      <c r="J196" s="217">
        <f t="shared" si="5"/>
        <v>-1.5833863781031243E-2</v>
      </c>
      <c r="K196" s="217">
        <f t="shared" si="5"/>
        <v>-1.0267604495108773E-2</v>
      </c>
      <c r="L196" s="217">
        <f t="shared" si="5"/>
        <v>-1.0741708871099487E-2</v>
      </c>
      <c r="M196" s="217">
        <f t="shared" si="5"/>
        <v>-4.417654101812496E-3</v>
      </c>
      <c r="N196" s="217">
        <f t="shared" si="5"/>
        <v>3.3590445384423795E-3</v>
      </c>
      <c r="O196" s="217">
        <f t="shared" si="5"/>
        <v>4.8770407108906788E-3</v>
      </c>
      <c r="P196" s="217">
        <f t="shared" si="5"/>
        <v>5.6348455558754562E-3</v>
      </c>
      <c r="Q196" s="217">
        <f t="shared" si="5"/>
        <v>6.0531697341512647E-3</v>
      </c>
      <c r="R196" s="217">
        <f t="shared" si="5"/>
        <v>5.9354419058459396E-3</v>
      </c>
      <c r="S196" s="217">
        <f t="shared" si="5"/>
        <v>5.5771096023278233E-3</v>
      </c>
      <c r="T196" s="217">
        <f t="shared" si="5"/>
        <v>4.9031428341772543E-3</v>
      </c>
      <c r="U196" s="217">
        <f t="shared" si="5"/>
        <v>4.1593345064789844E-3</v>
      </c>
      <c r="V196" s="217">
        <f t="shared" si="5"/>
        <v>3.106579576230617E-3</v>
      </c>
      <c r="W196" s="217">
        <f t="shared" si="5"/>
        <v>2.2234574763757564E-3</v>
      </c>
      <c r="X196" s="217">
        <f t="shared" si="5"/>
        <v>1.3469614135170893E-3</v>
      </c>
      <c r="Y196" s="217">
        <f t="shared" si="5"/>
        <v>3.9563222028804468E-4</v>
      </c>
      <c r="Z196" s="217">
        <f t="shared" si="5"/>
        <v>-4.3502333306966179E-4</v>
      </c>
      <c r="AA196" s="217">
        <f t="shared" si="5"/>
        <v>-1.1869436201780159E-3</v>
      </c>
      <c r="AB196" s="217">
        <f t="shared" si="5"/>
        <v>-1.8617548029312703E-3</v>
      </c>
      <c r="AC196" s="217">
        <f t="shared" si="5"/>
        <v>-2.262084292404154E-3</v>
      </c>
      <c r="AD196" s="217">
        <f t="shared" si="5"/>
        <v>-2.5456425758720869E-3</v>
      </c>
      <c r="AE196" s="217">
        <f t="shared" si="5"/>
        <v>-2.5122622323244803E-3</v>
      </c>
      <c r="AF196" s="217">
        <f t="shared" si="5"/>
        <v>-2.0788358519229222E-3</v>
      </c>
      <c r="AG196" s="217">
        <f t="shared" si="5"/>
        <v>-1.442192132040665E-3</v>
      </c>
      <c r="AH196" s="217">
        <f t="shared" si="5"/>
        <v>-6.8201877557572121E-4</v>
      </c>
      <c r="AI196" s="217">
        <f t="shared" si="5"/>
        <v>3.6131518728166334E-4</v>
      </c>
      <c r="AJ196" s="217">
        <f t="shared" si="5"/>
        <v>1.3243438478207636E-3</v>
      </c>
      <c r="AK196" s="217">
        <f t="shared" si="5"/>
        <v>2.1642419141516545E-3</v>
      </c>
      <c r="AL196" s="217">
        <f t="shared" si="5"/>
        <v>2.7194561087782176E-3</v>
      </c>
      <c r="AM196" s="217">
        <f t="shared" si="5"/>
        <v>2.9912655047261705E-3</v>
      </c>
      <c r="AN196" s="217">
        <f t="shared" si="5"/>
        <v>3.1414028948624217E-3</v>
      </c>
      <c r="AO196" s="217">
        <f t="shared" si="5"/>
        <v>3.0522852499306197E-3</v>
      </c>
      <c r="AP196" s="217">
        <f t="shared" si="5"/>
        <v>2.7663610496364566E-3</v>
      </c>
      <c r="AQ196" s="217">
        <f t="shared" si="5"/>
        <v>2.6404981477101686E-3</v>
      </c>
      <c r="AR196" s="217">
        <f t="shared" si="5"/>
        <v>2.3977044927478985E-3</v>
      </c>
      <c r="AS196" s="217">
        <f t="shared" si="5"/>
        <v>2.1174809818838014E-3</v>
      </c>
      <c r="AT196" s="217">
        <f t="shared" si="5"/>
        <v>2.0347472217874252E-3</v>
      </c>
      <c r="AU196" s="217">
        <f t="shared" si="5"/>
        <v>1.9525148391128511E-3</v>
      </c>
      <c r="AV196" s="217">
        <f t="shared" si="5"/>
        <v>1.9097357549302529E-3</v>
      </c>
      <c r="AW196" s="217">
        <f t="shared" si="5"/>
        <v>1.7504959738592341E-3</v>
      </c>
      <c r="AX196" s="217">
        <f t="shared" si="5"/>
        <v>1.7862690276484461E-3</v>
      </c>
      <c r="AY196" s="217">
        <f t="shared" si="5"/>
        <v>1.7055585704317533E-3</v>
      </c>
      <c r="AZ196" s="217">
        <f t="shared" si="5"/>
        <v>1.7026545932976589E-3</v>
      </c>
      <c r="BA196" s="217">
        <f t="shared" si="5"/>
        <v>1.6224986479178582E-3</v>
      </c>
      <c r="BB196" s="217">
        <f t="shared" si="5"/>
        <v>1.3884603517433369E-3</v>
      </c>
      <c r="BC196" s="217">
        <f t="shared" si="5"/>
        <v>1.386535202588135E-3</v>
      </c>
      <c r="BD196" s="217">
        <f t="shared" si="5"/>
        <v>1.0769230769229754E-3</v>
      </c>
      <c r="BE196" s="217">
        <f t="shared" si="5"/>
        <v>9.989242354386807E-4</v>
      </c>
      <c r="BF196" s="217">
        <f t="shared" si="5"/>
        <v>7.2925462500950111E-4</v>
      </c>
    </row>
    <row r="197" spans="1:58" x14ac:dyDescent="0.2">
      <c r="A197" s="320" t="s">
        <v>1060</v>
      </c>
      <c r="B197" s="321"/>
      <c r="C197" s="322"/>
      <c r="D197" s="217">
        <f t="shared" ref="D197:BF197" si="6">SUM(D$12:D$24,D$106:D$118)/SUM(C$12:C$24,C$106:C$118)-1</f>
        <v>-5.0677162581894697E-3</v>
      </c>
      <c r="E197" s="217">
        <f t="shared" si="6"/>
        <v>-9.5677451971688532E-3</v>
      </c>
      <c r="F197" s="217">
        <f t="shared" si="6"/>
        <v>-9.136965149369014E-3</v>
      </c>
      <c r="G197" s="217">
        <f t="shared" si="6"/>
        <v>-5.7568225430474351E-3</v>
      </c>
      <c r="H197" s="217">
        <f t="shared" si="6"/>
        <v>-6.7487046632124237E-3</v>
      </c>
      <c r="I197" s="217">
        <f t="shared" si="6"/>
        <v>-4.0558692732038937E-3</v>
      </c>
      <c r="J197" s="217">
        <f t="shared" si="6"/>
        <v>-7.2019694112712695E-4</v>
      </c>
      <c r="K197" s="217">
        <f t="shared" si="6"/>
        <v>7.3381992583176903E-4</v>
      </c>
      <c r="L197" s="217">
        <f t="shared" si="6"/>
        <v>4.6092000680904022E-3</v>
      </c>
      <c r="M197" s="217">
        <f t="shared" si="6"/>
        <v>3.1151835872837985E-3</v>
      </c>
      <c r="N197" s="217">
        <f t="shared" si="6"/>
        <v>2.4428274428274221E-3</v>
      </c>
      <c r="O197" s="217">
        <f t="shared" si="6"/>
        <v>2.8516617410700995E-4</v>
      </c>
      <c r="P197" s="217">
        <f t="shared" si="6"/>
        <v>2.2936374238693436E-3</v>
      </c>
      <c r="Q197" s="217">
        <f t="shared" si="6"/>
        <v>5.5593623540668435E-3</v>
      </c>
      <c r="R197" s="217">
        <f t="shared" si="6"/>
        <v>5.682913971996939E-3</v>
      </c>
      <c r="S197" s="217">
        <f t="shared" si="6"/>
        <v>4.0015852925758821E-3</v>
      </c>
      <c r="T197" s="217">
        <f t="shared" si="6"/>
        <v>5.1189324097182798E-3</v>
      </c>
      <c r="U197" s="217">
        <f t="shared" si="6"/>
        <v>3.9400005067524724E-3</v>
      </c>
      <c r="V197" s="217">
        <f t="shared" si="6"/>
        <v>1.2492901760363662E-3</v>
      </c>
      <c r="W197" s="217">
        <f t="shared" si="6"/>
        <v>-9.956644484775401E-4</v>
      </c>
      <c r="X197" s="217">
        <f t="shared" si="6"/>
        <v>6.5602725036262299E-4</v>
      </c>
      <c r="Y197" s="217">
        <f t="shared" si="6"/>
        <v>2.1432984101776853E-4</v>
      </c>
      <c r="Z197" s="217">
        <f t="shared" si="6"/>
        <v>1.9663700305039278E-3</v>
      </c>
      <c r="AA197" s="217">
        <f t="shared" si="6"/>
        <v>3.975342810416338E-3</v>
      </c>
      <c r="AB197" s="217">
        <f t="shared" si="6"/>
        <v>3.8969501040022614E-3</v>
      </c>
      <c r="AC197" s="217">
        <f t="shared" si="6"/>
        <v>3.5822609433702191E-3</v>
      </c>
      <c r="AD197" s="217">
        <f t="shared" si="6"/>
        <v>3.1466096214118888E-3</v>
      </c>
      <c r="AE197" s="217">
        <f t="shared" si="6"/>
        <v>2.5168305292782023E-3</v>
      </c>
      <c r="AF197" s="217">
        <f t="shared" si="6"/>
        <v>1.7808558001484176E-3</v>
      </c>
      <c r="AG197" s="217">
        <f t="shared" si="6"/>
        <v>1.1851266604119282E-3</v>
      </c>
      <c r="AH197" s="217">
        <f t="shared" si="6"/>
        <v>5.1787916152901126E-4</v>
      </c>
      <c r="AI197" s="217">
        <f t="shared" si="6"/>
        <v>-6.1620369229298255E-5</v>
      </c>
      <c r="AJ197" s="217">
        <f t="shared" si="6"/>
        <v>-5.2996783218506316E-4</v>
      </c>
      <c r="AK197" s="217">
        <f t="shared" si="6"/>
        <v>-8.0153895479317949E-4</v>
      </c>
      <c r="AL197" s="217">
        <f t="shared" si="6"/>
        <v>-9.5027706129902079E-4</v>
      </c>
      <c r="AM197" s="217">
        <f t="shared" si="6"/>
        <v>-9.5118094673385389E-4</v>
      </c>
      <c r="AN197" s="217">
        <f t="shared" si="6"/>
        <v>-8.0370942812979518E-4</v>
      </c>
      <c r="AO197" s="217">
        <f t="shared" si="6"/>
        <v>-5.5686177453284635E-4</v>
      </c>
      <c r="AP197" s="217">
        <f t="shared" si="6"/>
        <v>-2.6001361976102366E-4</v>
      </c>
      <c r="AQ197" s="217">
        <f t="shared" si="6"/>
        <v>1.48617853958255E-4</v>
      </c>
      <c r="AR197" s="217">
        <f t="shared" si="6"/>
        <v>4.9531923324575011E-4</v>
      </c>
      <c r="AS197" s="217">
        <f t="shared" si="6"/>
        <v>9.6539432645181833E-4</v>
      </c>
      <c r="AT197" s="217">
        <f t="shared" si="6"/>
        <v>1.3848702920593592E-3</v>
      </c>
      <c r="AU197" s="217">
        <f t="shared" si="6"/>
        <v>1.7163460351172777E-3</v>
      </c>
      <c r="AV197" s="217">
        <f t="shared" si="6"/>
        <v>1.9722650231124295E-3</v>
      </c>
      <c r="AW197" s="217">
        <f t="shared" si="6"/>
        <v>2.3251522421110504E-3</v>
      </c>
      <c r="AX197" s="217">
        <f t="shared" si="6"/>
        <v>2.430223138669918E-3</v>
      </c>
      <c r="AY197" s="217">
        <f t="shared" si="6"/>
        <v>2.5222842589871508E-3</v>
      </c>
      <c r="AZ197" s="217">
        <f t="shared" si="6"/>
        <v>2.4426585896089037E-3</v>
      </c>
      <c r="BA197" s="217">
        <f t="shared" si="6"/>
        <v>2.4488900801675761E-3</v>
      </c>
      <c r="BB197" s="217">
        <f t="shared" si="6"/>
        <v>2.2970624339138102E-3</v>
      </c>
      <c r="BC197" s="217">
        <f t="shared" si="6"/>
        <v>2.2190425377115464E-3</v>
      </c>
      <c r="BD197" s="217">
        <f t="shared" si="6"/>
        <v>2.044742350364892E-3</v>
      </c>
      <c r="BE197" s="217">
        <f t="shared" si="6"/>
        <v>1.9319005071238848E-3</v>
      </c>
      <c r="BF197" s="217">
        <f t="shared" si="6"/>
        <v>1.8679199807183355E-3</v>
      </c>
    </row>
    <row r="198" spans="1:58" x14ac:dyDescent="0.2">
      <c r="A198" s="320" t="s">
        <v>1056</v>
      </c>
      <c r="B198" s="321"/>
      <c r="C198" s="322"/>
      <c r="D198" s="217">
        <f t="shared" ref="D198:BF198" si="7">SUM(D$25:D$31,D$119:D$125)/SUM(C$25:C$31,C$119:C$125)-1</f>
        <v>1.3718919968920051E-2</v>
      </c>
      <c r="E198" s="217">
        <f t="shared" si="7"/>
        <v>1.7748928118038743E-2</v>
      </c>
      <c r="F198" s="217">
        <f t="shared" si="7"/>
        <v>2.7912449988232613E-2</v>
      </c>
      <c r="G198" s="217">
        <f t="shared" si="7"/>
        <v>2.6284458283725609E-2</v>
      </c>
      <c r="H198" s="217">
        <f t="shared" si="7"/>
        <v>1.6888274138854076E-2</v>
      </c>
      <c r="I198" s="217">
        <f t="shared" si="7"/>
        <v>7.6347600974089325E-3</v>
      </c>
      <c r="J198" s="217">
        <f t="shared" si="7"/>
        <v>3.0481830651658548E-3</v>
      </c>
      <c r="K198" s="217">
        <f t="shared" si="7"/>
        <v>6.5119711736727481E-5</v>
      </c>
      <c r="L198" s="217">
        <f t="shared" si="7"/>
        <v>-7.5968050008682342E-3</v>
      </c>
      <c r="M198" s="217">
        <f t="shared" si="7"/>
        <v>-1.2029220069113333E-2</v>
      </c>
      <c r="N198" s="217">
        <f t="shared" si="7"/>
        <v>-1.0891702824758709E-2</v>
      </c>
      <c r="O198" s="217">
        <f t="shared" si="7"/>
        <v>-6.6920322291853518E-3</v>
      </c>
      <c r="P198" s="217">
        <f t="shared" si="7"/>
        <v>-7.7060003154503232E-3</v>
      </c>
      <c r="Q198" s="217">
        <f t="shared" si="7"/>
        <v>-1.3329094666091446E-2</v>
      </c>
      <c r="R198" s="217">
        <f t="shared" si="7"/>
        <v>-1.0540366381294297E-2</v>
      </c>
      <c r="S198" s="217">
        <f t="shared" si="7"/>
        <v>-2.8608643066474482E-3</v>
      </c>
      <c r="T198" s="217">
        <f t="shared" si="7"/>
        <v>-3.568846073103038E-3</v>
      </c>
      <c r="U198" s="217">
        <f t="shared" si="7"/>
        <v>1.7791095088721676E-3</v>
      </c>
      <c r="V198" s="217">
        <f t="shared" si="7"/>
        <v>3.5752675608731188E-3</v>
      </c>
      <c r="W198" s="217">
        <f t="shared" si="7"/>
        <v>1.14326961138147E-2</v>
      </c>
      <c r="X198" s="217">
        <f t="shared" si="7"/>
        <v>1.4204153045720425E-2</v>
      </c>
      <c r="Y198" s="217">
        <f t="shared" si="7"/>
        <v>1.4527295426171927E-2</v>
      </c>
      <c r="Z198" s="217">
        <f t="shared" si="7"/>
        <v>7.808479695715409E-3</v>
      </c>
      <c r="AA198" s="217">
        <f t="shared" si="7"/>
        <v>5.5279282479352432E-3</v>
      </c>
      <c r="AB198" s="217">
        <f t="shared" si="7"/>
        <v>2.5611021570661752E-3</v>
      </c>
      <c r="AC198" s="217">
        <f t="shared" si="7"/>
        <v>-2.400405206016476E-3</v>
      </c>
      <c r="AD198" s="217">
        <f t="shared" si="7"/>
        <v>-6.3355408388521273E-3</v>
      </c>
      <c r="AE198" s="217">
        <f t="shared" si="7"/>
        <v>-3.1546442138937758E-3</v>
      </c>
      <c r="AF198" s="217">
        <f t="shared" si="7"/>
        <v>-3.4989191237101425E-3</v>
      </c>
      <c r="AG198" s="217">
        <f t="shared" si="7"/>
        <v>1.3418616093385793E-4</v>
      </c>
      <c r="AH198" s="217">
        <f t="shared" si="7"/>
        <v>4.4499105545616757E-3</v>
      </c>
      <c r="AI198" s="217">
        <f t="shared" si="7"/>
        <v>5.031278523564664E-3</v>
      </c>
      <c r="AJ198" s="217">
        <f t="shared" si="7"/>
        <v>5.3162033447780033E-3</v>
      </c>
      <c r="AK198" s="217">
        <f t="shared" si="7"/>
        <v>5.1779222209982212E-3</v>
      </c>
      <c r="AL198" s="217">
        <f t="shared" si="7"/>
        <v>4.8224462954844505E-3</v>
      </c>
      <c r="AM198" s="217">
        <f t="shared" si="7"/>
        <v>4.1230366492146509E-3</v>
      </c>
      <c r="AN198" s="217">
        <f t="shared" si="7"/>
        <v>3.4543440005214698E-3</v>
      </c>
      <c r="AO198" s="217">
        <f t="shared" si="7"/>
        <v>2.5980774227072345E-3</v>
      </c>
      <c r="AP198" s="217">
        <f t="shared" si="7"/>
        <v>1.792346894704977E-3</v>
      </c>
      <c r="AQ198" s="217">
        <f t="shared" si="7"/>
        <v>9.0534802009001325E-4</v>
      </c>
      <c r="AR198" s="217">
        <f t="shared" si="7"/>
        <v>1.507548510757406E-4</v>
      </c>
      <c r="AS198" s="217">
        <f t="shared" si="7"/>
        <v>-6.6752799310942912E-4</v>
      </c>
      <c r="AT198" s="217">
        <f t="shared" si="7"/>
        <v>-1.1204723221789337E-3</v>
      </c>
      <c r="AU198" s="217">
        <f t="shared" si="7"/>
        <v>-1.6610220678646703E-3</v>
      </c>
      <c r="AV198" s="217">
        <f t="shared" si="7"/>
        <v>-1.9446845289542436E-3</v>
      </c>
      <c r="AW198" s="217">
        <f t="shared" si="7"/>
        <v>-1.9701234033340231E-3</v>
      </c>
      <c r="AX198" s="217">
        <f t="shared" si="7"/>
        <v>-1.7787804507689575E-3</v>
      </c>
      <c r="AY198" s="217">
        <f t="shared" si="7"/>
        <v>-1.3473281613316512E-3</v>
      </c>
      <c r="AZ198" s="217">
        <f t="shared" si="7"/>
        <v>-7.3985420520072953E-4</v>
      </c>
      <c r="BA198" s="217">
        <f t="shared" si="7"/>
        <v>0</v>
      </c>
      <c r="BB198" s="217">
        <f t="shared" si="7"/>
        <v>7.1862546547341033E-4</v>
      </c>
      <c r="BC198" s="217">
        <f t="shared" si="7"/>
        <v>1.523262392827629E-3</v>
      </c>
      <c r="BD198" s="217">
        <f t="shared" si="7"/>
        <v>2.0206848600730076E-3</v>
      </c>
      <c r="BE198" s="217">
        <f t="shared" si="7"/>
        <v>2.4719734588112274E-3</v>
      </c>
      <c r="BF198" s="217">
        <f t="shared" si="7"/>
        <v>2.7254439661699159E-3</v>
      </c>
    </row>
    <row r="199" spans="1:58" x14ac:dyDescent="0.2">
      <c r="A199" s="320" t="s">
        <v>1057</v>
      </c>
      <c r="B199" s="321"/>
      <c r="C199" s="322"/>
      <c r="D199" s="217">
        <f t="shared" ref="D199:BF199" si="8">SUM(D$72:D$97,D$166:D$191)/SUM(C$72:C$97,C$166:C$191)-1</f>
        <v>2.9474424877352856E-2</v>
      </c>
      <c r="E199" s="217">
        <f t="shared" si="8"/>
        <v>2.1245087429515364E-2</v>
      </c>
      <c r="F199" s="217">
        <f t="shared" si="8"/>
        <v>2.7347090537274577E-2</v>
      </c>
      <c r="G199" s="217">
        <f t="shared" si="8"/>
        <v>2.9948788476502397E-2</v>
      </c>
      <c r="H199" s="217">
        <f t="shared" si="8"/>
        <v>3.1379576920373964E-2</v>
      </c>
      <c r="I199" s="217">
        <f t="shared" si="8"/>
        <v>4.1157030424857854E-2</v>
      </c>
      <c r="J199" s="217">
        <f t="shared" si="8"/>
        <v>3.8172060604077407E-2</v>
      </c>
      <c r="K199" s="217">
        <f t="shared" si="8"/>
        <v>3.5208270949236509E-2</v>
      </c>
      <c r="L199" s="217">
        <f t="shared" si="8"/>
        <v>3.5122174012331531E-2</v>
      </c>
      <c r="M199" s="217">
        <f t="shared" si="8"/>
        <v>3.2930344746440854E-2</v>
      </c>
      <c r="N199" s="217">
        <f t="shared" si="8"/>
        <v>3.2435818940353967E-2</v>
      </c>
      <c r="O199" s="217">
        <f t="shared" si="8"/>
        <v>3.1665034685349314E-2</v>
      </c>
      <c r="P199" s="217">
        <f t="shared" si="8"/>
        <v>3.2337410600895566E-2</v>
      </c>
      <c r="Q199" s="217">
        <f t="shared" si="8"/>
        <v>3.2295659380503494E-2</v>
      </c>
      <c r="R199" s="217">
        <f t="shared" si="8"/>
        <v>3.3141824932888531E-2</v>
      </c>
      <c r="S199" s="217">
        <f t="shared" si="8"/>
        <v>3.2722195240407981E-2</v>
      </c>
      <c r="T199" s="217">
        <f t="shared" si="8"/>
        <v>3.1873493621774163E-2</v>
      </c>
      <c r="U199" s="217">
        <f t="shared" si="8"/>
        <v>3.3201923296037217E-2</v>
      </c>
      <c r="V199" s="217">
        <f t="shared" si="8"/>
        <v>3.2300397000441183E-2</v>
      </c>
      <c r="W199" s="217">
        <f t="shared" si="8"/>
        <v>3.3041694708842106E-2</v>
      </c>
      <c r="X199" s="217">
        <f t="shared" si="8"/>
        <v>3.2295092138735493E-2</v>
      </c>
      <c r="Y199" s="217">
        <f t="shared" si="8"/>
        <v>3.0483345855246702E-2</v>
      </c>
      <c r="Z199" s="217">
        <f t="shared" si="8"/>
        <v>2.7617918108644002E-2</v>
      </c>
      <c r="AA199" s="217">
        <f t="shared" si="8"/>
        <v>2.4198507222658483E-2</v>
      </c>
      <c r="AB199" s="217">
        <f t="shared" si="8"/>
        <v>2.2222837983873145E-2</v>
      </c>
      <c r="AC199" s="217">
        <f t="shared" si="8"/>
        <v>2.0610266279941891E-2</v>
      </c>
      <c r="AD199" s="217">
        <f t="shared" si="8"/>
        <v>1.9742550064627995E-2</v>
      </c>
      <c r="AE199" s="217">
        <f t="shared" si="8"/>
        <v>1.9360327823308765E-2</v>
      </c>
      <c r="AF199" s="217">
        <f t="shared" si="8"/>
        <v>1.7655475496959561E-2</v>
      </c>
      <c r="AG199" s="217">
        <f t="shared" si="8"/>
        <v>1.7717408588382E-2</v>
      </c>
      <c r="AH199" s="217">
        <f t="shared" si="8"/>
        <v>1.5936975757376404E-2</v>
      </c>
      <c r="AI199" s="217">
        <f t="shared" si="8"/>
        <v>1.2853928218743427E-2</v>
      </c>
      <c r="AJ199" s="217">
        <f t="shared" si="8"/>
        <v>1.0237353152721118E-2</v>
      </c>
      <c r="AK199" s="217">
        <f t="shared" si="8"/>
        <v>7.973989605335019E-3</v>
      </c>
      <c r="AL199" s="217">
        <f t="shared" si="8"/>
        <v>5.7683704941962066E-3</v>
      </c>
      <c r="AM199" s="217">
        <f t="shared" si="8"/>
        <v>5.1500538414719355E-3</v>
      </c>
      <c r="AN199" s="217">
        <f t="shared" si="8"/>
        <v>4.1765646591209737E-3</v>
      </c>
      <c r="AO199" s="217">
        <f t="shared" si="8"/>
        <v>4.9090852866595647E-3</v>
      </c>
      <c r="AP199" s="217">
        <f t="shared" si="8"/>
        <v>5.3697677460053939E-3</v>
      </c>
      <c r="AQ199" s="217">
        <f t="shared" si="8"/>
        <v>5.7849026284577665E-3</v>
      </c>
      <c r="AR199" s="217">
        <f t="shared" si="8"/>
        <v>6.6874110817780608E-3</v>
      </c>
      <c r="AS199" s="217">
        <f t="shared" si="8"/>
        <v>7.7237001209189415E-3</v>
      </c>
      <c r="AT199" s="217">
        <f t="shared" si="8"/>
        <v>7.8219915705479703E-3</v>
      </c>
      <c r="AU199" s="217">
        <f t="shared" si="8"/>
        <v>8.0812590690926278E-3</v>
      </c>
      <c r="AV199" s="217">
        <f t="shared" si="8"/>
        <v>8.7103512928965454E-3</v>
      </c>
      <c r="AW199" s="217">
        <f t="shared" si="8"/>
        <v>9.0229855617596222E-3</v>
      </c>
      <c r="AX199" s="217">
        <f t="shared" si="8"/>
        <v>1.082794232833395E-2</v>
      </c>
      <c r="AY199" s="217">
        <f t="shared" si="8"/>
        <v>1.2017764767501049E-2</v>
      </c>
      <c r="AZ199" s="217">
        <f t="shared" si="8"/>
        <v>1.3874315855145536E-2</v>
      </c>
      <c r="BA199" s="217">
        <f t="shared" si="8"/>
        <v>1.4824241830933671E-2</v>
      </c>
      <c r="BB199" s="217">
        <f t="shared" si="8"/>
        <v>1.3456993433428099E-2</v>
      </c>
      <c r="BC199" s="217">
        <f t="shared" si="8"/>
        <v>1.3169524482941508E-2</v>
      </c>
      <c r="BD199" s="217">
        <f t="shared" si="8"/>
        <v>1.2374261000275055E-2</v>
      </c>
      <c r="BE199" s="217">
        <f t="shared" si="8"/>
        <v>1.2415237665961865E-2</v>
      </c>
      <c r="BF199" s="217">
        <f t="shared" si="8"/>
        <v>1.1634454221663537E-2</v>
      </c>
    </row>
    <row r="200" spans="1:58" x14ac:dyDescent="0.2">
      <c r="A200" s="320" t="s">
        <v>1058</v>
      </c>
      <c r="B200" s="321"/>
      <c r="C200" s="322"/>
      <c r="D200" s="217">
        <f>SUM(D$7:D$25,D$101:D$119)/SUM(C$7:C$25,C$101:C$119)-1</f>
        <v>3.3696555949411788E-3</v>
      </c>
      <c r="E200" s="217">
        <f t="shared" ref="E200:BF200" si="9">SUM(E$7:E$25,E$101:E$119)/SUM(D$7:D$25,D$101:D$119)-1</f>
        <v>2.0935101186323468E-3</v>
      </c>
      <c r="F200" s="217">
        <f t="shared" si="9"/>
        <v>-9.5752089136480478E-5</v>
      </c>
      <c r="G200" s="217">
        <f t="shared" si="9"/>
        <v>3.9175060286056329E-4</v>
      </c>
      <c r="H200" s="217">
        <f t="shared" si="9"/>
        <v>-2.9326278782393356E-3</v>
      </c>
      <c r="I200" s="217">
        <f t="shared" si="9"/>
        <v>-5.8999624706529419E-3</v>
      </c>
      <c r="J200" s="217">
        <f t="shared" si="9"/>
        <v>-4.2756428828544246E-3</v>
      </c>
      <c r="K200" s="217">
        <f t="shared" si="9"/>
        <v>-2.7157141093692161E-3</v>
      </c>
      <c r="L200" s="217">
        <f t="shared" si="9"/>
        <v>-5.1279330893139186E-4</v>
      </c>
      <c r="M200" s="217">
        <f t="shared" si="9"/>
        <v>1.3710990021937874E-3</v>
      </c>
      <c r="N200" s="217">
        <f t="shared" si="9"/>
        <v>1.775571318781255E-3</v>
      </c>
      <c r="O200" s="217">
        <f t="shared" si="9"/>
        <v>3.0951289196148313E-3</v>
      </c>
      <c r="P200" s="217">
        <f t="shared" si="9"/>
        <v>1.8988176343897045E-3</v>
      </c>
      <c r="Q200" s="217">
        <f t="shared" si="9"/>
        <v>3.3341815023120169E-3</v>
      </c>
      <c r="R200" s="217">
        <f t="shared" si="9"/>
        <v>5.6230378396340264E-3</v>
      </c>
      <c r="S200" s="217">
        <f t="shared" si="9"/>
        <v>5.5307233420873736E-3</v>
      </c>
      <c r="T200" s="217">
        <f t="shared" si="9"/>
        <v>4.2635994119173404E-3</v>
      </c>
      <c r="U200" s="217">
        <f t="shared" si="9"/>
        <v>4.7794149307200939E-3</v>
      </c>
      <c r="V200" s="217">
        <f t="shared" si="9"/>
        <v>3.6767856836763535E-3</v>
      </c>
      <c r="W200" s="217">
        <f t="shared" si="9"/>
        <v>1.5370558549019364E-3</v>
      </c>
      <c r="X200" s="217">
        <f t="shared" si="9"/>
        <v>-2.1315235277563627E-4</v>
      </c>
      <c r="Y200" s="217">
        <f t="shared" si="9"/>
        <v>5.798980061741954E-4</v>
      </c>
      <c r="Z200" s="217">
        <f t="shared" si="9"/>
        <v>3.4091877610054055E-5</v>
      </c>
      <c r="AA200" s="217">
        <f t="shared" si="9"/>
        <v>9.9715342526462969E-4</v>
      </c>
      <c r="AB200" s="217">
        <f t="shared" si="9"/>
        <v>2.1115188461571233E-3</v>
      </c>
      <c r="AC200" s="217">
        <f t="shared" si="9"/>
        <v>1.9626334973108506E-3</v>
      </c>
      <c r="AD200" s="217">
        <f t="shared" si="9"/>
        <v>1.7298397354361672E-3</v>
      </c>
      <c r="AE200" s="217">
        <f t="shared" si="9"/>
        <v>1.413648907173215E-3</v>
      </c>
      <c r="AF200" s="217">
        <f t="shared" si="9"/>
        <v>1.0988918098748801E-3</v>
      </c>
      <c r="AG200" s="217">
        <f t="shared" si="9"/>
        <v>8.7814845775180395E-4</v>
      </c>
      <c r="AH200" s="217">
        <f t="shared" si="9"/>
        <v>6.3272451174767319E-4</v>
      </c>
      <c r="AI200" s="217">
        <f t="shared" si="9"/>
        <v>4.4684259337324228E-4</v>
      </c>
      <c r="AJ200" s="217">
        <f t="shared" si="9"/>
        <v>3.2023461399077746E-4</v>
      </c>
      <c r="AK200" s="217">
        <f t="shared" si="9"/>
        <v>2.6958492346307317E-4</v>
      </c>
      <c r="AL200" s="217">
        <f t="shared" si="9"/>
        <v>2.4424549198620582E-4</v>
      </c>
      <c r="AM200" s="217">
        <f t="shared" si="9"/>
        <v>2.3576564894489671E-4</v>
      </c>
      <c r="AN200" s="217">
        <f t="shared" si="9"/>
        <v>3.0305581277878524E-4</v>
      </c>
      <c r="AO200" s="217">
        <f t="shared" si="9"/>
        <v>3.9553633043265535E-4</v>
      </c>
      <c r="AP200" s="217">
        <f t="shared" si="9"/>
        <v>4.9632801393073578E-4</v>
      </c>
      <c r="AQ200" s="217">
        <f t="shared" si="9"/>
        <v>6.8106144687729575E-4</v>
      </c>
      <c r="AR200" s="217">
        <f t="shared" si="9"/>
        <v>8.4864678648544078E-4</v>
      </c>
      <c r="AS200" s="217">
        <f t="shared" si="9"/>
        <v>1.0662054838221913E-3</v>
      </c>
      <c r="AT200" s="217">
        <f t="shared" si="9"/>
        <v>1.3418203470283441E-3</v>
      </c>
      <c r="AU200" s="217">
        <f t="shared" si="9"/>
        <v>1.5494007587875114E-3</v>
      </c>
      <c r="AV200" s="217">
        <f t="shared" si="9"/>
        <v>1.7393340357567677E-3</v>
      </c>
      <c r="AW200" s="217">
        <f t="shared" si="9"/>
        <v>1.9700485834015513E-3</v>
      </c>
      <c r="AX200" s="217">
        <f t="shared" si="9"/>
        <v>2.1161376322587078E-3</v>
      </c>
      <c r="AY200" s="217">
        <f t="shared" si="9"/>
        <v>2.2197465997140231E-3</v>
      </c>
      <c r="AZ200" s="217">
        <f t="shared" si="9"/>
        <v>2.1982397491517869E-3</v>
      </c>
      <c r="BA200" s="217">
        <f t="shared" si="9"/>
        <v>2.2265262879088699E-3</v>
      </c>
      <c r="BB200" s="217">
        <f t="shared" si="9"/>
        <v>2.0564066564809913E-3</v>
      </c>
      <c r="BC200" s="217">
        <f t="shared" si="9"/>
        <v>2.0274613875748138E-3</v>
      </c>
      <c r="BD200" s="217">
        <f t="shared" si="9"/>
        <v>1.8177331797992746E-3</v>
      </c>
      <c r="BE200" s="217">
        <f t="shared" si="9"/>
        <v>1.7077035492318871E-3</v>
      </c>
      <c r="BF200" s="217">
        <f t="shared" si="9"/>
        <v>1.5818505192239929E-3</v>
      </c>
    </row>
    <row r="201" spans="1:58" x14ac:dyDescent="0.2">
      <c r="A201" s="320" t="s">
        <v>1059</v>
      </c>
      <c r="B201" s="321"/>
      <c r="C201" s="322"/>
      <c r="D201" s="217">
        <f t="shared" ref="D201:BF201" si="10">SUM(D$22:D$97,D$116:D$191)/SUM(C$22:C$97,C$116:C$191)-1</f>
        <v>1.3205635375206359E-2</v>
      </c>
      <c r="E201" s="217">
        <f t="shared" si="10"/>
        <v>1.1868796502837009E-2</v>
      </c>
      <c r="F201" s="217">
        <f t="shared" si="10"/>
        <v>1.3339290839742057E-2</v>
      </c>
      <c r="G201" s="217">
        <f t="shared" si="10"/>
        <v>1.4247044154448663E-2</v>
      </c>
      <c r="H201" s="217">
        <f t="shared" si="10"/>
        <v>1.0736002026855873E-2</v>
      </c>
      <c r="I201" s="217">
        <f t="shared" si="10"/>
        <v>8.5340321592868307E-3</v>
      </c>
      <c r="J201" s="217">
        <f t="shared" si="10"/>
        <v>8.9899763035183877E-3</v>
      </c>
      <c r="K201" s="217">
        <f t="shared" si="10"/>
        <v>1.0124732675706349E-2</v>
      </c>
      <c r="L201" s="217">
        <f t="shared" si="10"/>
        <v>1.1577865161377821E-2</v>
      </c>
      <c r="M201" s="217">
        <f t="shared" si="10"/>
        <v>1.0941296683368185E-2</v>
      </c>
      <c r="N201" s="217">
        <f t="shared" si="10"/>
        <v>1.01074971615005E-2</v>
      </c>
      <c r="O201" s="217">
        <f t="shared" si="10"/>
        <v>1.0006357927154763E-2</v>
      </c>
      <c r="P201" s="217">
        <f t="shared" si="10"/>
        <v>1.0236578103709704E-2</v>
      </c>
      <c r="Q201" s="217">
        <f t="shared" si="10"/>
        <v>9.9014846968688008E-3</v>
      </c>
      <c r="R201" s="217">
        <f t="shared" si="10"/>
        <v>1.0015281961297751E-2</v>
      </c>
      <c r="S201" s="217">
        <f t="shared" si="10"/>
        <v>1.0457263635426317E-2</v>
      </c>
      <c r="T201" s="217">
        <f t="shared" si="10"/>
        <v>1.0754635640801258E-2</v>
      </c>
      <c r="U201" s="217">
        <f t="shared" si="10"/>
        <v>1.0251543914817862E-2</v>
      </c>
      <c r="V201" s="217">
        <f t="shared" si="10"/>
        <v>1.0127530945927443E-2</v>
      </c>
      <c r="W201" s="217">
        <f t="shared" si="10"/>
        <v>9.5857786219331054E-3</v>
      </c>
      <c r="X201" s="217">
        <f t="shared" si="10"/>
        <v>8.9558454283789057E-3</v>
      </c>
      <c r="Y201" s="217">
        <f t="shared" si="10"/>
        <v>8.7306770644919318E-3</v>
      </c>
      <c r="Z201" s="217">
        <f t="shared" si="10"/>
        <v>8.5251409825333191E-3</v>
      </c>
      <c r="AA201" s="217">
        <f t="shared" si="10"/>
        <v>8.3671623482466373E-3</v>
      </c>
      <c r="AB201" s="217">
        <f t="shared" si="10"/>
        <v>8.1722974971896178E-3</v>
      </c>
      <c r="AC201" s="217">
        <f t="shared" si="10"/>
        <v>8.0168459404006409E-3</v>
      </c>
      <c r="AD201" s="217">
        <f t="shared" si="10"/>
        <v>7.8529459027045778E-3</v>
      </c>
      <c r="AE201" s="217">
        <f t="shared" si="10"/>
        <v>7.7108823495430912E-3</v>
      </c>
      <c r="AF201" s="217">
        <f t="shared" si="10"/>
        <v>7.5097110309056969E-3</v>
      </c>
      <c r="AG201" s="217">
        <f t="shared" si="10"/>
        <v>7.3217305411981126E-3</v>
      </c>
      <c r="AH201" s="217">
        <f t="shared" si="10"/>
        <v>7.1487638784077934E-3</v>
      </c>
      <c r="AI201" s="217">
        <f t="shared" si="10"/>
        <v>6.9432292858457867E-3</v>
      </c>
      <c r="AJ201" s="217">
        <f t="shared" si="10"/>
        <v>6.7282607000509476E-3</v>
      </c>
      <c r="AK201" s="217">
        <f t="shared" si="10"/>
        <v>6.5106788854389919E-3</v>
      </c>
      <c r="AL201" s="217">
        <f t="shared" si="10"/>
        <v>6.3080593208226787E-3</v>
      </c>
      <c r="AM201" s="217">
        <f t="shared" si="10"/>
        <v>6.0784296588913822E-3</v>
      </c>
      <c r="AN201" s="217">
        <f t="shared" si="10"/>
        <v>5.8744836752333551E-3</v>
      </c>
      <c r="AO201" s="217">
        <f t="shared" si="10"/>
        <v>5.6285907364665988E-3</v>
      </c>
      <c r="AP201" s="217">
        <f t="shared" si="10"/>
        <v>5.4382130542875995E-3</v>
      </c>
      <c r="AQ201" s="217">
        <f t="shared" si="10"/>
        <v>5.2038068719291175E-3</v>
      </c>
      <c r="AR201" s="217">
        <f t="shared" si="10"/>
        <v>5.021795100563331E-3</v>
      </c>
      <c r="AS201" s="217">
        <f t="shared" si="10"/>
        <v>4.8107002147483868E-3</v>
      </c>
      <c r="AT201" s="217">
        <f t="shared" si="10"/>
        <v>4.6719732092521671E-3</v>
      </c>
      <c r="AU201" s="217">
        <f t="shared" si="10"/>
        <v>4.5309028933708806E-3</v>
      </c>
      <c r="AV201" s="217">
        <f t="shared" si="10"/>
        <v>4.433346603497812E-3</v>
      </c>
      <c r="AW201" s="217">
        <f t="shared" si="10"/>
        <v>4.3536003320190364E-3</v>
      </c>
      <c r="AX201" s="217">
        <f t="shared" si="10"/>
        <v>4.2768771771783953E-3</v>
      </c>
      <c r="AY201" s="217">
        <f t="shared" si="10"/>
        <v>4.2422047943908581E-3</v>
      </c>
      <c r="AZ201" s="217">
        <f t="shared" si="10"/>
        <v>4.2386249564665412E-3</v>
      </c>
      <c r="BA201" s="217">
        <f t="shared" si="10"/>
        <v>4.2207348444203152E-3</v>
      </c>
      <c r="BB201" s="217">
        <f t="shared" si="10"/>
        <v>4.2192464267432062E-3</v>
      </c>
      <c r="BC201" s="217">
        <f t="shared" si="10"/>
        <v>4.2399538783643997E-3</v>
      </c>
      <c r="BD201" s="217">
        <f t="shared" si="10"/>
        <v>4.2462246268941684E-3</v>
      </c>
      <c r="BE201" s="217">
        <f t="shared" si="10"/>
        <v>4.2844334258016481E-3</v>
      </c>
      <c r="BF201" s="217">
        <f t="shared" si="10"/>
        <v>4.294117059628233E-3</v>
      </c>
    </row>
    <row r="202" spans="1:58" x14ac:dyDescent="0.2">
      <c r="A202" s="320" t="s">
        <v>216</v>
      </c>
      <c r="B202" s="321"/>
      <c r="C202" s="322"/>
      <c r="D202" s="217">
        <f t="shared" ref="D202:AI202" si="11">SUM(D$119:D$120)/SUM(C$119:C$120)-1</f>
        <v>3.1223628691983141E-2</v>
      </c>
      <c r="E202" s="217">
        <f t="shared" si="11"/>
        <v>3.3060556464811874E-2</v>
      </c>
      <c r="F202" s="217">
        <f t="shared" si="11"/>
        <v>2.8675538656527166E-2</v>
      </c>
      <c r="G202" s="217">
        <f t="shared" si="11"/>
        <v>-4.9283844139842437E-3</v>
      </c>
      <c r="H202" s="217">
        <f t="shared" si="11"/>
        <v>-2.1204147964711373E-2</v>
      </c>
      <c r="I202" s="217">
        <f t="shared" si="11"/>
        <v>-1.5970904490828608E-2</v>
      </c>
      <c r="J202" s="217">
        <f t="shared" si="11"/>
        <v>-1.2534147517274663E-2</v>
      </c>
      <c r="K202" s="217">
        <f t="shared" si="11"/>
        <v>-1.0414971521562233E-2</v>
      </c>
      <c r="L202" s="217">
        <f t="shared" si="11"/>
        <v>-1.8253576714356234E-2</v>
      </c>
      <c r="M202" s="217">
        <f t="shared" si="11"/>
        <v>-1.1390284757118896E-2</v>
      </c>
      <c r="N202" s="217">
        <f t="shared" si="11"/>
        <v>-1.3893595391392788E-2</v>
      </c>
      <c r="O202" s="217">
        <f t="shared" si="11"/>
        <v>6.529209621993104E-3</v>
      </c>
      <c r="P202" s="217">
        <f t="shared" si="11"/>
        <v>4.6090815978150346E-3</v>
      </c>
      <c r="Q202" s="217">
        <f t="shared" si="11"/>
        <v>-2.854715378079864E-2</v>
      </c>
      <c r="R202" s="217">
        <f t="shared" si="11"/>
        <v>-1.9240860591219211E-2</v>
      </c>
      <c r="S202" s="217">
        <f t="shared" si="11"/>
        <v>1.4267879436418829E-2</v>
      </c>
      <c r="T202" s="217">
        <f t="shared" si="11"/>
        <v>1.2132934763495751E-2</v>
      </c>
      <c r="U202" s="217">
        <f t="shared" si="11"/>
        <v>8.686587908269594E-3</v>
      </c>
      <c r="V202" s="217">
        <f t="shared" si="11"/>
        <v>3.3069238718566929E-2</v>
      </c>
      <c r="W202" s="217">
        <f t="shared" si="11"/>
        <v>3.3677892630876949E-2</v>
      </c>
      <c r="X202" s="217">
        <f t="shared" si="11"/>
        <v>1.7741935483870375E-3</v>
      </c>
      <c r="Y202" s="217">
        <f t="shared" si="11"/>
        <v>-1.6100466913540057E-3</v>
      </c>
      <c r="Z202" s="217">
        <f t="shared" si="11"/>
        <v>-8.0632156103854769E-4</v>
      </c>
      <c r="AA202" s="217">
        <f t="shared" si="11"/>
        <v>-2.3563589412524233E-2</v>
      </c>
      <c r="AB202" s="217">
        <f t="shared" si="11"/>
        <v>-1.2231404958677694E-2</v>
      </c>
      <c r="AC202" s="217">
        <f t="shared" si="11"/>
        <v>1.5060240963855609E-3</v>
      </c>
      <c r="AD202" s="217">
        <f t="shared" si="11"/>
        <v>3.5087719298245723E-3</v>
      </c>
      <c r="AE202" s="217">
        <f t="shared" si="11"/>
        <v>5.3280053280053696E-3</v>
      </c>
      <c r="AF202" s="217">
        <f t="shared" si="11"/>
        <v>5.7966213978137837E-3</v>
      </c>
      <c r="AG202" s="217">
        <f t="shared" si="11"/>
        <v>6.0925407541576604E-3</v>
      </c>
      <c r="AH202" s="217">
        <f t="shared" si="11"/>
        <v>6.0556464811782895E-3</v>
      </c>
      <c r="AI202" s="217">
        <f t="shared" si="11"/>
        <v>5.531153408166567E-3</v>
      </c>
      <c r="AJ202" s="217">
        <f t="shared" ref="AJ202:BF202" si="12">SUM(AJ$119:AJ$120)/SUM(AI$119:AI$120)-1</f>
        <v>4.8535835625302948E-3</v>
      </c>
      <c r="AK202" s="217">
        <f t="shared" si="12"/>
        <v>4.0251167283851252E-3</v>
      </c>
      <c r="AL202" s="217">
        <f t="shared" si="12"/>
        <v>3.3675432969852981E-3</v>
      </c>
      <c r="AM202" s="217">
        <f t="shared" si="12"/>
        <v>2.0776730062330717E-3</v>
      </c>
      <c r="AN202" s="217">
        <f t="shared" si="12"/>
        <v>1.4354066985646785E-3</v>
      </c>
      <c r="AO202" s="217">
        <f t="shared" si="12"/>
        <v>3.1852205765248165E-4</v>
      </c>
      <c r="AP202" s="217">
        <f t="shared" si="12"/>
        <v>-4.7763095048558579E-4</v>
      </c>
      <c r="AQ202" s="217">
        <f t="shared" si="12"/>
        <v>-1.1150047785919437E-3</v>
      </c>
      <c r="AR202" s="217">
        <f t="shared" si="12"/>
        <v>-1.7541062031574128E-3</v>
      </c>
      <c r="AS202" s="217">
        <f t="shared" si="12"/>
        <v>-2.3961661341852514E-3</v>
      </c>
      <c r="AT202" s="217">
        <f t="shared" si="12"/>
        <v>-2.5620496397117387E-3</v>
      </c>
      <c r="AU202" s="217">
        <f t="shared" si="12"/>
        <v>-2.5686305988119607E-3</v>
      </c>
      <c r="AV202" s="217">
        <f t="shared" si="12"/>
        <v>-2.2533397714469272E-3</v>
      </c>
      <c r="AW202" s="217">
        <f t="shared" si="12"/>
        <v>-1.6131634134537443E-3</v>
      </c>
      <c r="AX202" s="217">
        <f t="shared" si="12"/>
        <v>-4.8473097430923318E-4</v>
      </c>
      <c r="AY202" s="217">
        <f t="shared" si="12"/>
        <v>3.2331070158431174E-4</v>
      </c>
      <c r="AZ202" s="217">
        <f t="shared" si="12"/>
        <v>1.4544279250161551E-3</v>
      </c>
      <c r="BA202" s="217">
        <f t="shared" si="12"/>
        <v>2.2591576569308547E-3</v>
      </c>
      <c r="BB202" s="217">
        <f t="shared" si="12"/>
        <v>2.7370793753018763E-3</v>
      </c>
      <c r="BC202" s="217">
        <f t="shared" si="12"/>
        <v>3.2113037893384266E-3</v>
      </c>
      <c r="BD202" s="217">
        <f t="shared" si="12"/>
        <v>3.0409731113956173E-3</v>
      </c>
      <c r="BE202" s="217">
        <f t="shared" si="12"/>
        <v>3.0317536301260883E-3</v>
      </c>
      <c r="BF202" s="217">
        <f t="shared" si="12"/>
        <v>2.8635062042634551E-3</v>
      </c>
    </row>
    <row r="203" spans="1:58" x14ac:dyDescent="0.2">
      <c r="A203" s="320" t="s">
        <v>224</v>
      </c>
      <c r="B203" s="321"/>
      <c r="C203" s="322"/>
      <c r="D203" s="217">
        <f t="shared" ref="D203:BF203" si="13">SUM(D$121:D$125)/SUM(C$121:C$125)-1</f>
        <v>3.5775713794290454E-3</v>
      </c>
      <c r="E203" s="217">
        <f t="shared" si="13"/>
        <v>6.5812024405291769E-3</v>
      </c>
      <c r="F203" s="217">
        <f t="shared" si="13"/>
        <v>1.7230811142137092E-2</v>
      </c>
      <c r="G203" s="217">
        <f t="shared" si="13"/>
        <v>2.9994643813604727E-2</v>
      </c>
      <c r="H203" s="217">
        <f t="shared" si="13"/>
        <v>2.3530941237649428E-2</v>
      </c>
      <c r="I203" s="217">
        <f t="shared" si="13"/>
        <v>1.2511113933697526E-2</v>
      </c>
      <c r="J203" s="217">
        <f t="shared" si="13"/>
        <v>4.9551527316062938E-3</v>
      </c>
      <c r="K203" s="217">
        <f t="shared" si="13"/>
        <v>3.1207090250906511E-4</v>
      </c>
      <c r="L203" s="217">
        <f t="shared" si="13"/>
        <v>-6.4890497285829962E-3</v>
      </c>
      <c r="M203" s="217">
        <f t="shared" si="13"/>
        <v>-1.3125667273754971E-2</v>
      </c>
      <c r="N203" s="217">
        <f t="shared" si="13"/>
        <v>-1.0118365788468919E-2</v>
      </c>
      <c r="O203" s="217">
        <f t="shared" si="13"/>
        <v>-1.099324975891991E-2</v>
      </c>
      <c r="P203" s="217">
        <f t="shared" si="13"/>
        <v>-1.1895475819032719E-2</v>
      </c>
      <c r="Q203" s="217">
        <f t="shared" si="13"/>
        <v>-5.8548779685546615E-3</v>
      </c>
      <c r="R203" s="217">
        <f t="shared" si="13"/>
        <v>-6.9481206987824784E-3</v>
      </c>
      <c r="S203" s="217">
        <f t="shared" si="13"/>
        <v>-9.9286999400279852E-3</v>
      </c>
      <c r="T203" s="217">
        <f t="shared" si="13"/>
        <v>-9.6917485529680603E-3</v>
      </c>
      <c r="U203" s="217">
        <f t="shared" si="13"/>
        <v>8.1554981650122649E-4</v>
      </c>
      <c r="V203" s="217">
        <f t="shared" si="13"/>
        <v>-7.7414097514599822E-3</v>
      </c>
      <c r="W203" s="217">
        <f t="shared" si="13"/>
        <v>2.4637284423760786E-3</v>
      </c>
      <c r="X203" s="217">
        <f t="shared" si="13"/>
        <v>1.6794101583833987E-2</v>
      </c>
      <c r="Y203" s="217">
        <f t="shared" si="13"/>
        <v>2.336511346851089E-2</v>
      </c>
      <c r="Z203" s="217">
        <f t="shared" si="13"/>
        <v>1.1547041070725683E-2</v>
      </c>
      <c r="AA203" s="217">
        <f t="shared" si="13"/>
        <v>1.7511998962251862E-2</v>
      </c>
      <c r="AB203" s="217">
        <f t="shared" si="13"/>
        <v>7.6491585925548833E-3</v>
      </c>
      <c r="AC203" s="217">
        <f t="shared" si="13"/>
        <v>-4.3016194331984003E-3</v>
      </c>
      <c r="AD203" s="217">
        <f t="shared" si="13"/>
        <v>-9.9110546378653464E-3</v>
      </c>
      <c r="AE203" s="217">
        <f t="shared" si="13"/>
        <v>-4.4276180698151757E-3</v>
      </c>
      <c r="AF203" s="217">
        <f t="shared" si="13"/>
        <v>-7.9922655494683026E-3</v>
      </c>
      <c r="AG203" s="217">
        <f t="shared" si="13"/>
        <v>-2.274056266649338E-3</v>
      </c>
      <c r="AH203" s="217">
        <f t="shared" si="13"/>
        <v>3.842146392289747E-3</v>
      </c>
      <c r="AI203" s="217">
        <f t="shared" si="13"/>
        <v>4.8653908530651435E-3</v>
      </c>
      <c r="AJ203" s="217">
        <f t="shared" si="13"/>
        <v>5.6165267914782824E-3</v>
      </c>
      <c r="AK203" s="217">
        <f t="shared" si="13"/>
        <v>5.6493548180009956E-3</v>
      </c>
      <c r="AL203" s="217">
        <f t="shared" si="13"/>
        <v>5.489945738908375E-3</v>
      </c>
      <c r="AM203" s="217">
        <f t="shared" si="13"/>
        <v>5.0155545679639868E-3</v>
      </c>
      <c r="AN203" s="217">
        <f t="shared" si="13"/>
        <v>4.2324699936828747E-3</v>
      </c>
      <c r="AO203" s="217">
        <f t="shared" si="13"/>
        <v>3.5855821853179037E-3</v>
      </c>
      <c r="AP203" s="217">
        <f t="shared" si="13"/>
        <v>2.6325686348251942E-3</v>
      </c>
      <c r="AQ203" s="217">
        <f t="shared" si="13"/>
        <v>1.750437609402411E-3</v>
      </c>
      <c r="AR203" s="217">
        <f t="shared" si="13"/>
        <v>8.7368946580124174E-4</v>
      </c>
      <c r="AS203" s="217">
        <f t="shared" si="13"/>
        <v>-6.2351914203784276E-5</v>
      </c>
      <c r="AT203" s="217">
        <f t="shared" si="13"/>
        <v>-5.6120221986655228E-4</v>
      </c>
      <c r="AU203" s="217">
        <f t="shared" si="13"/>
        <v>-1.3725979535812449E-3</v>
      </c>
      <c r="AV203" s="217">
        <f t="shared" si="13"/>
        <v>-1.9367737098587856E-3</v>
      </c>
      <c r="AW203" s="217">
        <f t="shared" si="13"/>
        <v>-2.1909233176838905E-3</v>
      </c>
      <c r="AX203" s="217">
        <f t="shared" si="13"/>
        <v>-2.2584692597239497E-3</v>
      </c>
      <c r="AY203" s="217">
        <f t="shared" si="13"/>
        <v>-2.1378269617706724E-3</v>
      </c>
      <c r="AZ203" s="217">
        <f t="shared" si="13"/>
        <v>-1.575299306868283E-3</v>
      </c>
      <c r="BA203" s="217">
        <f t="shared" si="13"/>
        <v>-9.4667087409272543E-4</v>
      </c>
      <c r="BB203" s="217">
        <f t="shared" si="13"/>
        <v>-6.3171193935618319E-5</v>
      </c>
      <c r="BC203" s="217">
        <f t="shared" si="13"/>
        <v>8.8445258702374296E-4</v>
      </c>
      <c r="BD203" s="217">
        <f t="shared" si="13"/>
        <v>1.5779839676828278E-3</v>
      </c>
      <c r="BE203" s="217">
        <f t="shared" si="13"/>
        <v>2.2687169145449992E-3</v>
      </c>
      <c r="BF203" s="217">
        <f t="shared" si="13"/>
        <v>2.7037223340040661E-3</v>
      </c>
    </row>
    <row r="204" spans="1:58" x14ac:dyDescent="0.2">
      <c r="A204" s="320" t="s">
        <v>226</v>
      </c>
      <c r="B204" s="321"/>
      <c r="C204" s="322"/>
      <c r="D204" s="217">
        <f t="shared" ref="D204:BF204" si="14">SUM(D$126:D$130)/SUM(C$126:C$130)-1</f>
        <v>1.7440119760478989E-2</v>
      </c>
      <c r="E204" s="217">
        <f t="shared" si="14"/>
        <v>2.2511586846170717E-2</v>
      </c>
      <c r="F204" s="217">
        <f t="shared" si="14"/>
        <v>2.1728181883588826E-2</v>
      </c>
      <c r="G204" s="217">
        <f t="shared" si="14"/>
        <v>2.2744877121329443E-2</v>
      </c>
      <c r="H204" s="217">
        <f t="shared" si="14"/>
        <v>1.377031120903327E-2</v>
      </c>
      <c r="I204" s="217">
        <f t="shared" si="14"/>
        <v>7.9462102689487057E-3</v>
      </c>
      <c r="J204" s="217">
        <f t="shared" si="14"/>
        <v>1.2398086382319207E-2</v>
      </c>
      <c r="K204" s="217">
        <f t="shared" si="14"/>
        <v>1.9500831946755337E-2</v>
      </c>
      <c r="L204" s="217">
        <f t="shared" si="14"/>
        <v>2.9964747356051813E-2</v>
      </c>
      <c r="M204" s="217">
        <f t="shared" si="14"/>
        <v>2.8585916207136908E-2</v>
      </c>
      <c r="N204" s="217">
        <f t="shared" si="14"/>
        <v>2.1567660833127889E-2</v>
      </c>
      <c r="O204" s="217">
        <f t="shared" si="14"/>
        <v>1.1883218723609534E-2</v>
      </c>
      <c r="P204" s="217">
        <f t="shared" si="14"/>
        <v>3.2190760059611634E-3</v>
      </c>
      <c r="Q204" s="217">
        <f t="shared" si="14"/>
        <v>-6.1203874264662561E-3</v>
      </c>
      <c r="R204" s="217">
        <f t="shared" si="14"/>
        <v>-1.2495515963171111E-2</v>
      </c>
      <c r="S204" s="217">
        <f t="shared" si="14"/>
        <v>-9.4448144336138906E-3</v>
      </c>
      <c r="T204" s="217">
        <f t="shared" si="14"/>
        <v>-1.0512804840779877E-2</v>
      </c>
      <c r="U204" s="217">
        <f t="shared" si="14"/>
        <v>-1.124220149484223E-2</v>
      </c>
      <c r="V204" s="217">
        <f t="shared" si="14"/>
        <v>-5.5600674704816555E-3</v>
      </c>
      <c r="W204" s="217">
        <f t="shared" si="14"/>
        <v>-6.4706621434853506E-3</v>
      </c>
      <c r="X204" s="217">
        <f t="shared" si="14"/>
        <v>-9.4214353461903322E-3</v>
      </c>
      <c r="Y204" s="217">
        <f t="shared" si="14"/>
        <v>-9.1918805055534181E-3</v>
      </c>
      <c r="Z204" s="217">
        <f t="shared" si="14"/>
        <v>8.3752093802336169E-4</v>
      </c>
      <c r="AA204" s="217">
        <f t="shared" si="14"/>
        <v>-7.2738976504667097E-3</v>
      </c>
      <c r="AB204" s="217">
        <f t="shared" si="14"/>
        <v>2.3343275839708966E-3</v>
      </c>
      <c r="AC204" s="217">
        <f t="shared" si="14"/>
        <v>1.5978781213611182E-2</v>
      </c>
      <c r="AD204" s="217">
        <f t="shared" si="14"/>
        <v>2.2094874243871354E-2</v>
      </c>
      <c r="AE204" s="217">
        <f t="shared" si="14"/>
        <v>1.1088960877149168E-2</v>
      </c>
      <c r="AF204" s="217">
        <f t="shared" si="14"/>
        <v>1.6451016635859572E-2</v>
      </c>
      <c r="AG204" s="217">
        <f t="shared" si="14"/>
        <v>7.3952839910287338E-3</v>
      </c>
      <c r="AH204" s="217">
        <f t="shared" si="14"/>
        <v>-4.151874360671548E-3</v>
      </c>
      <c r="AI204" s="217">
        <f t="shared" si="14"/>
        <v>-9.2447129909365433E-3</v>
      </c>
      <c r="AJ204" s="217">
        <f t="shared" si="14"/>
        <v>-4.3300603768982038E-3</v>
      </c>
      <c r="AK204" s="217">
        <f t="shared" si="14"/>
        <v>-7.4727428641431226E-3</v>
      </c>
      <c r="AL204" s="217">
        <f t="shared" si="14"/>
        <v>-2.2216736608244858E-3</v>
      </c>
      <c r="AM204" s="217">
        <f t="shared" si="14"/>
        <v>3.6491835724887789E-3</v>
      </c>
      <c r="AN204" s="217">
        <f t="shared" si="14"/>
        <v>4.7451777901028613E-3</v>
      </c>
      <c r="AO204" s="217">
        <f t="shared" si="14"/>
        <v>5.2134445534837148E-3</v>
      </c>
      <c r="AP204" s="217">
        <f t="shared" si="14"/>
        <v>5.5525047287814377E-3</v>
      </c>
      <c r="AQ204" s="217">
        <f t="shared" si="14"/>
        <v>5.0970873786406745E-3</v>
      </c>
      <c r="AR204" s="217">
        <f t="shared" si="14"/>
        <v>4.8297512678097121E-3</v>
      </c>
      <c r="AS204" s="217">
        <f t="shared" si="14"/>
        <v>4.0855563566450925E-3</v>
      </c>
      <c r="AT204" s="217">
        <f t="shared" si="14"/>
        <v>3.4107228338917661E-3</v>
      </c>
      <c r="AU204" s="217">
        <f t="shared" si="14"/>
        <v>2.504621623233394E-3</v>
      </c>
      <c r="AV204" s="217">
        <f t="shared" si="14"/>
        <v>1.606091249776842E-3</v>
      </c>
      <c r="AW204" s="217">
        <f t="shared" si="14"/>
        <v>9.5023161895713137E-4</v>
      </c>
      <c r="AX204" s="217">
        <f t="shared" si="14"/>
        <v>0</v>
      </c>
      <c r="AY204" s="217">
        <f t="shared" si="14"/>
        <v>-7.1199715201142322E-4</v>
      </c>
      <c r="AZ204" s="217">
        <f t="shared" si="14"/>
        <v>-1.2468827930174342E-3</v>
      </c>
      <c r="BA204" s="217">
        <f t="shared" si="14"/>
        <v>-1.7240354319005835E-3</v>
      </c>
      <c r="BB204" s="217">
        <f t="shared" si="14"/>
        <v>-2.0843258694616118E-3</v>
      </c>
      <c r="BC204" s="217">
        <f t="shared" si="14"/>
        <v>-2.1483559109626293E-3</v>
      </c>
      <c r="BD204" s="217">
        <f t="shared" si="14"/>
        <v>-2.0333712098559165E-3</v>
      </c>
      <c r="BE204" s="217">
        <f t="shared" si="14"/>
        <v>-1.558099119074674E-3</v>
      </c>
      <c r="BF204" s="217">
        <f t="shared" si="14"/>
        <v>-7.8026529019870061E-4</v>
      </c>
    </row>
    <row r="205" spans="1:58" x14ac:dyDescent="0.2">
      <c r="A205" s="320" t="s">
        <v>228</v>
      </c>
      <c r="B205" s="321"/>
      <c r="C205" s="322"/>
      <c r="D205" s="217">
        <f t="shared" ref="D205:BF205" si="15">SUM(D$131:D$135)/SUM(C$131:C$135)-1</f>
        <v>-2.9527690560491648E-2</v>
      </c>
      <c r="E205" s="217">
        <f t="shared" si="15"/>
        <v>-2.6502374888139335E-2</v>
      </c>
      <c r="F205" s="217">
        <f t="shared" si="15"/>
        <v>-1.0535992080328072E-2</v>
      </c>
      <c r="G205" s="217">
        <f t="shared" si="15"/>
        <v>5.002501250626068E-4</v>
      </c>
      <c r="H205" s="217">
        <f t="shared" si="15"/>
        <v>9.2857142857143415E-3</v>
      </c>
      <c r="I205" s="217">
        <f t="shared" si="15"/>
        <v>1.3446567586695046E-2</v>
      </c>
      <c r="J205" s="217">
        <f t="shared" si="15"/>
        <v>2.2206703910614634E-2</v>
      </c>
      <c r="K205" s="217">
        <f t="shared" si="15"/>
        <v>1.9264926902582413E-2</v>
      </c>
      <c r="L205" s="217">
        <f t="shared" si="15"/>
        <v>2.0978552278820395E-2</v>
      </c>
      <c r="M205" s="217">
        <f t="shared" si="15"/>
        <v>2.0416201667432521E-2</v>
      </c>
      <c r="N205" s="217">
        <f t="shared" si="15"/>
        <v>1.4796706124549752E-2</v>
      </c>
      <c r="O205" s="217">
        <f t="shared" si="15"/>
        <v>1.7940915430455284E-2</v>
      </c>
      <c r="P205" s="217">
        <f t="shared" si="15"/>
        <v>2.0863174939278917E-2</v>
      </c>
      <c r="Q205" s="217">
        <f t="shared" si="15"/>
        <v>2.8123474865788145E-2</v>
      </c>
      <c r="R205" s="217">
        <f t="shared" si="15"/>
        <v>2.6701477481753999E-2</v>
      </c>
      <c r="S205" s="217">
        <f t="shared" si="15"/>
        <v>2.0169912731896167E-2</v>
      </c>
      <c r="T205" s="217">
        <f t="shared" si="15"/>
        <v>1.1216859279401747E-2</v>
      </c>
      <c r="U205" s="217">
        <f t="shared" si="15"/>
        <v>2.9691876750699286E-3</v>
      </c>
      <c r="V205" s="217">
        <f t="shared" si="15"/>
        <v>-5.7532257163603884E-3</v>
      </c>
      <c r="W205" s="217">
        <f t="shared" si="15"/>
        <v>-1.1573033707865221E-2</v>
      </c>
      <c r="X205" s="217">
        <f t="shared" si="15"/>
        <v>-8.9803342048425661E-3</v>
      </c>
      <c r="Y205" s="217">
        <f t="shared" si="15"/>
        <v>-9.692590043588023E-3</v>
      </c>
      <c r="Z205" s="217">
        <f t="shared" si="15"/>
        <v>-1.0540337059130156E-2</v>
      </c>
      <c r="AA205" s="217">
        <f t="shared" si="15"/>
        <v>-5.1507170032192295E-3</v>
      </c>
      <c r="AB205" s="217">
        <f t="shared" si="15"/>
        <v>-6.0598929222803743E-3</v>
      </c>
      <c r="AC205" s="217">
        <f t="shared" si="15"/>
        <v>-8.8196993015271508E-3</v>
      </c>
      <c r="AD205" s="217">
        <f t="shared" si="15"/>
        <v>-8.4801433263660408E-3</v>
      </c>
      <c r="AE205" s="217">
        <f t="shared" si="15"/>
        <v>7.227609468167806E-4</v>
      </c>
      <c r="AF205" s="217">
        <f t="shared" si="15"/>
        <v>-6.7408967800181019E-3</v>
      </c>
      <c r="AG205" s="217">
        <f t="shared" si="15"/>
        <v>2.2420166030419075E-3</v>
      </c>
      <c r="AH205" s="217">
        <f t="shared" si="15"/>
        <v>1.4933494558645677E-2</v>
      </c>
      <c r="AI205" s="217">
        <f t="shared" si="15"/>
        <v>2.0670757133496087E-2</v>
      </c>
      <c r="AJ205" s="217">
        <f t="shared" si="15"/>
        <v>1.0330337340959561E-2</v>
      </c>
      <c r="AK205" s="217">
        <f t="shared" si="15"/>
        <v>1.5481485760499014E-2</v>
      </c>
      <c r="AL205" s="217">
        <f t="shared" si="15"/>
        <v>6.8832129245122164E-3</v>
      </c>
      <c r="AM205" s="217">
        <f t="shared" si="15"/>
        <v>-3.8418079096045332E-3</v>
      </c>
      <c r="AN205" s="217">
        <f t="shared" si="15"/>
        <v>-8.6774047186932712E-3</v>
      </c>
      <c r="AO205" s="217">
        <f t="shared" si="15"/>
        <v>-3.9475942559642485E-3</v>
      </c>
      <c r="AP205" s="217">
        <f t="shared" si="15"/>
        <v>-7.0074669730040284E-3</v>
      </c>
      <c r="AQ205" s="217">
        <f t="shared" si="15"/>
        <v>-2.0245256825544011E-3</v>
      </c>
      <c r="AR205" s="217">
        <f t="shared" si="15"/>
        <v>3.4776560598157591E-3</v>
      </c>
      <c r="AS205" s="217">
        <f t="shared" si="15"/>
        <v>4.3320048518453724E-3</v>
      </c>
      <c r="AT205" s="217">
        <f t="shared" si="15"/>
        <v>5.0609615827006404E-3</v>
      </c>
      <c r="AU205" s="217">
        <f t="shared" si="15"/>
        <v>5.0926985580224127E-3</v>
      </c>
      <c r="AV205" s="217">
        <f t="shared" si="15"/>
        <v>4.8961001992597897E-3</v>
      </c>
      <c r="AW205" s="217">
        <f t="shared" si="15"/>
        <v>4.5323211149510545E-3</v>
      </c>
      <c r="AX205" s="217">
        <f t="shared" si="15"/>
        <v>3.7786926851277602E-3</v>
      </c>
      <c r="AY205" s="217">
        <f t="shared" si="15"/>
        <v>3.2026070344981505E-3</v>
      </c>
      <c r="AZ205" s="217">
        <f t="shared" si="15"/>
        <v>2.4082889946792641E-3</v>
      </c>
      <c r="BA205" s="217">
        <f t="shared" si="15"/>
        <v>1.5644206056542043E-3</v>
      </c>
      <c r="BB205" s="217">
        <f t="shared" si="15"/>
        <v>8.3677340176291359E-4</v>
      </c>
      <c r="BC205" s="217">
        <f t="shared" si="15"/>
        <v>5.5738253163184481E-5</v>
      </c>
      <c r="BD205" s="217">
        <f t="shared" si="15"/>
        <v>-5.573514658343548E-4</v>
      </c>
      <c r="BE205" s="217">
        <f t="shared" si="15"/>
        <v>-1.1710907874191712E-3</v>
      </c>
      <c r="BF205" s="217">
        <f t="shared" si="15"/>
        <v>-1.6749483557589873E-3</v>
      </c>
    </row>
    <row r="206" spans="1:58" x14ac:dyDescent="0.2">
      <c r="A206" s="320" t="s">
        <v>229</v>
      </c>
      <c r="B206" s="321"/>
      <c r="C206" s="322"/>
      <c r="D206" s="217">
        <f t="shared" ref="D206:BF206" si="16">SUM(D$136:D$140)/SUM(C$136:C$140)-1</f>
        <v>7.2206584261411688E-3</v>
      </c>
      <c r="E206" s="217">
        <f t="shared" si="16"/>
        <v>-5.346294046172595E-3</v>
      </c>
      <c r="F206" s="217">
        <f t="shared" si="16"/>
        <v>-1.3498656242365015E-2</v>
      </c>
      <c r="G206" s="217">
        <f t="shared" si="16"/>
        <v>-1.9874930344870312E-2</v>
      </c>
      <c r="H206" s="217">
        <f t="shared" si="16"/>
        <v>-3.8029058749210365E-2</v>
      </c>
      <c r="I206" s="217">
        <f t="shared" si="16"/>
        <v>-3.6708694510112938E-2</v>
      </c>
      <c r="J206" s="217">
        <f t="shared" si="16"/>
        <v>-2.9313518303906161E-2</v>
      </c>
      <c r="K206" s="217">
        <f t="shared" si="16"/>
        <v>-1.2922255776388836E-2</v>
      </c>
      <c r="L206" s="217">
        <f t="shared" si="16"/>
        <v>-7.1149057274988436E-4</v>
      </c>
      <c r="M206" s="217">
        <f t="shared" si="16"/>
        <v>1.1961552153791466E-2</v>
      </c>
      <c r="N206" s="217">
        <f t="shared" si="16"/>
        <v>1.7730246957011087E-2</v>
      </c>
      <c r="O206" s="217">
        <f t="shared" si="16"/>
        <v>2.5648116142412691E-2</v>
      </c>
      <c r="P206" s="217">
        <f t="shared" si="16"/>
        <v>2.0558101914262661E-2</v>
      </c>
      <c r="Q206" s="217">
        <f t="shared" si="16"/>
        <v>2.0606300772736175E-2</v>
      </c>
      <c r="R206" s="217">
        <f t="shared" si="16"/>
        <v>2.0125541965961391E-2</v>
      </c>
      <c r="S206" s="217">
        <f t="shared" si="16"/>
        <v>1.4653641207815316E-2</v>
      </c>
      <c r="T206" s="217">
        <f t="shared" si="16"/>
        <v>1.7567989996873923E-2</v>
      </c>
      <c r="U206" s="217">
        <f t="shared" si="16"/>
        <v>2.0705333005652582E-2</v>
      </c>
      <c r="V206" s="217">
        <f t="shared" si="16"/>
        <v>2.7568771444049789E-2</v>
      </c>
      <c r="W206" s="217">
        <f t="shared" si="16"/>
        <v>2.6360494405717194E-2</v>
      </c>
      <c r="X206" s="217">
        <f t="shared" si="16"/>
        <v>1.9918954397579958E-2</v>
      </c>
      <c r="Y206" s="217">
        <f t="shared" si="16"/>
        <v>1.1080022383883614E-2</v>
      </c>
      <c r="Z206" s="217">
        <f t="shared" si="16"/>
        <v>2.933362851450072E-3</v>
      </c>
      <c r="AA206" s="217">
        <f t="shared" si="16"/>
        <v>-5.5736438386402298E-3</v>
      </c>
      <c r="AB206" s="217">
        <f t="shared" si="16"/>
        <v>-1.1487236403995515E-2</v>
      </c>
      <c r="AC206" s="217">
        <f t="shared" si="16"/>
        <v>-8.5892325829450833E-3</v>
      </c>
      <c r="AD206" s="217">
        <f t="shared" si="16"/>
        <v>-9.7395243488108685E-3</v>
      </c>
      <c r="AE206" s="217">
        <f t="shared" si="16"/>
        <v>-1.0235590118938709E-2</v>
      </c>
      <c r="AF206" s="217">
        <f t="shared" si="16"/>
        <v>-5.1418337281182724E-3</v>
      </c>
      <c r="AG206" s="217">
        <f t="shared" si="16"/>
        <v>-5.9233449477351652E-3</v>
      </c>
      <c r="AH206" s="217">
        <f t="shared" si="16"/>
        <v>-8.5874518051174409E-3</v>
      </c>
      <c r="AI206" s="217">
        <f t="shared" si="16"/>
        <v>-8.3672146603028796E-3</v>
      </c>
      <c r="AJ206" s="217">
        <f t="shared" si="16"/>
        <v>8.3189732010224837E-4</v>
      </c>
      <c r="AK206" s="217">
        <f t="shared" si="16"/>
        <v>-6.7090185833877936E-3</v>
      </c>
      <c r="AL206" s="217">
        <f t="shared" si="16"/>
        <v>2.2713687985653763E-3</v>
      </c>
      <c r="AM206" s="217">
        <f t="shared" si="16"/>
        <v>1.4670801526717625E-2</v>
      </c>
      <c r="AN206" s="217">
        <f t="shared" si="16"/>
        <v>2.0453743975549443E-2</v>
      </c>
      <c r="AO206" s="217">
        <f t="shared" si="16"/>
        <v>1.0194678032484639E-2</v>
      </c>
      <c r="AP206" s="217">
        <f t="shared" si="16"/>
        <v>1.5337248417811811E-2</v>
      </c>
      <c r="AQ206" s="217">
        <f t="shared" si="16"/>
        <v>6.794699011680061E-3</v>
      </c>
      <c r="AR206" s="217">
        <f t="shared" si="16"/>
        <v>-3.6811869038987366E-3</v>
      </c>
      <c r="AS206" s="217">
        <f t="shared" si="16"/>
        <v>-8.6211722555001868E-3</v>
      </c>
      <c r="AT206" s="217">
        <f t="shared" si="16"/>
        <v>-3.8963239031001295E-3</v>
      </c>
      <c r="AU206" s="217">
        <f t="shared" si="16"/>
        <v>-6.8594104308390413E-3</v>
      </c>
      <c r="AV206" s="217">
        <f t="shared" si="16"/>
        <v>-1.8836691591985755E-3</v>
      </c>
      <c r="AW206" s="217">
        <f t="shared" si="16"/>
        <v>3.3741278737275948E-3</v>
      </c>
      <c r="AX206" s="217">
        <f t="shared" si="16"/>
        <v>4.3317184383016016E-3</v>
      </c>
      <c r="AY206" s="217">
        <f t="shared" si="16"/>
        <v>4.9372907326485915E-3</v>
      </c>
      <c r="AZ206" s="217">
        <f t="shared" si="16"/>
        <v>5.0824486107974298E-3</v>
      </c>
      <c r="BA206" s="217">
        <f t="shared" si="16"/>
        <v>4.8320035959097396E-3</v>
      </c>
      <c r="BB206" s="217">
        <f t="shared" si="16"/>
        <v>4.4732721986133761E-3</v>
      </c>
      <c r="BC206" s="217">
        <f t="shared" si="16"/>
        <v>3.8410153640615619E-3</v>
      </c>
      <c r="BD206" s="217">
        <f t="shared" si="16"/>
        <v>3.1608717351521154E-3</v>
      </c>
      <c r="BE206" s="217">
        <f t="shared" si="16"/>
        <v>2.3217247097844229E-3</v>
      </c>
      <c r="BF206" s="217">
        <f t="shared" si="16"/>
        <v>1.6545334215751772E-3</v>
      </c>
    </row>
    <row r="207" spans="1:58" x14ac:dyDescent="0.2">
      <c r="A207" s="320" t="s">
        <v>232</v>
      </c>
      <c r="B207" s="321"/>
      <c r="C207" s="322"/>
      <c r="D207" s="217">
        <f t="shared" ref="D207:BF207" si="17">SUM(D$141:D$145)/SUM(C$141:C$145)-1</f>
        <v>-1.026780353068335E-2</v>
      </c>
      <c r="E207" s="217">
        <f t="shared" si="17"/>
        <v>-1.2679730631559805E-2</v>
      </c>
      <c r="F207" s="217">
        <f t="shared" si="17"/>
        <v>-3.7483101880300129E-3</v>
      </c>
      <c r="G207" s="217">
        <f t="shared" si="17"/>
        <v>1.6653302905076384E-3</v>
      </c>
      <c r="H207" s="217">
        <f t="shared" si="17"/>
        <v>7.0812807881772688E-3</v>
      </c>
      <c r="I207" s="217">
        <f t="shared" si="17"/>
        <v>1.8954448180983352E-3</v>
      </c>
      <c r="J207" s="217">
        <f t="shared" si="17"/>
        <v>-7.750518735505918E-3</v>
      </c>
      <c r="K207" s="217">
        <f t="shared" si="17"/>
        <v>-1.6667691739959412E-2</v>
      </c>
      <c r="L207" s="217">
        <f t="shared" si="17"/>
        <v>-2.1641230923192367E-2</v>
      </c>
      <c r="M207" s="217">
        <f t="shared" si="17"/>
        <v>-3.6312492008694575E-2</v>
      </c>
      <c r="N207" s="217">
        <f t="shared" si="17"/>
        <v>-3.3501393127238988E-2</v>
      </c>
      <c r="O207" s="217">
        <f t="shared" si="17"/>
        <v>-2.6563250737868027E-2</v>
      </c>
      <c r="P207" s="217">
        <f t="shared" si="17"/>
        <v>-1.1704978141305888E-2</v>
      </c>
      <c r="Q207" s="217">
        <f t="shared" si="17"/>
        <v>-7.1347031963475693E-4</v>
      </c>
      <c r="R207" s="217">
        <f t="shared" si="17"/>
        <v>1.1994859345994646E-2</v>
      </c>
      <c r="S207" s="217">
        <f t="shared" si="17"/>
        <v>1.78495837448851E-2</v>
      </c>
      <c r="T207" s="217">
        <f t="shared" si="17"/>
        <v>2.5715672003881584E-2</v>
      </c>
      <c r="U207" s="217">
        <f t="shared" si="17"/>
        <v>2.0610893363968152E-2</v>
      </c>
      <c r="V207" s="217">
        <f t="shared" si="17"/>
        <v>2.0525723366218607E-2</v>
      </c>
      <c r="W207" s="217">
        <f t="shared" si="17"/>
        <v>2.0177772010640416E-2</v>
      </c>
      <c r="X207" s="217">
        <f t="shared" si="17"/>
        <v>1.4690918341389025E-2</v>
      </c>
      <c r="Y207" s="217">
        <f t="shared" si="17"/>
        <v>1.7674710122218773E-2</v>
      </c>
      <c r="Z207" s="217">
        <f t="shared" si="17"/>
        <v>2.0693477859210496E-2</v>
      </c>
      <c r="AA207" s="217">
        <f t="shared" si="17"/>
        <v>2.7755988656248176E-2</v>
      </c>
      <c r="AB207" s="217">
        <f t="shared" si="17"/>
        <v>2.6301884576997558E-2</v>
      </c>
      <c r="AC207" s="217">
        <f t="shared" si="17"/>
        <v>1.9907327956066645E-2</v>
      </c>
      <c r="AD207" s="217">
        <f t="shared" si="17"/>
        <v>1.1049413876268899E-2</v>
      </c>
      <c r="AE207" s="217">
        <f t="shared" si="17"/>
        <v>3.1620991900587203E-3</v>
      </c>
      <c r="AF207" s="217">
        <f t="shared" si="17"/>
        <v>-5.5853564120997845E-3</v>
      </c>
      <c r="AG207" s="217">
        <f t="shared" si="17"/>
        <v>-1.1400289178066902E-2</v>
      </c>
      <c r="AH207" s="217">
        <f t="shared" si="17"/>
        <v>-8.6066265399110664E-3</v>
      </c>
      <c r="AI207" s="217">
        <f t="shared" si="17"/>
        <v>-9.5891965501588849E-3</v>
      </c>
      <c r="AJ207" s="217">
        <f t="shared" si="17"/>
        <v>-1.0312231452305975E-2</v>
      </c>
      <c r="AK207" s="217">
        <f t="shared" si="17"/>
        <v>-4.920405209840828E-3</v>
      </c>
      <c r="AL207" s="217">
        <f t="shared" si="17"/>
        <v>-5.8755090168702839E-3</v>
      </c>
      <c r="AM207" s="217">
        <f t="shared" si="17"/>
        <v>-8.5435075194569832E-3</v>
      </c>
      <c r="AN207" s="217">
        <f t="shared" si="17"/>
        <v>-8.3220208935843587E-3</v>
      </c>
      <c r="AO207" s="217">
        <f t="shared" si="17"/>
        <v>8.3323413879310415E-4</v>
      </c>
      <c r="AP207" s="217">
        <f t="shared" si="17"/>
        <v>-6.6008563273073362E-3</v>
      </c>
      <c r="AQ207" s="217">
        <f t="shared" si="17"/>
        <v>2.3346303501945442E-3</v>
      </c>
      <c r="AR207" s="217">
        <f t="shared" si="17"/>
        <v>1.4632107023411445E-2</v>
      </c>
      <c r="AS207" s="217">
        <f t="shared" si="17"/>
        <v>2.0424980869974796E-2</v>
      </c>
      <c r="AT207" s="217">
        <f t="shared" si="17"/>
        <v>1.0209967697277333E-2</v>
      </c>
      <c r="AU207" s="217">
        <f t="shared" si="17"/>
        <v>1.5417118711814171E-2</v>
      </c>
      <c r="AV207" s="217">
        <f t="shared" si="17"/>
        <v>6.9167182140246197E-3</v>
      </c>
      <c r="AW207" s="217">
        <f t="shared" si="17"/>
        <v>-3.7976097397520725E-3</v>
      </c>
      <c r="AX207" s="217">
        <f t="shared" si="17"/>
        <v>-8.4650745599282873E-3</v>
      </c>
      <c r="AY207" s="217">
        <f t="shared" si="17"/>
        <v>-3.8446316503646383E-3</v>
      </c>
      <c r="AZ207" s="217">
        <f t="shared" si="17"/>
        <v>-6.8675861286111584E-3</v>
      </c>
      <c r="BA207" s="217">
        <f t="shared" si="17"/>
        <v>-1.8287804320493706E-3</v>
      </c>
      <c r="BB207" s="217">
        <f t="shared" si="17"/>
        <v>3.3207374327264283E-3</v>
      </c>
      <c r="BC207" s="217">
        <f t="shared" si="17"/>
        <v>4.451038575667754E-3</v>
      </c>
      <c r="BD207" s="217">
        <f t="shared" si="17"/>
        <v>4.9426201568003592E-3</v>
      </c>
      <c r="BE207" s="217">
        <f t="shared" si="17"/>
        <v>5.0879077392729233E-3</v>
      </c>
      <c r="BF207" s="217">
        <f t="shared" si="17"/>
        <v>4.8934135778164745E-3</v>
      </c>
    </row>
    <row r="208" spans="1:58" x14ac:dyDescent="0.2">
      <c r="A208" s="320" t="s">
        <v>233</v>
      </c>
      <c r="B208" s="321"/>
      <c r="C208" s="322"/>
      <c r="D208" s="217">
        <f t="shared" ref="D208:BF208" si="18">SUM(D$146:D$150)/SUM(C$146:C$150)-1</f>
        <v>2.9029157321371457E-2</v>
      </c>
      <c r="E208" s="217">
        <f t="shared" si="18"/>
        <v>2.4473782538298572E-2</v>
      </c>
      <c r="F208" s="217">
        <f t="shared" si="18"/>
        <v>1.0212145158349006E-2</v>
      </c>
      <c r="G208" s="217">
        <f t="shared" si="18"/>
        <v>2.1060232264276113E-3</v>
      </c>
      <c r="H208" s="217">
        <f t="shared" si="18"/>
        <v>-1.0808214242824521E-2</v>
      </c>
      <c r="I208" s="217">
        <f t="shared" si="18"/>
        <v>-1.5114726235279874E-2</v>
      </c>
      <c r="J208" s="217">
        <f t="shared" si="18"/>
        <v>-1.4668721109399097E-2</v>
      </c>
      <c r="K208" s="217">
        <f t="shared" si="18"/>
        <v>-5.0666166260086021E-3</v>
      </c>
      <c r="L208" s="217">
        <f t="shared" si="18"/>
        <v>3.1434678737585209E-4</v>
      </c>
      <c r="M208" s="217">
        <f t="shared" si="18"/>
        <v>8.233297718559518E-3</v>
      </c>
      <c r="N208" s="217">
        <f t="shared" si="18"/>
        <v>4.301209325520583E-3</v>
      </c>
      <c r="O208" s="217">
        <f t="shared" si="18"/>
        <v>-5.7724536031282803E-3</v>
      </c>
      <c r="P208" s="217">
        <f t="shared" si="18"/>
        <v>-1.5919590460731659E-2</v>
      </c>
      <c r="Q208" s="217">
        <f t="shared" si="18"/>
        <v>-2.1759817293662387E-2</v>
      </c>
      <c r="R208" s="217">
        <f t="shared" si="18"/>
        <v>-3.6316472114137466E-2</v>
      </c>
      <c r="S208" s="217">
        <f t="shared" si="18"/>
        <v>-3.3781965006729475E-2</v>
      </c>
      <c r="T208" s="217">
        <f t="shared" si="18"/>
        <v>-2.6675024376654144E-2</v>
      </c>
      <c r="U208" s="217">
        <f t="shared" si="18"/>
        <v>-1.166368515205729E-2</v>
      </c>
      <c r="V208" s="217">
        <f t="shared" si="18"/>
        <v>-5.7920648711262679E-4</v>
      </c>
      <c r="W208" s="217">
        <f t="shared" si="18"/>
        <v>1.2315270935960632E-2</v>
      </c>
      <c r="X208" s="217">
        <f t="shared" si="18"/>
        <v>1.8033490768570193E-2</v>
      </c>
      <c r="Y208" s="217">
        <f t="shared" si="18"/>
        <v>2.6008716434696932E-2</v>
      </c>
      <c r="Z208" s="217">
        <f t="shared" si="18"/>
        <v>2.0964647848725759E-2</v>
      </c>
      <c r="AA208" s="217">
        <f t="shared" si="18"/>
        <v>2.080257683532416E-2</v>
      </c>
      <c r="AB208" s="217">
        <f t="shared" si="18"/>
        <v>2.0575861162240416E-2</v>
      </c>
      <c r="AC208" s="217">
        <f t="shared" si="18"/>
        <v>1.4814814814814836E-2</v>
      </c>
      <c r="AD208" s="217">
        <f t="shared" si="18"/>
        <v>1.7899079657251571E-2</v>
      </c>
      <c r="AE208" s="217">
        <f t="shared" si="18"/>
        <v>2.1013905343892247E-2</v>
      </c>
      <c r="AF208" s="217">
        <f t="shared" si="18"/>
        <v>2.7849028948332633E-2</v>
      </c>
      <c r="AG208" s="217">
        <f t="shared" si="18"/>
        <v>2.673796791443861E-2</v>
      </c>
      <c r="AH208" s="217">
        <f t="shared" si="18"/>
        <v>2.0196759259259345E-2</v>
      </c>
      <c r="AI208" s="217">
        <f t="shared" si="18"/>
        <v>1.1288218276703121E-2</v>
      </c>
      <c r="AJ208" s="217">
        <f t="shared" si="18"/>
        <v>3.1411263181513327E-3</v>
      </c>
      <c r="AK208" s="217">
        <f t="shared" si="18"/>
        <v>-5.5356743457839475E-3</v>
      </c>
      <c r="AL208" s="217">
        <f t="shared" si="18"/>
        <v>-1.1357885858869876E-2</v>
      </c>
      <c r="AM208" s="217">
        <f t="shared" si="18"/>
        <v>-8.7015867599385954E-3</v>
      </c>
      <c r="AN208" s="217">
        <f t="shared" si="18"/>
        <v>-9.4664371772805733E-3</v>
      </c>
      <c r="AO208" s="217">
        <f t="shared" si="18"/>
        <v>-1.0309875470605245E-2</v>
      </c>
      <c r="AP208" s="217">
        <f t="shared" si="18"/>
        <v>-4.9160180253994268E-3</v>
      </c>
      <c r="AQ208" s="217">
        <f t="shared" si="18"/>
        <v>-5.8813150620479204E-3</v>
      </c>
      <c r="AR208" s="217">
        <f t="shared" si="18"/>
        <v>-8.519197775542775E-3</v>
      </c>
      <c r="AS208" s="217">
        <f t="shared" si="18"/>
        <v>-8.3537203890446943E-3</v>
      </c>
      <c r="AT208" s="217">
        <f t="shared" si="18"/>
        <v>9.0258138275478572E-4</v>
      </c>
      <c r="AU208" s="217">
        <f t="shared" si="18"/>
        <v>-6.5528435734039103E-3</v>
      </c>
      <c r="AV208" s="217">
        <f t="shared" si="18"/>
        <v>2.4205748865355758E-3</v>
      </c>
      <c r="AW208" s="217">
        <f t="shared" si="18"/>
        <v>1.4790220344099048E-2</v>
      </c>
      <c r="AX208" s="217">
        <f t="shared" si="18"/>
        <v>2.0701963117192079E-2</v>
      </c>
      <c r="AY208" s="217">
        <f t="shared" si="18"/>
        <v>1.0374169483622797E-2</v>
      </c>
      <c r="AZ208" s="217">
        <f t="shared" si="18"/>
        <v>1.5574526995846716E-2</v>
      </c>
      <c r="BA208" s="217">
        <f t="shared" si="18"/>
        <v>6.8726570487334104E-3</v>
      </c>
      <c r="BB208" s="217">
        <f t="shared" si="18"/>
        <v>-3.6103119535172423E-3</v>
      </c>
      <c r="BC208" s="217">
        <f t="shared" si="18"/>
        <v>-8.5489441204777972E-3</v>
      </c>
      <c r="BD208" s="217">
        <f t="shared" si="18"/>
        <v>-3.8259479214253211E-3</v>
      </c>
      <c r="BE208" s="217">
        <f t="shared" si="18"/>
        <v>-6.7641157924906992E-3</v>
      </c>
      <c r="BF208" s="217">
        <f t="shared" si="18"/>
        <v>-1.9045420442084238E-3</v>
      </c>
    </row>
    <row r="209" spans="1:58" x14ac:dyDescent="0.2">
      <c r="A209" s="320" t="s">
        <v>234</v>
      </c>
      <c r="B209" s="321"/>
      <c r="C209" s="322"/>
      <c r="D209" s="217">
        <f t="shared" ref="D209:BF209" si="19">SUM(D$151:D$155)/SUM(C$151:C$155)-1</f>
        <v>2.5573917595154372E-2</v>
      </c>
      <c r="E209" s="217">
        <f t="shared" si="19"/>
        <v>2.6686110098432358E-2</v>
      </c>
      <c r="F209" s="217">
        <f t="shared" si="19"/>
        <v>2.8123002627654214E-2</v>
      </c>
      <c r="G209" s="217">
        <f t="shared" si="19"/>
        <v>2.8113559439110203E-2</v>
      </c>
      <c r="H209" s="217">
        <f t="shared" si="19"/>
        <v>2.8083848427842062E-2</v>
      </c>
      <c r="I209" s="217">
        <f t="shared" si="19"/>
        <v>2.6597830348974005E-2</v>
      </c>
      <c r="J209" s="217">
        <f t="shared" si="19"/>
        <v>2.3298745941816801E-2</v>
      </c>
      <c r="K209" s="217">
        <f t="shared" si="19"/>
        <v>9.4556765163296141E-3</v>
      </c>
      <c r="L209" s="217">
        <f t="shared" si="19"/>
        <v>9.2438528378635532E-4</v>
      </c>
      <c r="M209" s="217">
        <f t="shared" si="19"/>
        <v>-1.0220416204900884E-2</v>
      </c>
      <c r="N209" s="217">
        <f t="shared" si="19"/>
        <v>-1.324956456830062E-2</v>
      </c>
      <c r="O209" s="217">
        <f t="shared" si="19"/>
        <v>-1.2986194288596153E-2</v>
      </c>
      <c r="P209" s="217">
        <f t="shared" si="19"/>
        <v>-4.2153669285304174E-3</v>
      </c>
      <c r="Q209" s="217">
        <f t="shared" si="19"/>
        <v>4.4897697389512103E-4</v>
      </c>
      <c r="R209" s="217">
        <f t="shared" si="19"/>
        <v>8.6549557635593466E-3</v>
      </c>
      <c r="S209" s="217">
        <f t="shared" si="19"/>
        <v>4.576368143392795E-3</v>
      </c>
      <c r="T209" s="217">
        <f t="shared" si="19"/>
        <v>-5.694400506168984E-3</v>
      </c>
      <c r="U209" s="217">
        <f t="shared" si="19"/>
        <v>-1.5908367801463541E-2</v>
      </c>
      <c r="V209" s="217">
        <f t="shared" si="19"/>
        <v>-2.1791141286776616E-2</v>
      </c>
      <c r="W209" s="217">
        <f t="shared" si="19"/>
        <v>-3.6620835536752994E-2</v>
      </c>
      <c r="X209" s="217">
        <f t="shared" si="19"/>
        <v>-3.3964594483326449E-2</v>
      </c>
      <c r="Y209" s="217">
        <f t="shared" si="19"/>
        <v>-2.6919525534483957E-2</v>
      </c>
      <c r="Z209" s="217">
        <f t="shared" si="19"/>
        <v>-1.1678832116788329E-2</v>
      </c>
      <c r="AA209" s="217">
        <f t="shared" si="19"/>
        <v>-2.2156573116693945E-4</v>
      </c>
      <c r="AB209" s="217">
        <f t="shared" si="19"/>
        <v>1.2632045504912481E-2</v>
      </c>
      <c r="AC209" s="217">
        <f t="shared" si="19"/>
        <v>1.8456375838926231E-2</v>
      </c>
      <c r="AD209" s="217">
        <f t="shared" si="19"/>
        <v>2.6430771434710953E-2</v>
      </c>
      <c r="AE209" s="217">
        <f t="shared" si="19"/>
        <v>2.1423586880670031E-2</v>
      </c>
      <c r="AF209" s="217">
        <f t="shared" si="19"/>
        <v>2.1247523399603674E-2</v>
      </c>
      <c r="AG209" s="217">
        <f t="shared" si="19"/>
        <v>2.0872357506020789E-2</v>
      </c>
      <c r="AH209" s="217">
        <f t="shared" si="19"/>
        <v>1.5072083879423381E-2</v>
      </c>
      <c r="AI209" s="217">
        <f t="shared" si="19"/>
        <v>1.839896707553268E-2</v>
      </c>
      <c r="AJ209" s="217">
        <f t="shared" si="19"/>
        <v>2.1299524564183825E-2</v>
      </c>
      <c r="AK209" s="217">
        <f t="shared" si="19"/>
        <v>2.8427782260567414E-2</v>
      </c>
      <c r="AL209" s="217">
        <f t="shared" si="19"/>
        <v>2.7159152634437911E-2</v>
      </c>
      <c r="AM209" s="217">
        <f t="shared" si="19"/>
        <v>2.044773488454088E-2</v>
      </c>
      <c r="AN209" s="217">
        <f t="shared" si="19"/>
        <v>1.1400932803593111E-2</v>
      </c>
      <c r="AO209" s="217">
        <f t="shared" si="19"/>
        <v>3.3589524622830158E-3</v>
      </c>
      <c r="AP209" s="217">
        <f t="shared" si="19"/>
        <v>-5.5038583749432712E-3</v>
      </c>
      <c r="AQ209" s="217">
        <f t="shared" si="19"/>
        <v>-1.135391110857531E-2</v>
      </c>
      <c r="AR209" s="217">
        <f t="shared" si="19"/>
        <v>-8.5987996306555736E-3</v>
      </c>
      <c r="AS209" s="217">
        <f t="shared" si="19"/>
        <v>-9.6047499854473584E-3</v>
      </c>
      <c r="AT209" s="217">
        <f t="shared" si="19"/>
        <v>-1.0168096861408293E-2</v>
      </c>
      <c r="AU209" s="217">
        <f t="shared" si="19"/>
        <v>-4.9878273261683148E-3</v>
      </c>
      <c r="AV209" s="217">
        <f t="shared" si="19"/>
        <v>-5.7886256489825261E-3</v>
      </c>
      <c r="AW209" s="217">
        <f t="shared" si="19"/>
        <v>-8.4633853541417059E-3</v>
      </c>
      <c r="AX209" s="217">
        <f t="shared" si="19"/>
        <v>-8.414552939039921E-3</v>
      </c>
      <c r="AY209" s="217">
        <f t="shared" si="19"/>
        <v>1.1599511599511558E-3</v>
      </c>
      <c r="AZ209" s="217">
        <f t="shared" si="19"/>
        <v>-6.6467467528508184E-3</v>
      </c>
      <c r="BA209" s="217">
        <f t="shared" si="19"/>
        <v>2.4554941682013443E-3</v>
      </c>
      <c r="BB209" s="217">
        <f t="shared" si="19"/>
        <v>1.5125535823637515E-2</v>
      </c>
      <c r="BC209" s="217">
        <f t="shared" si="19"/>
        <v>2.105326657416895E-2</v>
      </c>
      <c r="BD209" s="217">
        <f t="shared" si="19"/>
        <v>1.0516365355075052E-2</v>
      </c>
      <c r="BE209" s="217">
        <f t="shared" si="19"/>
        <v>1.5785781103835328E-2</v>
      </c>
      <c r="BF209" s="217">
        <f t="shared" si="19"/>
        <v>7.0795441464257536E-3</v>
      </c>
    </row>
    <row r="210" spans="1:58" x14ac:dyDescent="0.2">
      <c r="A210" s="320" t="s">
        <v>235</v>
      </c>
      <c r="B210" s="321"/>
      <c r="C210" s="322"/>
      <c r="D210" s="217">
        <f t="shared" ref="D210:BF210" si="20">SUM(D$156:D$160)/SUM(C$156:C$160)-1</f>
        <v>8.1347108110296773E-4</v>
      </c>
      <c r="E210" s="217">
        <f t="shared" si="20"/>
        <v>4.0640494188408649E-3</v>
      </c>
      <c r="F210" s="217">
        <f t="shared" si="20"/>
        <v>1.7404679025337932E-2</v>
      </c>
      <c r="G210" s="217">
        <f t="shared" si="20"/>
        <v>1.7743475493316341E-2</v>
      </c>
      <c r="H210" s="217">
        <f t="shared" si="20"/>
        <v>2.5799390196231675E-2</v>
      </c>
      <c r="I210" s="217">
        <f t="shared" si="20"/>
        <v>2.5531590579986219E-2</v>
      </c>
      <c r="J210" s="217">
        <f t="shared" si="20"/>
        <v>2.6605231866825285E-2</v>
      </c>
      <c r="K210" s="217">
        <f t="shared" si="20"/>
        <v>2.8738960474880448E-2</v>
      </c>
      <c r="L210" s="217">
        <f t="shared" si="20"/>
        <v>2.6528745338118442E-2</v>
      </c>
      <c r="M210" s="217">
        <f t="shared" si="20"/>
        <v>2.9819029339182901E-2</v>
      </c>
      <c r="N210" s="217">
        <f t="shared" si="20"/>
        <v>2.8556213805498221E-2</v>
      </c>
      <c r="O210" s="217">
        <f t="shared" si="20"/>
        <v>2.5174734662179565E-2</v>
      </c>
      <c r="P210" s="217">
        <f t="shared" si="20"/>
        <v>1.0289754434694709E-2</v>
      </c>
      <c r="Q210" s="217">
        <f t="shared" si="20"/>
        <v>1.3121719570108326E-3</v>
      </c>
      <c r="R210" s="217">
        <f t="shared" si="20"/>
        <v>-9.9219968798751612E-3</v>
      </c>
      <c r="S210" s="217">
        <f t="shared" si="20"/>
        <v>-1.2857683095928385E-2</v>
      </c>
      <c r="T210" s="217">
        <f t="shared" si="20"/>
        <v>-1.2769761205465469E-2</v>
      </c>
      <c r="U210" s="217">
        <f t="shared" si="20"/>
        <v>-3.8158064933384583E-3</v>
      </c>
      <c r="V210" s="217">
        <f t="shared" si="20"/>
        <v>7.14146594819276E-4</v>
      </c>
      <c r="W210" s="217">
        <f t="shared" si="20"/>
        <v>9.0826521344231637E-3</v>
      </c>
      <c r="X210" s="217">
        <f t="shared" si="20"/>
        <v>4.8219107625049329E-3</v>
      </c>
      <c r="Y210" s="217">
        <f t="shared" si="20"/>
        <v>-5.4386077164245705E-3</v>
      </c>
      <c r="Z210" s="217">
        <f t="shared" si="20"/>
        <v>-1.5697375193000518E-2</v>
      </c>
      <c r="AA210" s="217">
        <f t="shared" si="20"/>
        <v>-2.1568627450980427E-2</v>
      </c>
      <c r="AB210" s="217">
        <f t="shared" si="20"/>
        <v>-3.6472945891783515E-2</v>
      </c>
      <c r="AC210" s="217">
        <f t="shared" si="20"/>
        <v>-3.3624514697725982E-2</v>
      </c>
      <c r="AD210" s="217">
        <f t="shared" si="20"/>
        <v>-2.6615969581749055E-2</v>
      </c>
      <c r="AE210" s="217">
        <f t="shared" si="20"/>
        <v>-1.1423938679245293E-2</v>
      </c>
      <c r="AF210" s="217">
        <f t="shared" si="20"/>
        <v>-7.4554536643511859E-5</v>
      </c>
      <c r="AG210" s="217">
        <f t="shared" si="20"/>
        <v>1.2824336415150572E-2</v>
      </c>
      <c r="AH210" s="217">
        <f t="shared" si="20"/>
        <v>1.869846878680792E-2</v>
      </c>
      <c r="AI210" s="217">
        <f t="shared" si="20"/>
        <v>2.673796791443861E-2</v>
      </c>
      <c r="AJ210" s="217">
        <f t="shared" si="20"/>
        <v>2.1607545045045029E-2</v>
      </c>
      <c r="AK210" s="217">
        <f t="shared" si="20"/>
        <v>2.1495005167068593E-2</v>
      </c>
      <c r="AL210" s="217">
        <f t="shared" si="20"/>
        <v>2.111013691238961E-2</v>
      </c>
      <c r="AM210" s="217">
        <f t="shared" si="20"/>
        <v>1.5323645970937827E-2</v>
      </c>
      <c r="AN210" s="217">
        <f t="shared" si="20"/>
        <v>1.8540202966432551E-2</v>
      </c>
      <c r="AO210" s="217">
        <f t="shared" si="20"/>
        <v>2.1523919013859638E-2</v>
      </c>
      <c r="AP210" s="217">
        <f t="shared" si="20"/>
        <v>2.8573214955608384E-2</v>
      </c>
      <c r="AQ210" s="217">
        <f t="shared" si="20"/>
        <v>2.7293173667254367E-2</v>
      </c>
      <c r="AR210" s="217">
        <f t="shared" si="20"/>
        <v>2.0710059171597628E-2</v>
      </c>
      <c r="AS210" s="217">
        <f t="shared" si="20"/>
        <v>1.1652173913043518E-2</v>
      </c>
      <c r="AT210" s="217">
        <f t="shared" si="20"/>
        <v>3.4381983840467978E-3</v>
      </c>
      <c r="AU210" s="217">
        <f t="shared" si="20"/>
        <v>-5.3109474044885641E-3</v>
      </c>
      <c r="AV210" s="217">
        <f t="shared" si="20"/>
        <v>-1.1195315191181554E-2</v>
      </c>
      <c r="AW210" s="217">
        <f t="shared" si="20"/>
        <v>-8.477036520931347E-3</v>
      </c>
      <c r="AX210" s="217">
        <f t="shared" si="20"/>
        <v>-9.4278854599754158E-3</v>
      </c>
      <c r="AY210" s="217">
        <f t="shared" si="20"/>
        <v>-1.0108772759517604E-2</v>
      </c>
      <c r="AZ210" s="217">
        <f t="shared" si="20"/>
        <v>-4.8372648551806563E-3</v>
      </c>
      <c r="BA210" s="217">
        <f t="shared" si="20"/>
        <v>-5.6409025444070782E-3</v>
      </c>
      <c r="BB210" s="217">
        <f t="shared" si="20"/>
        <v>-8.5093542546771372E-3</v>
      </c>
      <c r="BC210" s="217">
        <f t="shared" si="20"/>
        <v>-8.1563089658530652E-3</v>
      </c>
      <c r="BD210" s="217">
        <f t="shared" si="20"/>
        <v>1.1660018410555306E-3</v>
      </c>
      <c r="BE210" s="217">
        <f t="shared" si="20"/>
        <v>-6.4974868211352677E-3</v>
      </c>
      <c r="BF210" s="217">
        <f t="shared" si="20"/>
        <v>2.6530108588351808E-3</v>
      </c>
    </row>
    <row r="211" spans="1:58" x14ac:dyDescent="0.2">
      <c r="A211" s="320" t="s">
        <v>236</v>
      </c>
      <c r="B211" s="321"/>
      <c r="C211" s="322"/>
      <c r="D211" s="217">
        <f t="shared" ref="D211:BF211" si="21">SUM(D$161:D$165)/SUM(C$161:C$165)-1</f>
        <v>5.8469656992084396E-2</v>
      </c>
      <c r="E211" s="217">
        <f t="shared" si="21"/>
        <v>7.2290357961910523E-2</v>
      </c>
      <c r="F211" s="217">
        <f t="shared" si="21"/>
        <v>4.5936395759717419E-2</v>
      </c>
      <c r="G211" s="217">
        <f t="shared" si="21"/>
        <v>4.2140825035561935E-2</v>
      </c>
      <c r="H211" s="217">
        <f t="shared" si="21"/>
        <v>3.03702439856679E-2</v>
      </c>
      <c r="I211" s="217">
        <f t="shared" si="21"/>
        <v>8.2795164762372586E-4</v>
      </c>
      <c r="J211" s="217">
        <f t="shared" si="21"/>
        <v>5.7908669755128983E-3</v>
      </c>
      <c r="K211" s="217">
        <f t="shared" si="21"/>
        <v>1.8999835499259765E-2</v>
      </c>
      <c r="L211" s="217">
        <f t="shared" si="21"/>
        <v>1.8484139155702684E-2</v>
      </c>
      <c r="M211" s="217">
        <f t="shared" si="21"/>
        <v>2.6232366460611889E-2</v>
      </c>
      <c r="N211" s="217">
        <f t="shared" si="21"/>
        <v>2.7492470461039531E-2</v>
      </c>
      <c r="O211" s="217">
        <f t="shared" si="21"/>
        <v>2.8184892897406888E-2</v>
      </c>
      <c r="P211" s="217">
        <f t="shared" si="21"/>
        <v>2.9532163742689965E-2</v>
      </c>
      <c r="Q211" s="217">
        <f t="shared" si="21"/>
        <v>2.6909968758875413E-2</v>
      </c>
      <c r="R211" s="217">
        <f t="shared" si="21"/>
        <v>3.0076747562746364E-2</v>
      </c>
      <c r="S211" s="217">
        <f t="shared" si="21"/>
        <v>2.8862934622096992E-2</v>
      </c>
      <c r="T211" s="217">
        <f t="shared" si="21"/>
        <v>2.5378392484342482E-2</v>
      </c>
      <c r="U211" s="217">
        <f t="shared" si="21"/>
        <v>1.0689062798243887E-2</v>
      </c>
      <c r="V211" s="217">
        <f t="shared" si="21"/>
        <v>1.6367642429966356E-3</v>
      </c>
      <c r="W211" s="217">
        <f t="shared" si="21"/>
        <v>-9.2388913330400113E-3</v>
      </c>
      <c r="X211" s="217">
        <f t="shared" si="21"/>
        <v>-1.243339253996445E-2</v>
      </c>
      <c r="Y211" s="217">
        <f t="shared" si="21"/>
        <v>-1.2011819116135691E-2</v>
      </c>
      <c r="Z211" s="217">
        <f t="shared" si="21"/>
        <v>-3.3157792081138782E-3</v>
      </c>
      <c r="AA211" s="217">
        <f t="shared" si="21"/>
        <v>1.1089367253751536E-3</v>
      </c>
      <c r="AB211" s="217">
        <f t="shared" si="21"/>
        <v>9.3177819769336701E-3</v>
      </c>
      <c r="AC211" s="217">
        <f t="shared" si="21"/>
        <v>5.2291801162041018E-3</v>
      </c>
      <c r="AD211" s="217">
        <f t="shared" si="21"/>
        <v>-5.0093121829041243E-3</v>
      </c>
      <c r="AE211" s="217">
        <f t="shared" si="21"/>
        <v>-1.5297231007551759E-2</v>
      </c>
      <c r="AF211" s="217">
        <f t="shared" si="21"/>
        <v>-2.0975353959098109E-2</v>
      </c>
      <c r="AG211" s="217">
        <f t="shared" si="21"/>
        <v>-3.5752544188537794E-2</v>
      </c>
      <c r="AH211" s="217">
        <f t="shared" si="21"/>
        <v>-3.3050965143730071E-2</v>
      </c>
      <c r="AI211" s="217">
        <f t="shared" si="21"/>
        <v>-2.6066350710900466E-2</v>
      </c>
      <c r="AJ211" s="217">
        <f t="shared" si="21"/>
        <v>-1.0838310108383098E-2</v>
      </c>
      <c r="AK211" s="217">
        <f t="shared" si="21"/>
        <v>1.4907573047118206E-4</v>
      </c>
      <c r="AL211" s="217">
        <f t="shared" si="21"/>
        <v>1.3116708898494478E-2</v>
      </c>
      <c r="AM211" s="217">
        <f t="shared" si="21"/>
        <v>1.8831837575400856E-2</v>
      </c>
      <c r="AN211" s="217">
        <f t="shared" si="21"/>
        <v>2.6714801444043257E-2</v>
      </c>
      <c r="AO211" s="217">
        <f t="shared" si="21"/>
        <v>2.1659634317862109E-2</v>
      </c>
      <c r="AP211" s="217">
        <f t="shared" si="21"/>
        <v>2.1475770925110105E-2</v>
      </c>
      <c r="AQ211" s="217">
        <f t="shared" si="21"/>
        <v>2.1226415094339535E-2</v>
      </c>
      <c r="AR211" s="217">
        <f t="shared" si="21"/>
        <v>1.5506433520290352E-2</v>
      </c>
      <c r="AS211" s="217">
        <f t="shared" si="21"/>
        <v>1.8583495776478332E-2</v>
      </c>
      <c r="AT211" s="217">
        <f t="shared" si="21"/>
        <v>2.1561622862975138E-2</v>
      </c>
      <c r="AU211" s="217">
        <f t="shared" si="21"/>
        <v>2.8537529661546213E-2</v>
      </c>
      <c r="AV211" s="217">
        <f t="shared" si="21"/>
        <v>2.7320745552789738E-2</v>
      </c>
      <c r="AW211" s="217">
        <f t="shared" si="21"/>
        <v>2.0684356716506036E-2</v>
      </c>
      <c r="AX211" s="217">
        <f t="shared" si="21"/>
        <v>1.1753806959643232E-2</v>
      </c>
      <c r="AY211" s="217">
        <f t="shared" si="21"/>
        <v>3.548128648277471E-3</v>
      </c>
      <c r="AZ211" s="217">
        <f t="shared" si="21"/>
        <v>-5.0182481751824826E-3</v>
      </c>
      <c r="BA211" s="217">
        <f t="shared" si="21"/>
        <v>-1.0946813388354015E-2</v>
      </c>
      <c r="BB211" s="217">
        <f t="shared" si="21"/>
        <v>-8.2285449382859532E-3</v>
      </c>
      <c r="BC211" s="217">
        <f t="shared" si="21"/>
        <v>-9.1732398480864896E-3</v>
      </c>
      <c r="BD211" s="217">
        <f t="shared" si="21"/>
        <v>-9.9068286354523361E-3</v>
      </c>
      <c r="BE211" s="217">
        <f t="shared" si="21"/>
        <v>-4.5860631328171753E-3</v>
      </c>
      <c r="BF211" s="217">
        <f t="shared" si="21"/>
        <v>-5.4448632800814245E-3</v>
      </c>
    </row>
    <row r="212" spans="1:58" x14ac:dyDescent="0.2">
      <c r="A212" s="320" t="s">
        <v>237</v>
      </c>
      <c r="B212" s="321"/>
      <c r="C212" s="322"/>
      <c r="D212" s="217">
        <f t="shared" ref="D212:BF212" si="22">SUM(D$166:D$191)/SUM(C$166:C$191)-1</f>
        <v>2.5470496674685261E-2</v>
      </c>
      <c r="E212" s="217">
        <f t="shared" si="22"/>
        <v>1.8179936525458906E-2</v>
      </c>
      <c r="F212" s="217">
        <f t="shared" si="22"/>
        <v>2.3377943418600777E-2</v>
      </c>
      <c r="G212" s="217">
        <f t="shared" si="22"/>
        <v>2.665121668597914E-2</v>
      </c>
      <c r="H212" s="217">
        <f t="shared" si="22"/>
        <v>2.776523702031608E-2</v>
      </c>
      <c r="I212" s="217">
        <f t="shared" si="22"/>
        <v>3.7714536726177306E-2</v>
      </c>
      <c r="J212" s="217">
        <f t="shared" si="22"/>
        <v>3.5587941825658387E-2</v>
      </c>
      <c r="K212" s="217">
        <f t="shared" si="22"/>
        <v>3.2291970802919678E-2</v>
      </c>
      <c r="L212" s="217">
        <f t="shared" si="22"/>
        <v>3.3374816155673726E-2</v>
      </c>
      <c r="M212" s="217">
        <f t="shared" si="22"/>
        <v>3.1421064155900957E-2</v>
      </c>
      <c r="N212" s="217">
        <f t="shared" si="22"/>
        <v>3.1047659484131129E-2</v>
      </c>
      <c r="O212" s="217">
        <f t="shared" si="22"/>
        <v>3.0704689349873915E-2</v>
      </c>
      <c r="P212" s="217">
        <f t="shared" si="22"/>
        <v>3.1837590830773754E-2</v>
      </c>
      <c r="Q212" s="217">
        <f t="shared" si="22"/>
        <v>3.2016843328009248E-2</v>
      </c>
      <c r="R212" s="217">
        <f t="shared" si="22"/>
        <v>3.2735373431820758E-2</v>
      </c>
      <c r="S212" s="217">
        <f t="shared" si="22"/>
        <v>3.2424331872573209E-2</v>
      </c>
      <c r="T212" s="217">
        <f t="shared" si="22"/>
        <v>3.2219754118190336E-2</v>
      </c>
      <c r="U212" s="217">
        <f t="shared" si="22"/>
        <v>3.3515148932543593E-2</v>
      </c>
      <c r="V212" s="217">
        <f t="shared" si="22"/>
        <v>3.2634465128744239E-2</v>
      </c>
      <c r="W212" s="217">
        <f t="shared" si="22"/>
        <v>3.3898981832701125E-2</v>
      </c>
      <c r="X212" s="217">
        <f t="shared" si="22"/>
        <v>3.3115779717308946E-2</v>
      </c>
      <c r="Y212" s="217">
        <f t="shared" si="22"/>
        <v>3.1717847597330984E-2</v>
      </c>
      <c r="Z212" s="217">
        <f t="shared" si="22"/>
        <v>2.8387681159420364E-2</v>
      </c>
      <c r="AA212" s="217">
        <f t="shared" si="22"/>
        <v>2.5208307643525218E-2</v>
      </c>
      <c r="AB212" s="217">
        <f t="shared" si="22"/>
        <v>2.3334135193649352E-2</v>
      </c>
      <c r="AC212" s="217">
        <f t="shared" si="22"/>
        <v>2.2096850023507253E-2</v>
      </c>
      <c r="AD212" s="217">
        <f t="shared" si="22"/>
        <v>2.1307004862662682E-2</v>
      </c>
      <c r="AE212" s="217">
        <f t="shared" si="22"/>
        <v>2.0878572922195859E-2</v>
      </c>
      <c r="AF212" s="217">
        <f t="shared" si="22"/>
        <v>1.9143807017820258E-2</v>
      </c>
      <c r="AG212" s="217">
        <f t="shared" si="22"/>
        <v>1.9495377384743717E-2</v>
      </c>
      <c r="AH212" s="217">
        <f t="shared" si="22"/>
        <v>1.7545455924055542E-2</v>
      </c>
      <c r="AI212" s="217">
        <f t="shared" si="22"/>
        <v>1.441132637853948E-2</v>
      </c>
      <c r="AJ212" s="217">
        <f t="shared" si="22"/>
        <v>1.1944113887786934E-2</v>
      </c>
      <c r="AK212" s="217">
        <f t="shared" si="22"/>
        <v>9.4367015098721918E-3</v>
      </c>
      <c r="AL212" s="217">
        <f t="shared" si="22"/>
        <v>6.9466417373795775E-3</v>
      </c>
      <c r="AM212" s="217">
        <f t="shared" si="22"/>
        <v>6.2845471555281751E-3</v>
      </c>
      <c r="AN212" s="217">
        <f t="shared" si="22"/>
        <v>5.2659219621591369E-3</v>
      </c>
      <c r="AO212" s="217">
        <f t="shared" si="22"/>
        <v>6.0149101999322774E-3</v>
      </c>
      <c r="AP212" s="217">
        <f t="shared" si="22"/>
        <v>6.0631578947367704E-3</v>
      </c>
      <c r="AQ212" s="217">
        <f t="shared" si="22"/>
        <v>5.9987165536676823E-3</v>
      </c>
      <c r="AR212" s="217">
        <f t="shared" si="22"/>
        <v>6.6008431329043216E-3</v>
      </c>
      <c r="AS212" s="217">
        <f t="shared" si="22"/>
        <v>7.2601531933653707E-3</v>
      </c>
      <c r="AT212" s="217">
        <f t="shared" si="22"/>
        <v>7.2488545442110919E-3</v>
      </c>
      <c r="AU212" s="217">
        <f t="shared" si="22"/>
        <v>7.2781587344694643E-3</v>
      </c>
      <c r="AV212" s="217">
        <f t="shared" si="22"/>
        <v>7.4951807066498954E-3</v>
      </c>
      <c r="AW212" s="217">
        <f t="shared" si="22"/>
        <v>7.1049145670818437E-3</v>
      </c>
      <c r="AX212" s="217">
        <f t="shared" si="22"/>
        <v>8.5693787532550303E-3</v>
      </c>
      <c r="AY212" s="217">
        <f t="shared" si="22"/>
        <v>9.3923306943475282E-3</v>
      </c>
      <c r="AZ212" s="217">
        <f t="shared" si="22"/>
        <v>1.1236394957325091E-2</v>
      </c>
      <c r="BA212" s="217">
        <f t="shared" si="22"/>
        <v>1.1447081445919993E-2</v>
      </c>
      <c r="BB212" s="217">
        <f t="shared" si="22"/>
        <v>9.9650394263404163E-3</v>
      </c>
      <c r="BC212" s="217">
        <f t="shared" si="22"/>
        <v>9.7909165561240741E-3</v>
      </c>
      <c r="BD212" s="217">
        <f t="shared" si="22"/>
        <v>8.9578381083448289E-3</v>
      </c>
      <c r="BE212" s="217">
        <f t="shared" si="22"/>
        <v>9.0395059891377194E-3</v>
      </c>
      <c r="BF212" s="217">
        <f t="shared" si="22"/>
        <v>8.2580645161289823E-3</v>
      </c>
    </row>
    <row r="213" spans="1:58" x14ac:dyDescent="0.2">
      <c r="A213" s="320" t="s">
        <v>223</v>
      </c>
      <c r="B213" s="321"/>
      <c r="C213" s="322"/>
      <c r="D213" s="217">
        <f t="shared" ref="D213:BF213" si="23">SUM(D$25:D$26)/SUM(C$25:C$26)-1</f>
        <v>3.0298094152142019E-2</v>
      </c>
      <c r="E213" s="217">
        <f t="shared" si="23"/>
        <v>2.9881422924901146E-2</v>
      </c>
      <c r="F213" s="217">
        <f t="shared" si="23"/>
        <v>3.6690205710776747E-2</v>
      </c>
      <c r="G213" s="217">
        <f t="shared" si="23"/>
        <v>1.2735080704871837E-2</v>
      </c>
      <c r="H213" s="217">
        <f t="shared" si="23"/>
        <v>-1.3598479309840594E-2</v>
      </c>
      <c r="I213" s="217">
        <f t="shared" si="23"/>
        <v>-1.5268307144974846E-2</v>
      </c>
      <c r="J213" s="217">
        <f t="shared" si="23"/>
        <v>-1.1139545386120719E-2</v>
      </c>
      <c r="K213" s="217">
        <f t="shared" si="23"/>
        <v>-8.2204292890850628E-3</v>
      </c>
      <c r="L213" s="217">
        <f t="shared" si="23"/>
        <v>-2.5786646201074404E-2</v>
      </c>
      <c r="M213" s="217">
        <f t="shared" si="23"/>
        <v>-1.859146053253502E-2</v>
      </c>
      <c r="N213" s="217">
        <f t="shared" si="23"/>
        <v>-5.7794188473270225E-3</v>
      </c>
      <c r="O213" s="217">
        <f t="shared" si="23"/>
        <v>4.8441789116744349E-3</v>
      </c>
      <c r="P213" s="217">
        <f t="shared" si="23"/>
        <v>1.7676361883336433E-3</v>
      </c>
      <c r="Q213" s="217">
        <f t="shared" si="23"/>
        <v>-3.1921719602181597E-2</v>
      </c>
      <c r="R213" s="217">
        <f t="shared" si="23"/>
        <v>-1.5575807787903906E-2</v>
      </c>
      <c r="S213" s="217">
        <f t="shared" si="23"/>
        <v>1.8178757784884647E-2</v>
      </c>
      <c r="T213" s="217">
        <f t="shared" si="23"/>
        <v>7.7698793188956117E-3</v>
      </c>
      <c r="U213" s="217">
        <f t="shared" si="23"/>
        <v>4.9212598425196763E-3</v>
      </c>
      <c r="V213" s="217">
        <f t="shared" si="23"/>
        <v>3.0035912504080997E-2</v>
      </c>
      <c r="W213" s="217">
        <f t="shared" si="23"/>
        <v>3.9461172741679817E-2</v>
      </c>
      <c r="X213" s="217">
        <f t="shared" si="23"/>
        <v>1.3416679371855533E-2</v>
      </c>
      <c r="Y213" s="217">
        <f t="shared" si="23"/>
        <v>-6.7699714156762569E-3</v>
      </c>
      <c r="Z213" s="217">
        <f t="shared" si="23"/>
        <v>-1.0905786125416594E-2</v>
      </c>
      <c r="AA213" s="217">
        <f t="shared" si="23"/>
        <v>-2.0214395099540594E-2</v>
      </c>
      <c r="AB213" s="217">
        <f t="shared" si="23"/>
        <v>-1.2035010940919078E-2</v>
      </c>
      <c r="AC213" s="217">
        <f t="shared" si="23"/>
        <v>1.7402309761114232E-3</v>
      </c>
      <c r="AD213" s="217">
        <f t="shared" si="23"/>
        <v>3.6323436512950558E-3</v>
      </c>
      <c r="AE213" s="217">
        <f t="shared" si="23"/>
        <v>5.0354051927616883E-3</v>
      </c>
      <c r="AF213" s="217">
        <f t="shared" si="23"/>
        <v>5.9495850947237638E-3</v>
      </c>
      <c r="AG213" s="217">
        <f t="shared" si="23"/>
        <v>6.0700389105057262E-3</v>
      </c>
      <c r="AH213" s="217">
        <f t="shared" si="23"/>
        <v>6.0334158415842332E-3</v>
      </c>
      <c r="AI213" s="217">
        <f t="shared" si="23"/>
        <v>5.6896816853759802E-3</v>
      </c>
      <c r="AJ213" s="217">
        <f t="shared" si="23"/>
        <v>4.8929663608563434E-3</v>
      </c>
      <c r="AK213" s="217">
        <f t="shared" si="23"/>
        <v>4.1083384053559602E-3</v>
      </c>
      <c r="AL213" s="217">
        <f t="shared" si="23"/>
        <v>3.1823003485376145E-3</v>
      </c>
      <c r="AM213" s="217">
        <f t="shared" si="23"/>
        <v>2.2658610271903967E-3</v>
      </c>
      <c r="AN213" s="217">
        <f t="shared" si="23"/>
        <v>1.2057272042200751E-3</v>
      </c>
      <c r="AO213" s="217">
        <f t="shared" si="23"/>
        <v>4.5160319132930837E-4</v>
      </c>
      <c r="AP213" s="217">
        <f t="shared" si="23"/>
        <v>-3.0093289196508888E-4</v>
      </c>
      <c r="AQ213" s="217">
        <f t="shared" si="23"/>
        <v>-1.2040939193257438E-3</v>
      </c>
      <c r="AR213" s="217">
        <f t="shared" si="23"/>
        <v>-1.8083182640145079E-3</v>
      </c>
      <c r="AS213" s="217">
        <f t="shared" si="23"/>
        <v>-2.4154589371980784E-3</v>
      </c>
      <c r="AT213" s="217">
        <f t="shared" si="23"/>
        <v>-2.421307506053294E-3</v>
      </c>
      <c r="AU213" s="217">
        <f t="shared" si="23"/>
        <v>-2.5788834951456785E-3</v>
      </c>
      <c r="AV213" s="217">
        <f t="shared" si="23"/>
        <v>-2.1292775665399111E-3</v>
      </c>
      <c r="AW213" s="217">
        <f t="shared" si="23"/>
        <v>-1.5241579027587271E-3</v>
      </c>
      <c r="AX213" s="217">
        <f t="shared" si="23"/>
        <v>-7.6324225309110094E-4</v>
      </c>
      <c r="AY213" s="217">
        <f t="shared" si="23"/>
        <v>6.1106018942869156E-4</v>
      </c>
      <c r="AZ213" s="217">
        <f t="shared" si="23"/>
        <v>1.3740458015267798E-3</v>
      </c>
      <c r="BA213" s="217">
        <f t="shared" si="23"/>
        <v>2.4393962494282384E-3</v>
      </c>
      <c r="BB213" s="217">
        <f t="shared" si="23"/>
        <v>2.5855513307984079E-3</v>
      </c>
      <c r="BC213" s="217">
        <f t="shared" si="23"/>
        <v>3.1856796116505048E-3</v>
      </c>
      <c r="BD213" s="217">
        <f t="shared" si="23"/>
        <v>3.1755632844396864E-3</v>
      </c>
      <c r="BE213" s="217">
        <f t="shared" si="23"/>
        <v>3.0147723846849495E-3</v>
      </c>
      <c r="BF213" s="217">
        <f t="shared" si="23"/>
        <v>2.8554253080854686E-3</v>
      </c>
    </row>
    <row r="214" spans="1:58" x14ac:dyDescent="0.2">
      <c r="A214" s="320" t="s">
        <v>225</v>
      </c>
      <c r="B214" s="321"/>
      <c r="C214" s="322"/>
      <c r="D214" s="217">
        <f t="shared" ref="D214:BF214" si="24">SUM(D$27:D$31)/SUM(C$27:C$31)-1</f>
        <v>9.7360301679807471E-3</v>
      </c>
      <c r="E214" s="217">
        <f t="shared" si="24"/>
        <v>1.72472329734501E-2</v>
      </c>
      <c r="F214" s="217">
        <f t="shared" si="24"/>
        <v>3.4243374941592686E-2</v>
      </c>
      <c r="G214" s="217">
        <f t="shared" si="24"/>
        <v>4.1693558796953578E-2</v>
      </c>
      <c r="H214" s="217">
        <f t="shared" si="24"/>
        <v>3.8723667905824044E-2</v>
      </c>
      <c r="I214" s="217">
        <f t="shared" si="24"/>
        <v>2.1175067104085787E-2</v>
      </c>
      <c r="J214" s="217">
        <f t="shared" si="24"/>
        <v>1.2441588785046642E-2</v>
      </c>
      <c r="K214" s="217">
        <f t="shared" si="24"/>
        <v>6.6924363930076503E-3</v>
      </c>
      <c r="L214" s="217">
        <f t="shared" si="24"/>
        <v>1.8912258582153285E-3</v>
      </c>
      <c r="M214" s="217">
        <f t="shared" si="24"/>
        <v>-8.8662624413682334E-3</v>
      </c>
      <c r="N214" s="217">
        <f t="shared" si="24"/>
        <v>-1.2408379984994555E-2</v>
      </c>
      <c r="O214" s="217">
        <f t="shared" si="24"/>
        <v>-1.1453950444132777E-2</v>
      </c>
      <c r="P214" s="217">
        <f t="shared" si="24"/>
        <v>-1.1645779144005663E-2</v>
      </c>
      <c r="Q214" s="217">
        <f t="shared" si="24"/>
        <v>-7.8353968538787955E-3</v>
      </c>
      <c r="R214" s="217">
        <f t="shared" si="24"/>
        <v>-8.9823969134313897E-3</v>
      </c>
      <c r="S214" s="217">
        <f t="shared" si="24"/>
        <v>-9.8546140276172256E-3</v>
      </c>
      <c r="T214" s="217">
        <f t="shared" si="24"/>
        <v>-7.6795478282238872E-3</v>
      </c>
      <c r="U214" s="217">
        <f t="shared" si="24"/>
        <v>-9.9058940069340906E-4</v>
      </c>
      <c r="V214" s="217">
        <f t="shared" si="24"/>
        <v>-6.7550818046603345E-3</v>
      </c>
      <c r="W214" s="217">
        <f t="shared" si="24"/>
        <v>2.4957883571463668E-4</v>
      </c>
      <c r="X214" s="217">
        <f t="shared" si="24"/>
        <v>1.6967126193001114E-2</v>
      </c>
      <c r="Y214" s="217">
        <f t="shared" si="24"/>
        <v>2.1284426179230875E-2</v>
      </c>
      <c r="Z214" s="217">
        <f t="shared" si="24"/>
        <v>1.501501501501501E-2</v>
      </c>
      <c r="AA214" s="217">
        <f t="shared" si="24"/>
        <v>1.5207100591716038E-2</v>
      </c>
      <c r="AB214" s="217">
        <f t="shared" si="24"/>
        <v>8.5679314565483278E-3</v>
      </c>
      <c r="AC214" s="217">
        <f t="shared" si="24"/>
        <v>-3.5251964863615148E-3</v>
      </c>
      <c r="AD214" s="217">
        <f t="shared" si="24"/>
        <v>-1.0149045989676919E-2</v>
      </c>
      <c r="AE214" s="217">
        <f t="shared" si="24"/>
        <v>-8.026716662760669E-3</v>
      </c>
      <c r="AF214" s="217">
        <f t="shared" si="24"/>
        <v>-6.2607052152855447E-3</v>
      </c>
      <c r="AG214" s="217">
        <f t="shared" si="24"/>
        <v>-2.080237741456159E-3</v>
      </c>
      <c r="AH214" s="217">
        <f t="shared" si="24"/>
        <v>3.8117927337701918E-3</v>
      </c>
      <c r="AI214" s="217">
        <f t="shared" si="24"/>
        <v>4.7466476800759327E-3</v>
      </c>
      <c r="AJ214" s="217">
        <f t="shared" si="24"/>
        <v>5.3738041809376913E-3</v>
      </c>
      <c r="AK214" s="217">
        <f t="shared" si="24"/>
        <v>5.5800293685757119E-3</v>
      </c>
      <c r="AL214" s="217">
        <f t="shared" si="24"/>
        <v>5.3738317757008325E-3</v>
      </c>
      <c r="AM214" s="217">
        <f t="shared" si="24"/>
        <v>4.7641180571693642E-3</v>
      </c>
      <c r="AN214" s="217">
        <f t="shared" si="24"/>
        <v>4.3367641956748582E-3</v>
      </c>
      <c r="AO214" s="217">
        <f t="shared" si="24"/>
        <v>3.3392826299729617E-3</v>
      </c>
      <c r="AP214" s="217">
        <f t="shared" si="24"/>
        <v>2.6395822574165617E-3</v>
      </c>
      <c r="AQ214" s="217">
        <f t="shared" si="24"/>
        <v>1.6597035426086926E-3</v>
      </c>
      <c r="AR214" s="217">
        <f t="shared" si="24"/>
        <v>9.1418123643016713E-4</v>
      </c>
      <c r="AS214" s="217">
        <f t="shared" si="24"/>
        <v>5.7084142025320972E-5</v>
      </c>
      <c r="AT214" s="217">
        <f t="shared" si="24"/>
        <v>-6.2788971973282148E-4</v>
      </c>
      <c r="AU214" s="217">
        <f t="shared" si="24"/>
        <v>-1.2565684258624144E-3</v>
      </c>
      <c r="AV214" s="217">
        <f t="shared" si="24"/>
        <v>-1.772846848907661E-3</v>
      </c>
      <c r="AW214" s="217">
        <f t="shared" si="24"/>
        <v>-2.0624462904611507E-3</v>
      </c>
      <c r="AX214" s="217">
        <f t="shared" si="24"/>
        <v>-2.181525919972449E-3</v>
      </c>
      <c r="AY214" s="217">
        <f t="shared" si="24"/>
        <v>-1.9561590242218596E-3</v>
      </c>
      <c r="AZ214" s="217">
        <f t="shared" si="24"/>
        <v>-1.5564650948290959E-3</v>
      </c>
      <c r="BA214" s="217">
        <f t="shared" si="24"/>
        <v>-8.6605080831403392E-4</v>
      </c>
      <c r="BB214" s="217">
        <f t="shared" si="24"/>
        <v>0</v>
      </c>
      <c r="BC214" s="217">
        <f t="shared" si="24"/>
        <v>8.6680150245599386E-4</v>
      </c>
      <c r="BD214" s="217">
        <f t="shared" si="24"/>
        <v>1.6166281755196632E-3</v>
      </c>
      <c r="BE214" s="217">
        <f t="shared" si="24"/>
        <v>2.248097763430934E-3</v>
      </c>
      <c r="BF214" s="217">
        <f t="shared" si="24"/>
        <v>2.6456547995628021E-3</v>
      </c>
    </row>
    <row r="215" spans="1:58" x14ac:dyDescent="0.2">
      <c r="A215" s="320" t="s">
        <v>227</v>
      </c>
      <c r="B215" s="321"/>
      <c r="C215" s="322"/>
      <c r="D215" s="217">
        <f t="shared" ref="D215:BF215" si="25">SUM(D$32:D$36)/SUM(C$32:C$36)-1</f>
        <v>2.5398327811957833E-2</v>
      </c>
      <c r="E215" s="217">
        <f t="shared" si="25"/>
        <v>3.076923076923066E-2</v>
      </c>
      <c r="F215" s="217">
        <f t="shared" si="25"/>
        <v>3.4626865671641749E-2</v>
      </c>
      <c r="G215" s="217">
        <f t="shared" si="25"/>
        <v>3.274668205424125E-2</v>
      </c>
      <c r="H215" s="217">
        <f t="shared" si="25"/>
        <v>2.2698700935884997E-2</v>
      </c>
      <c r="I215" s="217">
        <f t="shared" si="25"/>
        <v>1.9531516765689982E-2</v>
      </c>
      <c r="J215" s="217">
        <f t="shared" si="25"/>
        <v>2.2908433250720117E-2</v>
      </c>
      <c r="K215" s="217">
        <f t="shared" si="25"/>
        <v>3.2152445812323904E-2</v>
      </c>
      <c r="L215" s="217">
        <f t="shared" si="25"/>
        <v>3.914477858139831E-2</v>
      </c>
      <c r="M215" s="217">
        <f t="shared" si="25"/>
        <v>4.1272360949996978E-2</v>
      </c>
      <c r="N215" s="217">
        <f t="shared" si="25"/>
        <v>3.0079155672823266E-2</v>
      </c>
      <c r="O215" s="217">
        <f t="shared" si="25"/>
        <v>1.9182604735883402E-2</v>
      </c>
      <c r="P215" s="217">
        <f t="shared" si="25"/>
        <v>9.3828539514102527E-3</v>
      </c>
      <c r="Q215" s="217">
        <f t="shared" si="25"/>
        <v>1.8812593371326791E-3</v>
      </c>
      <c r="R215" s="217">
        <f t="shared" si="25"/>
        <v>-8.56022532722156E-3</v>
      </c>
      <c r="S215" s="217">
        <f t="shared" si="25"/>
        <v>-1.1809269162210367E-2</v>
      </c>
      <c r="T215" s="217">
        <f t="shared" si="25"/>
        <v>-1.0992108229988751E-2</v>
      </c>
      <c r="U215" s="217">
        <f t="shared" si="25"/>
        <v>-1.1171273867198628E-2</v>
      </c>
      <c r="V215" s="217">
        <f t="shared" si="25"/>
        <v>-7.4355870655369305E-3</v>
      </c>
      <c r="W215" s="217">
        <f t="shared" si="25"/>
        <v>-8.5946573751451982E-3</v>
      </c>
      <c r="X215" s="217">
        <f t="shared" si="25"/>
        <v>-9.2549203373946121E-3</v>
      </c>
      <c r="Y215" s="217">
        <f t="shared" si="25"/>
        <v>-7.3903275393165657E-3</v>
      </c>
      <c r="Z215" s="217">
        <f t="shared" si="25"/>
        <v>-8.3387932574896517E-4</v>
      </c>
      <c r="AA215" s="217">
        <f t="shared" si="25"/>
        <v>-6.4977645305513976E-3</v>
      </c>
      <c r="AB215" s="217">
        <f t="shared" si="25"/>
        <v>3.0001200047991006E-4</v>
      </c>
      <c r="AC215" s="217">
        <f t="shared" si="25"/>
        <v>1.6315757902945149E-2</v>
      </c>
      <c r="AD215" s="217">
        <f t="shared" si="25"/>
        <v>2.0539455822463637E-2</v>
      </c>
      <c r="AE215" s="217">
        <f t="shared" si="25"/>
        <v>1.4516222312185523E-2</v>
      </c>
      <c r="AF215" s="217">
        <f t="shared" si="25"/>
        <v>1.4593546915973032E-2</v>
      </c>
      <c r="AG215" s="217">
        <f t="shared" si="25"/>
        <v>8.3155410720305856E-3</v>
      </c>
      <c r="AH215" s="217">
        <f t="shared" si="25"/>
        <v>-3.2876406998774144E-3</v>
      </c>
      <c r="AI215" s="217">
        <f t="shared" si="25"/>
        <v>-9.7277352267010064E-3</v>
      </c>
      <c r="AJ215" s="217">
        <f t="shared" si="25"/>
        <v>-7.6779766273358252E-3</v>
      </c>
      <c r="AK215" s="217">
        <f t="shared" si="25"/>
        <v>-6.0875007111566015E-3</v>
      </c>
      <c r="AL215" s="217">
        <f t="shared" si="25"/>
        <v>-1.8889524899827759E-3</v>
      </c>
      <c r="AM215" s="217">
        <f t="shared" si="25"/>
        <v>3.6703561392441575E-3</v>
      </c>
      <c r="AN215" s="217">
        <f t="shared" si="25"/>
        <v>4.6283069538883836E-3</v>
      </c>
      <c r="AO215" s="217">
        <f t="shared" si="25"/>
        <v>5.232624274826625E-3</v>
      </c>
      <c r="AP215" s="217">
        <f t="shared" si="25"/>
        <v>5.3751273056468207E-3</v>
      </c>
      <c r="AQ215" s="217">
        <f t="shared" si="25"/>
        <v>5.1775564184817213E-3</v>
      </c>
      <c r="AR215" s="217">
        <f t="shared" si="25"/>
        <v>4.7589720620346831E-3</v>
      </c>
      <c r="AS215" s="217">
        <f t="shared" si="25"/>
        <v>4.0677588320516822E-3</v>
      </c>
      <c r="AT215" s="217">
        <f t="shared" si="25"/>
        <v>3.2743215494754896E-3</v>
      </c>
      <c r="AU215" s="217">
        <f t="shared" si="25"/>
        <v>2.5445292620864812E-3</v>
      </c>
      <c r="AV215" s="217">
        <f t="shared" si="25"/>
        <v>1.7104391966453747E-3</v>
      </c>
      <c r="AW215" s="217">
        <f t="shared" si="25"/>
        <v>9.3638116221428369E-4</v>
      </c>
      <c r="AX215" s="217">
        <f t="shared" si="25"/>
        <v>1.1005943209330127E-4</v>
      </c>
      <c r="AY215" s="217">
        <f t="shared" si="25"/>
        <v>-6.60283922086502E-4</v>
      </c>
      <c r="AZ215" s="217">
        <f t="shared" si="25"/>
        <v>-1.1012003083360478E-3</v>
      </c>
      <c r="BA215" s="217">
        <f t="shared" si="25"/>
        <v>-1.6536214309337272E-3</v>
      </c>
      <c r="BB215" s="217">
        <f t="shared" si="25"/>
        <v>-2.0428445229682124E-3</v>
      </c>
      <c r="BC215" s="217">
        <f t="shared" si="25"/>
        <v>-1.9917012448132931E-3</v>
      </c>
      <c r="BD215" s="217">
        <f t="shared" si="25"/>
        <v>-1.8293696989855057E-3</v>
      </c>
      <c r="BE215" s="217">
        <f t="shared" si="25"/>
        <v>-1.4439631234033357E-3</v>
      </c>
      <c r="BF215" s="217">
        <f t="shared" si="25"/>
        <v>-7.7864293659624106E-4</v>
      </c>
    </row>
    <row r="216" spans="1:58" x14ac:dyDescent="0.2">
      <c r="A216" s="320" t="s">
        <v>230</v>
      </c>
      <c r="B216" s="321"/>
      <c r="C216" s="322"/>
      <c r="D216" s="217">
        <f t="shared" ref="D216:BF216" si="26">SUM(D$37:D$41)/SUM(C$37:C$41)-1</f>
        <v>-2.743544600938963E-2</v>
      </c>
      <c r="E216" s="217">
        <f t="shared" si="26"/>
        <v>-2.2326142706290519E-2</v>
      </c>
      <c r="F216" s="217">
        <f t="shared" si="26"/>
        <v>-6.2490356426477822E-3</v>
      </c>
      <c r="G216" s="217">
        <f t="shared" si="26"/>
        <v>4.0369536526667638E-3</v>
      </c>
      <c r="H216" s="217">
        <f t="shared" si="26"/>
        <v>1.4304492383824252E-2</v>
      </c>
      <c r="I216" s="217">
        <f t="shared" si="26"/>
        <v>2.050617472175631E-2</v>
      </c>
      <c r="J216" s="217">
        <f t="shared" si="26"/>
        <v>3.2419511466347917E-2</v>
      </c>
      <c r="K216" s="217">
        <f t="shared" si="26"/>
        <v>3.0460892844222487E-2</v>
      </c>
      <c r="L216" s="217">
        <f t="shared" si="26"/>
        <v>2.9209380704957155E-2</v>
      </c>
      <c r="M216" s="217">
        <f t="shared" si="26"/>
        <v>2.7834629553827206E-2</v>
      </c>
      <c r="N216" s="217">
        <f t="shared" si="26"/>
        <v>2.7014469666799323E-2</v>
      </c>
      <c r="O216" s="217">
        <f t="shared" si="26"/>
        <v>2.8889032508240264E-2</v>
      </c>
      <c r="P216" s="217">
        <f t="shared" si="26"/>
        <v>3.3605527638191024E-2</v>
      </c>
      <c r="Q216" s="217">
        <f t="shared" si="26"/>
        <v>3.7435429960498423E-2</v>
      </c>
      <c r="R216" s="217">
        <f t="shared" si="26"/>
        <v>3.9540741608576013E-2</v>
      </c>
      <c r="S216" s="217">
        <f t="shared" si="26"/>
        <v>2.879522145835689E-2</v>
      </c>
      <c r="T216" s="217">
        <f t="shared" si="26"/>
        <v>1.8458673385550739E-2</v>
      </c>
      <c r="U216" s="217">
        <f t="shared" si="26"/>
        <v>9.0351726363342433E-3</v>
      </c>
      <c r="V216" s="217">
        <f t="shared" si="26"/>
        <v>1.8654727640976532E-3</v>
      </c>
      <c r="W216" s="217">
        <f t="shared" si="26"/>
        <v>-8.1395967441613148E-3</v>
      </c>
      <c r="X216" s="217">
        <f t="shared" si="26"/>
        <v>-1.1317313881141433E-2</v>
      </c>
      <c r="Y216" s="217">
        <f t="shared" si="26"/>
        <v>-1.0470352085932833E-2</v>
      </c>
      <c r="Z216" s="217">
        <f t="shared" si="26"/>
        <v>-1.0581140350877205E-2</v>
      </c>
      <c r="AA216" s="217">
        <f t="shared" si="26"/>
        <v>-7.20341330969132E-3</v>
      </c>
      <c r="AB216" s="217">
        <f t="shared" si="26"/>
        <v>-8.0928726907406601E-3</v>
      </c>
      <c r="AC216" s="217">
        <f t="shared" si="26"/>
        <v>-8.8903893765474029E-3</v>
      </c>
      <c r="AD216" s="217">
        <f t="shared" si="26"/>
        <v>-6.9263086181446942E-3</v>
      </c>
      <c r="AE216" s="217">
        <f t="shared" si="26"/>
        <v>-8.5753487308481979E-4</v>
      </c>
      <c r="AF216" s="217">
        <f t="shared" si="26"/>
        <v>-6.0651141500257522E-3</v>
      </c>
      <c r="AG216" s="217">
        <f t="shared" si="26"/>
        <v>2.8783604858673151E-4</v>
      </c>
      <c r="AH216" s="217">
        <f t="shared" si="26"/>
        <v>1.5653775322283625E-2</v>
      </c>
      <c r="AI216" s="217">
        <f t="shared" si="26"/>
        <v>1.9662284678150455E-2</v>
      </c>
      <c r="AJ216" s="217">
        <f t="shared" si="26"/>
        <v>1.3948318977493823E-2</v>
      </c>
      <c r="AK216" s="217">
        <f t="shared" si="26"/>
        <v>1.3975665899375267E-2</v>
      </c>
      <c r="AL216" s="217">
        <f t="shared" si="26"/>
        <v>8.0536187233122281E-3</v>
      </c>
      <c r="AM216" s="217">
        <f t="shared" si="26"/>
        <v>-3.0563002680965567E-3</v>
      </c>
      <c r="AN216" s="217">
        <f t="shared" si="26"/>
        <v>-9.3583606733717017E-3</v>
      </c>
      <c r="AO216" s="217">
        <f t="shared" si="26"/>
        <v>-7.2750963678810399E-3</v>
      </c>
      <c r="AP216" s="217">
        <f t="shared" si="26"/>
        <v>-5.7424118129614232E-3</v>
      </c>
      <c r="AQ216" s="217">
        <f t="shared" si="26"/>
        <v>-1.7051705170516573E-3</v>
      </c>
      <c r="AR216" s="217">
        <f t="shared" si="26"/>
        <v>3.4712656344701998E-3</v>
      </c>
      <c r="AS216" s="217">
        <f t="shared" si="26"/>
        <v>4.5025258071600405E-3</v>
      </c>
      <c r="AT216" s="217">
        <f t="shared" si="26"/>
        <v>5.0289712474034243E-3</v>
      </c>
      <c r="AU216" s="217">
        <f t="shared" si="26"/>
        <v>5.2213640813663087E-3</v>
      </c>
      <c r="AV216" s="217">
        <f t="shared" si="26"/>
        <v>4.9778162536522341E-3</v>
      </c>
      <c r="AW216" s="217">
        <f t="shared" si="26"/>
        <v>4.5224507375902778E-3</v>
      </c>
      <c r="AX216" s="217">
        <f t="shared" si="26"/>
        <v>3.9661271304534118E-3</v>
      </c>
      <c r="AY216" s="217">
        <f t="shared" si="26"/>
        <v>3.2564595344863889E-3</v>
      </c>
      <c r="AZ216" s="217">
        <f t="shared" si="26"/>
        <v>2.4477198957058022E-3</v>
      </c>
      <c r="BA216" s="217">
        <f t="shared" si="26"/>
        <v>1.6986039598705371E-3</v>
      </c>
      <c r="BB216" s="217">
        <f t="shared" si="26"/>
        <v>8.4786179852680554E-4</v>
      </c>
      <c r="BC216" s="217">
        <f t="shared" si="26"/>
        <v>1.0589294223550816E-4</v>
      </c>
      <c r="BD216" s="217">
        <f t="shared" si="26"/>
        <v>-4.7646778548360302E-4</v>
      </c>
      <c r="BE216" s="217">
        <f t="shared" si="26"/>
        <v>-1.1122881355932757E-3</v>
      </c>
      <c r="BF216" s="217">
        <f t="shared" si="26"/>
        <v>-1.5377273450342122E-3</v>
      </c>
    </row>
    <row r="217" spans="1:58" x14ac:dyDescent="0.2">
      <c r="A217" s="320" t="s">
        <v>231</v>
      </c>
      <c r="B217" s="321"/>
      <c r="C217" s="322"/>
      <c r="D217" s="217">
        <f t="shared" ref="D217:BF217" si="27">SUM(D$42:D$46)/SUM(C$42:C$46)-1</f>
        <v>5.0958830628939911E-3</v>
      </c>
      <c r="E217" s="217">
        <f t="shared" si="27"/>
        <v>-7.7384923282187712E-3</v>
      </c>
      <c r="F217" s="217">
        <f t="shared" si="27"/>
        <v>-1.7009546860293101E-2</v>
      </c>
      <c r="G217" s="217">
        <f t="shared" si="27"/>
        <v>-2.202311743382801E-2</v>
      </c>
      <c r="H217" s="217">
        <f t="shared" si="27"/>
        <v>-3.3988390796559242E-2</v>
      </c>
      <c r="I217" s="217">
        <f t="shared" si="27"/>
        <v>-3.4025917613841994E-2</v>
      </c>
      <c r="J217" s="217">
        <f t="shared" si="27"/>
        <v>-2.6680656524020074E-2</v>
      </c>
      <c r="K217" s="217">
        <f t="shared" si="27"/>
        <v>-1.016401016401014E-2</v>
      </c>
      <c r="L217" s="217">
        <f t="shared" si="27"/>
        <v>4.2007001166861624E-3</v>
      </c>
      <c r="M217" s="217">
        <f t="shared" si="27"/>
        <v>1.7119838872104776E-2</v>
      </c>
      <c r="N217" s="217">
        <f t="shared" si="27"/>
        <v>2.4980959634425037E-2</v>
      </c>
      <c r="O217" s="217">
        <f t="shared" si="27"/>
        <v>3.5889433794025871E-2</v>
      </c>
      <c r="P217" s="217">
        <f t="shared" si="27"/>
        <v>3.1848504411448264E-2</v>
      </c>
      <c r="Q217" s="217">
        <f t="shared" si="27"/>
        <v>2.884949600278075E-2</v>
      </c>
      <c r="R217" s="217">
        <f t="shared" si="27"/>
        <v>2.7567567567567508E-2</v>
      </c>
      <c r="S217" s="217">
        <f t="shared" si="27"/>
        <v>2.676223040504988E-2</v>
      </c>
      <c r="T217" s="217">
        <f t="shared" si="27"/>
        <v>2.8562279859109863E-2</v>
      </c>
      <c r="U217" s="217">
        <f t="shared" si="27"/>
        <v>3.3123715833385248E-2</v>
      </c>
      <c r="V217" s="217">
        <f t="shared" si="27"/>
        <v>3.6943289338877916E-2</v>
      </c>
      <c r="W217" s="217">
        <f t="shared" si="27"/>
        <v>3.9230500988027384E-2</v>
      </c>
      <c r="X217" s="217">
        <f t="shared" si="27"/>
        <v>2.8521894748615884E-2</v>
      </c>
      <c r="Y217" s="217">
        <f t="shared" si="27"/>
        <v>1.8269805883312396E-2</v>
      </c>
      <c r="Z217" s="217">
        <f t="shared" si="27"/>
        <v>9.024403268008685E-3</v>
      </c>
      <c r="AA217" s="217">
        <f t="shared" si="27"/>
        <v>1.9051651143098258E-3</v>
      </c>
      <c r="AB217" s="217">
        <f t="shared" si="27"/>
        <v>-8.0287344179167386E-3</v>
      </c>
      <c r="AC217" s="217">
        <f t="shared" si="27"/>
        <v>-1.1128860489882819E-2</v>
      </c>
      <c r="AD217" s="217">
        <f t="shared" si="27"/>
        <v>-1.0284852727370675E-2</v>
      </c>
      <c r="AE217" s="217">
        <f t="shared" si="27"/>
        <v>-1.050054406964096E-2</v>
      </c>
      <c r="AF217" s="217">
        <f t="shared" si="27"/>
        <v>-7.0379941716610661E-3</v>
      </c>
      <c r="AG217" s="217">
        <f t="shared" si="27"/>
        <v>-7.9184893958691438E-3</v>
      </c>
      <c r="AH217" s="217">
        <f t="shared" si="27"/>
        <v>-8.7073007367716171E-3</v>
      </c>
      <c r="AI217" s="217">
        <f t="shared" si="27"/>
        <v>-6.9256756756757021E-3</v>
      </c>
      <c r="AJ217" s="217">
        <f t="shared" si="27"/>
        <v>-7.9378579123434712E-4</v>
      </c>
      <c r="AK217" s="217">
        <f t="shared" si="27"/>
        <v>-5.9581229075640341E-3</v>
      </c>
      <c r="AL217" s="217">
        <f t="shared" si="27"/>
        <v>3.9958899417746885E-4</v>
      </c>
      <c r="AM217" s="217">
        <f t="shared" si="27"/>
        <v>1.5463623395149728E-2</v>
      </c>
      <c r="AN217" s="217">
        <f t="shared" si="27"/>
        <v>1.9554956169925752E-2</v>
      </c>
      <c r="AO217" s="217">
        <f t="shared" si="27"/>
        <v>1.3778659611992872E-2</v>
      </c>
      <c r="AP217" s="217">
        <f t="shared" si="27"/>
        <v>1.3917581820158675E-2</v>
      </c>
      <c r="AQ217" s="217">
        <f t="shared" si="27"/>
        <v>7.9892761394102507E-3</v>
      </c>
      <c r="AR217" s="217">
        <f t="shared" si="27"/>
        <v>-3.0320761742645974E-3</v>
      </c>
      <c r="AS217" s="217">
        <f t="shared" si="27"/>
        <v>-9.1238928609540526E-3</v>
      </c>
      <c r="AT217" s="217">
        <f t="shared" si="27"/>
        <v>-7.2155511281029039E-3</v>
      </c>
      <c r="AU217" s="217">
        <f t="shared" si="27"/>
        <v>-5.6950696968053327E-3</v>
      </c>
      <c r="AV217" s="217">
        <f t="shared" si="27"/>
        <v>-1.6910320750600505E-3</v>
      </c>
      <c r="AW217" s="217">
        <f t="shared" si="27"/>
        <v>3.5517184853286476E-3</v>
      </c>
      <c r="AX217" s="217">
        <f t="shared" si="27"/>
        <v>4.5192202983774798E-3</v>
      </c>
      <c r="AY217" s="217">
        <f t="shared" si="27"/>
        <v>5.0409236272968005E-3</v>
      </c>
      <c r="AZ217" s="217">
        <f t="shared" si="27"/>
        <v>5.1774350124043078E-3</v>
      </c>
      <c r="BA217" s="217">
        <f t="shared" si="27"/>
        <v>4.8824981221160524E-3</v>
      </c>
      <c r="BB217" s="217">
        <f t="shared" si="27"/>
        <v>4.5918094932990705E-3</v>
      </c>
      <c r="BC217" s="217">
        <f t="shared" si="27"/>
        <v>3.9330321551953595E-3</v>
      </c>
      <c r="BD217" s="217">
        <f t="shared" si="27"/>
        <v>3.2823336333316355E-3</v>
      </c>
      <c r="BE217" s="217">
        <f t="shared" si="27"/>
        <v>2.4273125428737607E-3</v>
      </c>
      <c r="BF217" s="217">
        <f t="shared" si="27"/>
        <v>1.6318366057799238E-3</v>
      </c>
    </row>
    <row r="218" spans="1:58" x14ac:dyDescent="0.2">
      <c r="A218" s="320" t="s">
        <v>238</v>
      </c>
      <c r="B218" s="321"/>
      <c r="C218" s="322"/>
      <c r="D218" s="217">
        <f t="shared" ref="D218:BF218" si="28">SUM(D$47:D$51)/SUM(C$47:C$51)-1</f>
        <v>-1.4427701186277675E-2</v>
      </c>
      <c r="E218" s="217">
        <f t="shared" si="28"/>
        <v>-1.5094339622641506E-2</v>
      </c>
      <c r="F218" s="217">
        <f t="shared" si="28"/>
        <v>-9.5785440613026518E-3</v>
      </c>
      <c r="G218" s="217">
        <f t="shared" si="28"/>
        <v>-4.0018675381844337E-3</v>
      </c>
      <c r="H218" s="217">
        <f t="shared" si="28"/>
        <v>-9.375209268064344E-4</v>
      </c>
      <c r="I218" s="217">
        <f t="shared" si="28"/>
        <v>-2.2789731215229203E-3</v>
      </c>
      <c r="J218" s="217">
        <f t="shared" si="28"/>
        <v>-1.1622438696674453E-2</v>
      </c>
      <c r="K218" s="217">
        <f t="shared" si="28"/>
        <v>-2.1003262642740661E-2</v>
      </c>
      <c r="L218" s="217">
        <f t="shared" si="28"/>
        <v>-2.3397903214608107E-2</v>
      </c>
      <c r="M218" s="217">
        <f t="shared" si="28"/>
        <v>-3.2489691454571257E-2</v>
      </c>
      <c r="N218" s="217">
        <f t="shared" si="28"/>
        <v>-3.0788448820633363E-2</v>
      </c>
      <c r="O218" s="217">
        <f t="shared" si="28"/>
        <v>-2.3805913570887016E-2</v>
      </c>
      <c r="P218" s="217">
        <f t="shared" si="28"/>
        <v>-8.6206896551723755E-3</v>
      </c>
      <c r="Q218" s="217">
        <f t="shared" si="28"/>
        <v>4.3086564825696172E-3</v>
      </c>
      <c r="R218" s="217">
        <f t="shared" si="28"/>
        <v>1.7238689547582009E-2</v>
      </c>
      <c r="S218" s="217">
        <f t="shared" si="28"/>
        <v>2.5151445441300435E-2</v>
      </c>
      <c r="T218" s="217">
        <f t="shared" si="28"/>
        <v>3.5903956915251722E-2</v>
      </c>
      <c r="U218" s="217">
        <f t="shared" si="28"/>
        <v>3.1987869160228222E-2</v>
      </c>
      <c r="V218" s="217">
        <f t="shared" si="28"/>
        <v>2.8967254408060361E-2</v>
      </c>
      <c r="W218" s="217">
        <f t="shared" si="28"/>
        <v>2.7743778049775569E-2</v>
      </c>
      <c r="X218" s="217">
        <f t="shared" si="28"/>
        <v>2.6730183935424146E-2</v>
      </c>
      <c r="Y218" s="217">
        <f t="shared" si="28"/>
        <v>2.867637582162641E-2</v>
      </c>
      <c r="Z218" s="217">
        <f t="shared" si="28"/>
        <v>3.3264423980454705E-2</v>
      </c>
      <c r="AA218" s="217">
        <f t="shared" si="28"/>
        <v>3.7165029707772579E-2</v>
      </c>
      <c r="AB218" s="217">
        <f t="shared" si="28"/>
        <v>3.9282165195533958E-2</v>
      </c>
      <c r="AC218" s="217">
        <f t="shared" si="28"/>
        <v>2.8629281736880507E-2</v>
      </c>
      <c r="AD218" s="217">
        <f t="shared" si="28"/>
        <v>1.8372703412073532E-2</v>
      </c>
      <c r="AE218" s="217">
        <f t="shared" si="28"/>
        <v>9.1280068728523123E-3</v>
      </c>
      <c r="AF218" s="217">
        <f t="shared" si="28"/>
        <v>1.9687134191763711E-3</v>
      </c>
      <c r="AG218" s="217">
        <f t="shared" si="28"/>
        <v>-7.9655886570016987E-3</v>
      </c>
      <c r="AH218" s="217">
        <f t="shared" si="28"/>
        <v>-1.1080777260317975E-2</v>
      </c>
      <c r="AI218" s="217">
        <f t="shared" si="28"/>
        <v>-1.023059434881457E-2</v>
      </c>
      <c r="AJ218" s="217">
        <f t="shared" si="28"/>
        <v>-1.0391030899644549E-2</v>
      </c>
      <c r="AK218" s="217">
        <f t="shared" si="28"/>
        <v>-7.0185134014921768E-3</v>
      </c>
      <c r="AL218" s="217">
        <f t="shared" si="28"/>
        <v>-7.8472840605521288E-3</v>
      </c>
      <c r="AM218" s="217">
        <f t="shared" si="28"/>
        <v>-8.638581926291633E-3</v>
      </c>
      <c r="AN218" s="217">
        <f t="shared" si="28"/>
        <v>-6.903185650427246E-3</v>
      </c>
      <c r="AO218" s="217">
        <f t="shared" si="28"/>
        <v>-6.8372172525776875E-4</v>
      </c>
      <c r="AP218" s="217">
        <f t="shared" si="28"/>
        <v>-5.9296425109754969E-3</v>
      </c>
      <c r="AQ218" s="217">
        <f t="shared" si="28"/>
        <v>4.5884714654431669E-4</v>
      </c>
      <c r="AR218" s="217">
        <f t="shared" si="28"/>
        <v>1.5536318293871476E-2</v>
      </c>
      <c r="AS218" s="217">
        <f t="shared" si="28"/>
        <v>1.9589025629445533E-2</v>
      </c>
      <c r="AT218" s="217">
        <f t="shared" si="28"/>
        <v>1.3841979956813022E-2</v>
      </c>
      <c r="AU218" s="217">
        <f t="shared" si="28"/>
        <v>1.4035279340287365E-2</v>
      </c>
      <c r="AV218" s="217">
        <f t="shared" si="28"/>
        <v>8.1322705730288991E-3</v>
      </c>
      <c r="AW218" s="217">
        <f t="shared" si="28"/>
        <v>-3.0450344569689092E-3</v>
      </c>
      <c r="AX218" s="217">
        <f t="shared" si="28"/>
        <v>-9.1094202121958512E-3</v>
      </c>
      <c r="AY218" s="217">
        <f t="shared" si="28"/>
        <v>-7.1382219338091968E-3</v>
      </c>
      <c r="AZ218" s="217">
        <f t="shared" si="28"/>
        <v>-5.6100217864923918E-3</v>
      </c>
      <c r="BA218" s="217">
        <f t="shared" si="28"/>
        <v>-1.6979788574245092E-3</v>
      </c>
      <c r="BB218" s="217">
        <f t="shared" si="28"/>
        <v>3.6212004828266586E-3</v>
      </c>
      <c r="BC218" s="217">
        <f t="shared" si="28"/>
        <v>4.4828340258036281E-3</v>
      </c>
      <c r="BD218" s="217">
        <f t="shared" si="28"/>
        <v>5.1159246761729449E-3</v>
      </c>
      <c r="BE218" s="217">
        <f t="shared" si="28"/>
        <v>5.252328351743607E-3</v>
      </c>
      <c r="BF218" s="217">
        <f t="shared" si="28"/>
        <v>5.0094263398869909E-3</v>
      </c>
    </row>
    <row r="219" spans="1:58" x14ac:dyDescent="0.2">
      <c r="A219" s="320" t="s">
        <v>239</v>
      </c>
      <c r="B219" s="321"/>
      <c r="C219" s="322"/>
      <c r="D219" s="217">
        <f t="shared" ref="D219:BF219" si="29">SUM(D$52:D$56)/SUM(C$52:C$56)-1</f>
        <v>2.226394849785418E-2</v>
      </c>
      <c r="E219" s="217">
        <f t="shared" si="29"/>
        <v>1.8433482025715042E-2</v>
      </c>
      <c r="F219" s="217">
        <f t="shared" si="29"/>
        <v>8.3735909822866272E-3</v>
      </c>
      <c r="G219" s="217">
        <f t="shared" si="29"/>
        <v>-2.6189715745768005E-3</v>
      </c>
      <c r="H219" s="217">
        <f t="shared" si="29"/>
        <v>-1.2809017548354062E-2</v>
      </c>
      <c r="I219" s="217">
        <f t="shared" si="29"/>
        <v>-1.9981834695731115E-2</v>
      </c>
      <c r="J219" s="217">
        <f t="shared" si="29"/>
        <v>-1.7741294849728639E-2</v>
      </c>
      <c r="K219" s="217">
        <f t="shared" si="29"/>
        <v>-1.1591858741070271E-2</v>
      </c>
      <c r="L219" s="217">
        <f t="shared" si="29"/>
        <v>-5.8639029046775315E-3</v>
      </c>
      <c r="M219" s="217">
        <f t="shared" si="29"/>
        <v>1.3717421124836982E-4</v>
      </c>
      <c r="N219" s="217">
        <f t="shared" si="29"/>
        <v>4.1146619119469818E-4</v>
      </c>
      <c r="O219" s="217">
        <f t="shared" si="29"/>
        <v>-9.4598299972580291E-3</v>
      </c>
      <c r="P219" s="217">
        <f t="shared" si="29"/>
        <v>-2.0138408304498312E-2</v>
      </c>
      <c r="Q219" s="217">
        <f t="shared" si="29"/>
        <v>-2.3518610071332713E-2</v>
      </c>
      <c r="R219" s="217">
        <f t="shared" si="29"/>
        <v>-3.269202950961958E-2</v>
      </c>
      <c r="S219" s="217">
        <f t="shared" si="29"/>
        <v>-3.080604157320177E-2</v>
      </c>
      <c r="T219" s="217">
        <f t="shared" si="29"/>
        <v>-2.3916062336059252E-2</v>
      </c>
      <c r="U219" s="217">
        <f t="shared" si="29"/>
        <v>-8.6942775845716413E-3</v>
      </c>
      <c r="V219" s="217">
        <f t="shared" si="29"/>
        <v>4.4649976080370912E-3</v>
      </c>
      <c r="W219" s="217">
        <f t="shared" si="29"/>
        <v>1.770122241625649E-2</v>
      </c>
      <c r="X219" s="217">
        <f t="shared" si="29"/>
        <v>2.5583027844941819E-2</v>
      </c>
      <c r="Y219" s="217">
        <f t="shared" si="29"/>
        <v>3.6580728572515042E-2</v>
      </c>
      <c r="Z219" s="217">
        <f t="shared" si="29"/>
        <v>3.2208363903154735E-2</v>
      </c>
      <c r="AA219" s="217">
        <f t="shared" si="29"/>
        <v>2.9355320207548496E-2</v>
      </c>
      <c r="AB219" s="217">
        <f t="shared" si="29"/>
        <v>2.8241955531004059E-2</v>
      </c>
      <c r="AC219" s="217">
        <f t="shared" si="29"/>
        <v>2.7130481498891967E-2</v>
      </c>
      <c r="AD219" s="217">
        <f t="shared" si="29"/>
        <v>2.9094475318731661E-2</v>
      </c>
      <c r="AE219" s="217">
        <f t="shared" si="29"/>
        <v>3.3672172808132173E-2</v>
      </c>
      <c r="AF219" s="217">
        <f t="shared" si="29"/>
        <v>3.76767055931162E-2</v>
      </c>
      <c r="AG219" s="217">
        <f t="shared" si="29"/>
        <v>3.9625658946869535E-2</v>
      </c>
      <c r="AH219" s="217">
        <f t="shared" si="29"/>
        <v>2.8942570647219723E-2</v>
      </c>
      <c r="AI219" s="217">
        <f t="shared" si="29"/>
        <v>1.8604651162790642E-2</v>
      </c>
      <c r="AJ219" s="217">
        <f t="shared" si="29"/>
        <v>9.2954990215263766E-3</v>
      </c>
      <c r="AK219" s="217">
        <f t="shared" si="29"/>
        <v>2.0466418915279228E-3</v>
      </c>
      <c r="AL219" s="217">
        <f t="shared" si="29"/>
        <v>-7.9011018543402312E-3</v>
      </c>
      <c r="AM219" s="217">
        <f t="shared" si="29"/>
        <v>-1.1052118322678495E-2</v>
      </c>
      <c r="AN219" s="217">
        <f t="shared" si="29"/>
        <v>-1.0189547496439189E-2</v>
      </c>
      <c r="AO219" s="217">
        <f t="shared" si="29"/>
        <v>-1.0349789683418154E-2</v>
      </c>
      <c r="AP219" s="217">
        <f t="shared" si="29"/>
        <v>-7.0465857614226968E-3</v>
      </c>
      <c r="AQ219" s="217">
        <f t="shared" si="29"/>
        <v>-7.7724584624049298E-3</v>
      </c>
      <c r="AR219" s="217">
        <f t="shared" si="29"/>
        <v>-8.7415564511551525E-3</v>
      </c>
      <c r="AS219" s="217">
        <f t="shared" si="29"/>
        <v>-6.7571436751989733E-3</v>
      </c>
      <c r="AT219" s="217">
        <f t="shared" si="29"/>
        <v>-6.3418852695296124E-4</v>
      </c>
      <c r="AU219" s="217">
        <f t="shared" si="29"/>
        <v>-5.8266989731163843E-3</v>
      </c>
      <c r="AV219" s="217">
        <f t="shared" si="29"/>
        <v>5.2225381535420112E-4</v>
      </c>
      <c r="AW219" s="217">
        <f t="shared" si="29"/>
        <v>1.5775432084444985E-2</v>
      </c>
      <c r="AX219" s="217">
        <f t="shared" si="29"/>
        <v>1.9812721251570187E-2</v>
      </c>
      <c r="AY219" s="217">
        <f t="shared" si="29"/>
        <v>1.3996976653043003E-2</v>
      </c>
      <c r="AZ219" s="217">
        <f t="shared" si="29"/>
        <v>1.4190271105957608E-2</v>
      </c>
      <c r="BA219" s="217">
        <f t="shared" si="29"/>
        <v>8.2752613240417716E-3</v>
      </c>
      <c r="BB219" s="217">
        <f t="shared" si="29"/>
        <v>-2.9697624190064831E-3</v>
      </c>
      <c r="BC219" s="217">
        <f t="shared" si="29"/>
        <v>-9.2066070945031608E-3</v>
      </c>
      <c r="BD219" s="217">
        <f t="shared" si="29"/>
        <v>-7.1057666028969679E-3</v>
      </c>
      <c r="BE219" s="217">
        <f t="shared" si="29"/>
        <v>-5.5601431323974992E-3</v>
      </c>
      <c r="BF219" s="217">
        <f t="shared" si="29"/>
        <v>-1.6607617360495652E-3</v>
      </c>
    </row>
    <row r="220" spans="1:58" x14ac:dyDescent="0.2">
      <c r="A220" s="320" t="s">
        <v>240</v>
      </c>
      <c r="B220" s="321"/>
      <c r="C220" s="322"/>
      <c r="D220" s="217">
        <f t="shared" ref="D220:BF220" si="30">SUM(D$57:D$61)/SUM(C$57:C$61)-1</f>
        <v>2.2781497729546629E-2</v>
      </c>
      <c r="E220" s="217">
        <f t="shared" si="30"/>
        <v>2.0693806907968959E-2</v>
      </c>
      <c r="F220" s="217">
        <f t="shared" si="30"/>
        <v>2.6172220583898564E-2</v>
      </c>
      <c r="G220" s="217">
        <f t="shared" si="30"/>
        <v>2.4714419139306054E-2</v>
      </c>
      <c r="H220" s="217">
        <f t="shared" si="30"/>
        <v>2.0542662833905823E-2</v>
      </c>
      <c r="I220" s="217">
        <f t="shared" si="30"/>
        <v>1.9648255015114025E-2</v>
      </c>
      <c r="J220" s="217">
        <f t="shared" si="30"/>
        <v>1.7450478372186939E-2</v>
      </c>
      <c r="K220" s="217">
        <f t="shared" si="30"/>
        <v>6.2909741076750958E-3</v>
      </c>
      <c r="L220" s="217">
        <f t="shared" si="30"/>
        <v>-3.0271123979994652E-3</v>
      </c>
      <c r="M220" s="217">
        <f t="shared" si="30"/>
        <v>-1.1749174917491723E-2</v>
      </c>
      <c r="N220" s="217">
        <f t="shared" si="30"/>
        <v>-1.8100454181138148E-2</v>
      </c>
      <c r="O220" s="217">
        <f t="shared" si="30"/>
        <v>-1.5985307121964443E-2</v>
      </c>
      <c r="P220" s="217">
        <f t="shared" si="30"/>
        <v>-1.0783907092492773E-2</v>
      </c>
      <c r="Q220" s="217">
        <f t="shared" si="30"/>
        <v>-5.7302585604472878E-3</v>
      </c>
      <c r="R220" s="217">
        <f t="shared" si="30"/>
        <v>2.8113578858590671E-4</v>
      </c>
      <c r="S220" s="217">
        <f t="shared" si="30"/>
        <v>7.0264193367064465E-4</v>
      </c>
      <c r="T220" s="217">
        <f t="shared" si="30"/>
        <v>-9.1981463277629461E-3</v>
      </c>
      <c r="U220" s="217">
        <f t="shared" si="30"/>
        <v>-2.0197009425271029E-2</v>
      </c>
      <c r="V220" s="217">
        <f t="shared" si="30"/>
        <v>-2.3651092145233643E-2</v>
      </c>
      <c r="W220" s="217">
        <f t="shared" si="30"/>
        <v>-3.296540484480337E-2</v>
      </c>
      <c r="X220" s="217">
        <f t="shared" si="30"/>
        <v>-3.1178182932434462E-2</v>
      </c>
      <c r="Y220" s="217">
        <f t="shared" si="30"/>
        <v>-2.3879180833399238E-2</v>
      </c>
      <c r="Z220" s="217">
        <f t="shared" si="30"/>
        <v>-8.5864722559740869E-3</v>
      </c>
      <c r="AA220" s="217">
        <f t="shared" si="30"/>
        <v>4.8206552822942506E-3</v>
      </c>
      <c r="AB220" s="217">
        <f t="shared" si="30"/>
        <v>1.8214343795739163E-2</v>
      </c>
      <c r="AC220" s="217">
        <f t="shared" si="30"/>
        <v>2.6193898738220645E-2</v>
      </c>
      <c r="AD220" s="217">
        <f t="shared" si="30"/>
        <v>3.7198443579766538E-2</v>
      </c>
      <c r="AE220" s="217">
        <f t="shared" si="30"/>
        <v>3.3088235294117752E-2</v>
      </c>
      <c r="AF220" s="217">
        <f t="shared" si="30"/>
        <v>2.992228920037765E-2</v>
      </c>
      <c r="AG220" s="217">
        <f t="shared" si="30"/>
        <v>2.8700373739510621E-2</v>
      </c>
      <c r="AH220" s="217">
        <f t="shared" si="30"/>
        <v>2.7693995064436594E-2</v>
      </c>
      <c r="AI220" s="217">
        <f t="shared" si="30"/>
        <v>2.9615795090714991E-2</v>
      </c>
      <c r="AJ220" s="217">
        <f t="shared" si="30"/>
        <v>3.4335320031096073E-2</v>
      </c>
      <c r="AK220" s="217">
        <f t="shared" si="30"/>
        <v>3.8206188149818354E-2</v>
      </c>
      <c r="AL220" s="217">
        <f t="shared" si="30"/>
        <v>4.0359555984555984E-2</v>
      </c>
      <c r="AM220" s="217">
        <f t="shared" si="30"/>
        <v>2.9399826036532239E-2</v>
      </c>
      <c r="AN220" s="217">
        <f t="shared" si="30"/>
        <v>1.8927444794952786E-2</v>
      </c>
      <c r="AO220" s="217">
        <f t="shared" si="30"/>
        <v>9.5643520566122131E-3</v>
      </c>
      <c r="AP220" s="217">
        <f t="shared" si="30"/>
        <v>2.2452220579376458E-3</v>
      </c>
      <c r="AQ220" s="217">
        <f t="shared" si="30"/>
        <v>-7.8133537318325619E-3</v>
      </c>
      <c r="AR220" s="217">
        <f t="shared" si="30"/>
        <v>-1.1123960570516012E-2</v>
      </c>
      <c r="AS220" s="217">
        <f t="shared" si="30"/>
        <v>-1.0135323272261521E-2</v>
      </c>
      <c r="AT220" s="217">
        <f t="shared" si="30"/>
        <v>-1.0464135021096999E-2</v>
      </c>
      <c r="AU220" s="217">
        <f t="shared" si="30"/>
        <v>-6.7655921314457856E-3</v>
      </c>
      <c r="AV220" s="217">
        <f t="shared" si="30"/>
        <v>-7.8992558672008606E-3</v>
      </c>
      <c r="AW220" s="217">
        <f t="shared" si="30"/>
        <v>-8.5968151396261794E-3</v>
      </c>
      <c r="AX220" s="217">
        <f t="shared" si="30"/>
        <v>-6.7508584065646415E-3</v>
      </c>
      <c r="AY220" s="217">
        <f t="shared" si="30"/>
        <v>-5.273334505185856E-4</v>
      </c>
      <c r="AZ220" s="217">
        <f t="shared" si="30"/>
        <v>-5.8037284558565272E-3</v>
      </c>
      <c r="BA220" s="217">
        <f t="shared" si="30"/>
        <v>6.4862314994984516E-4</v>
      </c>
      <c r="BB220" s="217">
        <f t="shared" si="30"/>
        <v>1.6087212728344236E-2</v>
      </c>
      <c r="BC220" s="217">
        <f t="shared" si="30"/>
        <v>2.0066113785304207E-2</v>
      </c>
      <c r="BD220" s="217">
        <f t="shared" si="30"/>
        <v>1.4383989993746127E-2</v>
      </c>
      <c r="BE220" s="217">
        <f t="shared" si="30"/>
        <v>1.4460262302432358E-2</v>
      </c>
      <c r="BF220" s="217">
        <f t="shared" si="30"/>
        <v>8.3425414364641792E-3</v>
      </c>
    </row>
    <row r="221" spans="1:58" x14ac:dyDescent="0.2">
      <c r="A221" s="320" t="s">
        <v>241</v>
      </c>
      <c r="B221" s="321"/>
      <c r="C221" s="322"/>
      <c r="D221" s="217">
        <f t="shared" ref="D221:BF221" si="31">SUM(D$62:D$66)/SUM(C$62:C$66)-1</f>
        <v>-8.3277814790116977E-5</v>
      </c>
      <c r="E221" s="217">
        <f t="shared" si="31"/>
        <v>2.6651120179894683E-3</v>
      </c>
      <c r="F221" s="217">
        <f t="shared" si="31"/>
        <v>1.0382922169615449E-2</v>
      </c>
      <c r="G221" s="217">
        <f t="shared" si="31"/>
        <v>1.4715554094048011E-2</v>
      </c>
      <c r="H221" s="217">
        <f t="shared" si="31"/>
        <v>2.2036781981690012E-2</v>
      </c>
      <c r="I221" s="217">
        <f t="shared" si="31"/>
        <v>2.2116527942925179E-2</v>
      </c>
      <c r="J221" s="217">
        <f t="shared" si="31"/>
        <v>2.1017527532185554E-2</v>
      </c>
      <c r="K221" s="217">
        <f t="shared" si="31"/>
        <v>2.6053930877326215E-2</v>
      </c>
      <c r="L221" s="217">
        <f t="shared" si="31"/>
        <v>2.428190701806332E-2</v>
      </c>
      <c r="M221" s="217">
        <f t="shared" si="31"/>
        <v>2.2766695576756257E-2</v>
      </c>
      <c r="N221" s="217">
        <f t="shared" si="31"/>
        <v>2.1835912656349432E-2</v>
      </c>
      <c r="O221" s="217">
        <f t="shared" si="31"/>
        <v>1.9294605809128562E-2</v>
      </c>
      <c r="P221" s="217">
        <f t="shared" si="31"/>
        <v>7.2596512653504419E-3</v>
      </c>
      <c r="Q221" s="217">
        <f t="shared" si="31"/>
        <v>-2.5596120167048486E-3</v>
      </c>
      <c r="R221" s="217">
        <f t="shared" si="31"/>
        <v>-1.1480280929227482E-2</v>
      </c>
      <c r="S221" s="217">
        <f t="shared" si="31"/>
        <v>-1.7761989342806372E-2</v>
      </c>
      <c r="T221" s="217">
        <f t="shared" si="31"/>
        <v>-1.5648908053971344E-2</v>
      </c>
      <c r="U221" s="217">
        <f t="shared" si="31"/>
        <v>-1.045714689465127E-2</v>
      </c>
      <c r="V221" s="217">
        <f t="shared" si="31"/>
        <v>-5.4266333452338555E-3</v>
      </c>
      <c r="W221" s="217">
        <f t="shared" si="31"/>
        <v>7.8971929068849533E-4</v>
      </c>
      <c r="X221" s="217">
        <f t="shared" si="31"/>
        <v>1.1477761836442557E-3</v>
      </c>
      <c r="Y221" s="217">
        <f t="shared" si="31"/>
        <v>-9.0283748925193974E-3</v>
      </c>
      <c r="Z221" s="217">
        <f t="shared" si="31"/>
        <v>-1.9956616052060783E-2</v>
      </c>
      <c r="AA221" s="217">
        <f t="shared" si="31"/>
        <v>-2.3535487678914002E-2</v>
      </c>
      <c r="AB221" s="217">
        <f t="shared" si="31"/>
        <v>-3.2791839818662627E-2</v>
      </c>
      <c r="AC221" s="217">
        <f t="shared" si="31"/>
        <v>-3.1013202093586489E-2</v>
      </c>
      <c r="AD221" s="217">
        <f t="shared" si="31"/>
        <v>-2.3782650757820045E-2</v>
      </c>
      <c r="AE221" s="217">
        <f t="shared" si="31"/>
        <v>-8.2583202576596015E-3</v>
      </c>
      <c r="AF221" s="217">
        <f t="shared" si="31"/>
        <v>5.0795236905654129E-3</v>
      </c>
      <c r="AG221" s="217">
        <f t="shared" si="31"/>
        <v>1.8724109362054708E-2</v>
      </c>
      <c r="AH221" s="217">
        <f t="shared" si="31"/>
        <v>2.6675341574495803E-2</v>
      </c>
      <c r="AI221" s="217">
        <f t="shared" si="31"/>
        <v>3.7943599493029057E-2</v>
      </c>
      <c r="AJ221" s="217">
        <f t="shared" si="31"/>
        <v>3.3274822559719253E-2</v>
      </c>
      <c r="AK221" s="217">
        <f t="shared" si="31"/>
        <v>3.0504468572272625E-2</v>
      </c>
      <c r="AL221" s="217">
        <f t="shared" si="31"/>
        <v>2.924311926605494E-2</v>
      </c>
      <c r="AM221" s="217">
        <f t="shared" si="31"/>
        <v>2.8133704735376019E-2</v>
      </c>
      <c r="AN221" s="217">
        <f t="shared" si="31"/>
        <v>3.0140883229477167E-2</v>
      </c>
      <c r="AO221" s="217">
        <f t="shared" si="31"/>
        <v>3.4716286409362862E-2</v>
      </c>
      <c r="AP221" s="217">
        <f t="shared" si="31"/>
        <v>3.869860837516681E-2</v>
      </c>
      <c r="AQ221" s="217">
        <f t="shared" si="31"/>
        <v>4.0743912883886013E-2</v>
      </c>
      <c r="AR221" s="217">
        <f t="shared" si="31"/>
        <v>2.9861274394545001E-2</v>
      </c>
      <c r="AS221" s="217">
        <f t="shared" si="31"/>
        <v>1.9235159817351688E-2</v>
      </c>
      <c r="AT221" s="217">
        <f t="shared" si="31"/>
        <v>9.8000784006271324E-3</v>
      </c>
      <c r="AU221" s="217">
        <f t="shared" si="31"/>
        <v>2.3291925465838137E-3</v>
      </c>
      <c r="AV221" s="217">
        <f t="shared" si="31"/>
        <v>-7.6906052893659371E-3</v>
      </c>
      <c r="AW221" s="217">
        <f t="shared" si="31"/>
        <v>-1.0928352383607454E-2</v>
      </c>
      <c r="AX221" s="217">
        <f t="shared" si="31"/>
        <v>-9.9216415806978597E-3</v>
      </c>
      <c r="AY221" s="217">
        <f t="shared" si="31"/>
        <v>-1.030575641974607E-2</v>
      </c>
      <c r="AZ221" s="217">
        <f t="shared" si="31"/>
        <v>-6.673570360142711E-3</v>
      </c>
      <c r="BA221" s="217">
        <f t="shared" si="31"/>
        <v>-7.7609174099385614E-3</v>
      </c>
      <c r="BB221" s="217">
        <f t="shared" si="31"/>
        <v>-8.5220639738501358E-3</v>
      </c>
      <c r="BC221" s="217">
        <f t="shared" si="31"/>
        <v>-6.5936653714824267E-3</v>
      </c>
      <c r="BD221" s="217">
        <f t="shared" si="31"/>
        <v>-3.5557662676310997E-4</v>
      </c>
      <c r="BE221" s="217">
        <f t="shared" si="31"/>
        <v>-5.691249703580703E-3</v>
      </c>
      <c r="BF221" s="217">
        <f t="shared" si="31"/>
        <v>8.3472454090149917E-4</v>
      </c>
    </row>
    <row r="222" spans="1:58" x14ac:dyDescent="0.2">
      <c r="A222" s="320" t="s">
        <v>242</v>
      </c>
      <c r="B222" s="321"/>
      <c r="C222" s="322"/>
      <c r="D222" s="217">
        <f t="shared" ref="D222:BF222" si="32">SUM(D$67:D$71)/SUM(C$67:C$71)-1</f>
        <v>5.7997823721436248E-2</v>
      </c>
      <c r="E222" s="217">
        <f t="shared" si="32"/>
        <v>7.0862902396379823E-2</v>
      </c>
      <c r="F222" s="217">
        <f t="shared" si="32"/>
        <v>4.4756050710718309E-2</v>
      </c>
      <c r="G222" s="217">
        <f t="shared" si="32"/>
        <v>3.9621253906968246E-2</v>
      </c>
      <c r="H222" s="217">
        <f t="shared" si="32"/>
        <v>2.8384472543991457E-2</v>
      </c>
      <c r="I222" s="217">
        <f t="shared" si="32"/>
        <v>6.8787618228727254E-4</v>
      </c>
      <c r="J222" s="217">
        <f t="shared" si="32"/>
        <v>4.8977487540815545E-3</v>
      </c>
      <c r="K222" s="217">
        <f t="shared" si="32"/>
        <v>1.197092774690045E-2</v>
      </c>
      <c r="L222" s="217">
        <f t="shared" si="32"/>
        <v>1.5040135192226467E-2</v>
      </c>
      <c r="M222" s="217">
        <f t="shared" si="32"/>
        <v>2.4473487055689747E-2</v>
      </c>
      <c r="N222" s="217">
        <f t="shared" si="32"/>
        <v>2.4132607459169675E-2</v>
      </c>
      <c r="O222" s="217">
        <f t="shared" si="32"/>
        <v>2.2691209139955593E-2</v>
      </c>
      <c r="P222" s="217">
        <f t="shared" si="32"/>
        <v>2.6997672614429868E-2</v>
      </c>
      <c r="Q222" s="217">
        <f t="shared" si="32"/>
        <v>2.4701616558392425E-2</v>
      </c>
      <c r="R222" s="217">
        <f t="shared" si="32"/>
        <v>2.3368964246221813E-2</v>
      </c>
      <c r="S222" s="217">
        <f t="shared" si="32"/>
        <v>2.2475147673245877E-2</v>
      </c>
      <c r="T222" s="217">
        <f t="shared" si="32"/>
        <v>1.9797097365083838E-2</v>
      </c>
      <c r="U222" s="217">
        <f t="shared" si="32"/>
        <v>7.9447322970638279E-3</v>
      </c>
      <c r="V222" s="217">
        <f t="shared" si="32"/>
        <v>-2.1932830705962969E-3</v>
      </c>
      <c r="W222" s="217">
        <f t="shared" si="32"/>
        <v>-1.0715757659019109E-2</v>
      </c>
      <c r="X222" s="217">
        <f t="shared" si="32"/>
        <v>-1.7080960977642001E-2</v>
      </c>
      <c r="Y222" s="217">
        <f t="shared" si="32"/>
        <v>-1.4975981915795411E-2</v>
      </c>
      <c r="Z222" s="217">
        <f t="shared" si="32"/>
        <v>-9.7532989099253786E-3</v>
      </c>
      <c r="AA222" s="217">
        <f t="shared" si="32"/>
        <v>-4.6349942062572369E-3</v>
      </c>
      <c r="AB222" s="217">
        <f t="shared" si="32"/>
        <v>1.3096623981374567E-3</v>
      </c>
      <c r="AC222" s="217">
        <f t="shared" si="32"/>
        <v>1.6712687109432522E-3</v>
      </c>
      <c r="AD222" s="217">
        <f t="shared" si="32"/>
        <v>-8.4149437794703852E-3</v>
      </c>
      <c r="AE222" s="217">
        <f t="shared" si="32"/>
        <v>-1.9460092179384048E-2</v>
      </c>
      <c r="AF222" s="217">
        <f t="shared" si="32"/>
        <v>-2.283070954263966E-2</v>
      </c>
      <c r="AG222" s="217">
        <f t="shared" si="32"/>
        <v>-3.214476597694127E-2</v>
      </c>
      <c r="AH222" s="217">
        <f t="shared" si="32"/>
        <v>-3.0293467970968768E-2</v>
      </c>
      <c r="AI222" s="217">
        <f t="shared" si="32"/>
        <v>-2.3023104458184229E-2</v>
      </c>
      <c r="AJ222" s="217">
        <f t="shared" si="32"/>
        <v>-7.7441918561079737E-3</v>
      </c>
      <c r="AK222" s="217">
        <f t="shared" si="32"/>
        <v>5.7066129573681845E-3</v>
      </c>
      <c r="AL222" s="217">
        <f t="shared" si="32"/>
        <v>1.8858477970627563E-2</v>
      </c>
      <c r="AM222" s="217">
        <f t="shared" si="32"/>
        <v>2.6945126945126852E-2</v>
      </c>
      <c r="AN222" s="217">
        <f t="shared" si="32"/>
        <v>3.7961559933008981E-2</v>
      </c>
      <c r="AO222" s="217">
        <f t="shared" si="32"/>
        <v>3.3653476757587342E-2</v>
      </c>
      <c r="AP222" s="217">
        <f t="shared" si="32"/>
        <v>3.0625139374117261E-2</v>
      </c>
      <c r="AQ222" s="217">
        <f t="shared" si="32"/>
        <v>2.9426613775694221E-2</v>
      </c>
      <c r="AR222" s="217">
        <f t="shared" si="32"/>
        <v>2.8235129265045789E-2</v>
      </c>
      <c r="AS222" s="217">
        <f t="shared" si="32"/>
        <v>3.0253475061324586E-2</v>
      </c>
      <c r="AT222" s="217">
        <f t="shared" si="32"/>
        <v>3.4854497354497305E-2</v>
      </c>
      <c r="AU222" s="217">
        <f t="shared" si="32"/>
        <v>3.8857288937176548E-2</v>
      </c>
      <c r="AV222" s="217">
        <f t="shared" si="32"/>
        <v>4.0910489080282941E-2</v>
      </c>
      <c r="AW222" s="217">
        <f t="shared" si="32"/>
        <v>2.9905437352245823E-2</v>
      </c>
      <c r="AX222" s="217">
        <f t="shared" si="32"/>
        <v>1.9396304372776285E-2</v>
      </c>
      <c r="AY222" s="217">
        <f t="shared" si="32"/>
        <v>1.0020265705922071E-2</v>
      </c>
      <c r="AZ222" s="217">
        <f t="shared" si="32"/>
        <v>2.6752870360049474E-3</v>
      </c>
      <c r="BA222" s="217">
        <f t="shared" si="32"/>
        <v>-7.3374096720399962E-3</v>
      </c>
      <c r="BB222" s="217">
        <f t="shared" si="32"/>
        <v>-1.0583491992384397E-2</v>
      </c>
      <c r="BC222" s="217">
        <f t="shared" si="32"/>
        <v>-9.7911596581583549E-3</v>
      </c>
      <c r="BD222" s="217">
        <f t="shared" si="32"/>
        <v>-9.9451303155007054E-3</v>
      </c>
      <c r="BE222" s="217">
        <f t="shared" si="32"/>
        <v>-6.3503059692876507E-3</v>
      </c>
      <c r="BF222" s="217">
        <f t="shared" si="32"/>
        <v>-7.4366720892400373E-3</v>
      </c>
    </row>
    <row r="223" spans="1:58" x14ac:dyDescent="0.2">
      <c r="A223" s="320" t="s">
        <v>243</v>
      </c>
      <c r="B223" s="323"/>
      <c r="C223" s="322"/>
      <c r="D223" s="217">
        <f t="shared" ref="D223:BF223" si="33">SUM(D$72:D$97)/SUM(C$72:C$97)-1</f>
        <v>3.4417995195457518E-2</v>
      </c>
      <c r="E223" s="217">
        <f t="shared" si="33"/>
        <v>2.4996833171473165E-2</v>
      </c>
      <c r="F223" s="217">
        <f t="shared" si="33"/>
        <v>3.2173017507723944E-2</v>
      </c>
      <c r="G223" s="217">
        <f t="shared" si="33"/>
        <v>3.3924010217113665E-2</v>
      </c>
      <c r="H223" s="217">
        <f t="shared" si="33"/>
        <v>3.5706014050798984E-2</v>
      </c>
      <c r="I223" s="217">
        <f t="shared" si="33"/>
        <v>4.524617047445112E-2</v>
      </c>
      <c r="J223" s="217">
        <f t="shared" si="33"/>
        <v>4.1219468711000129E-2</v>
      </c>
      <c r="K223" s="217">
        <f t="shared" si="33"/>
        <v>3.8628814081709484E-2</v>
      </c>
      <c r="L223" s="217">
        <f t="shared" si="33"/>
        <v>3.715915460450403E-2</v>
      </c>
      <c r="M223" s="217">
        <f t="shared" si="33"/>
        <v>3.4683367243133256E-2</v>
      </c>
      <c r="N223" s="217">
        <f t="shared" si="33"/>
        <v>3.4043076166774267E-2</v>
      </c>
      <c r="O223" s="217">
        <f t="shared" si="33"/>
        <v>3.2773733471995303E-2</v>
      </c>
      <c r="P223" s="217">
        <f t="shared" si="33"/>
        <v>3.2913286149951038E-2</v>
      </c>
      <c r="Q223" s="217">
        <f t="shared" si="33"/>
        <v>3.2616567322154788E-2</v>
      </c>
      <c r="R223" s="217">
        <f t="shared" si="33"/>
        <v>3.3609365306287664E-2</v>
      </c>
      <c r="S223" s="217">
        <f t="shared" si="33"/>
        <v>3.3064537174769759E-2</v>
      </c>
      <c r="T223" s="217">
        <f t="shared" si="33"/>
        <v>3.1475774263628464E-2</v>
      </c>
      <c r="U223" s="217">
        <f t="shared" si="33"/>
        <v>3.284188871473348E-2</v>
      </c>
      <c r="V223" s="217">
        <f t="shared" si="33"/>
        <v>3.191615488582733E-2</v>
      </c>
      <c r="W223" s="217">
        <f t="shared" si="33"/>
        <v>3.2054964498265059E-2</v>
      </c>
      <c r="X223" s="217">
        <f t="shared" si="33"/>
        <v>3.1348799928752724E-2</v>
      </c>
      <c r="Y223" s="217">
        <f t="shared" si="33"/>
        <v>2.9057467294158368E-2</v>
      </c>
      <c r="Z223" s="217">
        <f t="shared" si="33"/>
        <v>2.6726525132164225E-2</v>
      </c>
      <c r="AA223" s="217">
        <f t="shared" si="33"/>
        <v>2.3027256752891079E-2</v>
      </c>
      <c r="AB223" s="217">
        <f t="shared" si="33"/>
        <v>2.0931115061215477E-2</v>
      </c>
      <c r="AC223" s="217">
        <f t="shared" si="33"/>
        <v>1.887825967877621E-2</v>
      </c>
      <c r="AD223" s="217">
        <f t="shared" si="33"/>
        <v>1.7914058599900251E-2</v>
      </c>
      <c r="AE223" s="217">
        <f t="shared" si="33"/>
        <v>1.7579930208431627E-2</v>
      </c>
      <c r="AF223" s="217">
        <f t="shared" si="33"/>
        <v>1.5904498859992122E-2</v>
      </c>
      <c r="AG223" s="217">
        <f t="shared" si="33"/>
        <v>1.5619012863789861E-2</v>
      </c>
      <c r="AH223" s="217">
        <f t="shared" si="33"/>
        <v>1.4031368462657845E-2</v>
      </c>
      <c r="AI223" s="217">
        <f t="shared" si="33"/>
        <v>1.1002444987775029E-2</v>
      </c>
      <c r="AJ223" s="217">
        <f t="shared" si="33"/>
        <v>8.2014615425056725E-3</v>
      </c>
      <c r="AK223" s="217">
        <f t="shared" si="33"/>
        <v>6.2227320922632057E-3</v>
      </c>
      <c r="AL223" s="217">
        <f t="shared" si="33"/>
        <v>4.3531586311733594E-3</v>
      </c>
      <c r="AM223" s="217">
        <f t="shared" si="33"/>
        <v>3.7839046456029646E-3</v>
      </c>
      <c r="AN223" s="217">
        <f t="shared" si="33"/>
        <v>2.8614999742979652E-3</v>
      </c>
      <c r="AO223" s="217">
        <f t="shared" si="33"/>
        <v>3.5709404045927151E-3</v>
      </c>
      <c r="AP223" s="217">
        <f t="shared" si="33"/>
        <v>4.5286616613038344E-3</v>
      </c>
      <c r="AQ223" s="217">
        <f t="shared" si="33"/>
        <v>5.5251427893496796E-3</v>
      </c>
      <c r="AR223" s="217">
        <f t="shared" si="33"/>
        <v>6.7926309224830561E-3</v>
      </c>
      <c r="AS223" s="217">
        <f t="shared" si="33"/>
        <v>8.2870153351637388E-3</v>
      </c>
      <c r="AT223" s="217">
        <f t="shared" si="33"/>
        <v>8.5177744201105909E-3</v>
      </c>
      <c r="AU223" s="217">
        <f t="shared" si="33"/>
        <v>9.0549884754691501E-3</v>
      </c>
      <c r="AV223" s="217">
        <f t="shared" si="33"/>
        <v>1.0181106216348601E-2</v>
      </c>
      <c r="AW223" s="217">
        <f t="shared" si="33"/>
        <v>1.1338307975579109E-2</v>
      </c>
      <c r="AX223" s="217">
        <f t="shared" si="33"/>
        <v>1.354286444359265E-2</v>
      </c>
      <c r="AY223" s="217">
        <f t="shared" si="33"/>
        <v>1.5158199924366622E-2</v>
      </c>
      <c r="AZ223" s="217">
        <f t="shared" si="33"/>
        <v>1.7011765436314441E-2</v>
      </c>
      <c r="BA223" s="217">
        <f t="shared" si="33"/>
        <v>1.8818106895393871E-2</v>
      </c>
      <c r="BB223" s="217">
        <f t="shared" si="33"/>
        <v>1.7556737323046967E-2</v>
      </c>
      <c r="BC223" s="217">
        <f t="shared" si="33"/>
        <v>1.7106599732065408E-2</v>
      </c>
      <c r="BD223" s="217">
        <f t="shared" si="33"/>
        <v>1.6326766923822955E-2</v>
      </c>
      <c r="BE223" s="217">
        <f t="shared" si="33"/>
        <v>1.6292350855205973E-2</v>
      </c>
      <c r="BF223" s="217">
        <f t="shared" si="33"/>
        <v>1.5484648477459784E-2</v>
      </c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5"/>
  <sheetViews>
    <sheetView workbookViewId="0">
      <pane xSplit="2" ySplit="2" topLeftCell="C3" activePane="bottomRight" state="frozen"/>
      <selection activeCell="J72" sqref="J72"/>
      <selection pane="topRight" activeCell="J72" sqref="J72"/>
      <selection pane="bottomLeft" activeCell="J72" sqref="J72"/>
      <selection pane="bottomRight" activeCell="N1" sqref="N1"/>
    </sheetView>
  </sheetViews>
  <sheetFormatPr defaultRowHeight="12.75" x14ac:dyDescent="0.2"/>
  <cols>
    <col min="1" max="1" width="40.7109375" customWidth="1"/>
    <col min="2" max="2" width="12.7109375" customWidth="1"/>
    <col min="3" max="58" width="8.7109375" customWidth="1"/>
  </cols>
  <sheetData>
    <row r="1" spans="1:58" ht="18.75" x14ac:dyDescent="0.3">
      <c r="A1" s="403" t="s">
        <v>1047</v>
      </c>
      <c r="C1" s="402"/>
      <c r="O1" s="402"/>
      <c r="Q1" s="210"/>
      <c r="R1" s="210"/>
      <c r="S1" s="210"/>
      <c r="T1" s="210"/>
    </row>
    <row r="2" spans="1:58" x14ac:dyDescent="0.2">
      <c r="B2" s="420" t="s">
        <v>1049</v>
      </c>
      <c r="C2" s="401" t="s">
        <v>444</v>
      </c>
      <c r="D2" s="401" t="s">
        <v>445</v>
      </c>
      <c r="E2" s="401" t="s">
        <v>446</v>
      </c>
      <c r="F2" s="401" t="s">
        <v>447</v>
      </c>
      <c r="G2" s="401" t="s">
        <v>448</v>
      </c>
      <c r="H2" s="401" t="s">
        <v>449</v>
      </c>
      <c r="I2" s="401" t="s">
        <v>450</v>
      </c>
      <c r="J2" s="401" t="s">
        <v>451</v>
      </c>
      <c r="K2" s="401" t="s">
        <v>452</v>
      </c>
      <c r="L2" s="401" t="s">
        <v>453</v>
      </c>
      <c r="M2" s="401" t="s">
        <v>454</v>
      </c>
      <c r="N2" s="401" t="s">
        <v>455</v>
      </c>
      <c r="O2" s="401" t="s">
        <v>456</v>
      </c>
      <c r="P2" s="401" t="s">
        <v>457</v>
      </c>
      <c r="Q2" s="401" t="s">
        <v>458</v>
      </c>
      <c r="R2" s="401" t="s">
        <v>459</v>
      </c>
      <c r="S2" s="401" t="s">
        <v>460</v>
      </c>
      <c r="T2" s="401" t="s">
        <v>461</v>
      </c>
      <c r="U2" s="401" t="s">
        <v>462</v>
      </c>
      <c r="V2" s="401" t="s">
        <v>463</v>
      </c>
      <c r="W2" s="401" t="s">
        <v>464</v>
      </c>
      <c r="X2" s="401" t="s">
        <v>465</v>
      </c>
      <c r="Y2" s="401" t="s">
        <v>466</v>
      </c>
      <c r="Z2" s="401" t="s">
        <v>467</v>
      </c>
      <c r="AA2" s="401" t="s">
        <v>468</v>
      </c>
      <c r="AB2" s="401" t="s">
        <v>469</v>
      </c>
      <c r="AC2" s="401" t="s">
        <v>470</v>
      </c>
      <c r="AD2" s="401" t="s">
        <v>471</v>
      </c>
      <c r="AE2" s="401" t="s">
        <v>472</v>
      </c>
      <c r="AF2" s="401" t="s">
        <v>473</v>
      </c>
      <c r="AG2" s="401" t="s">
        <v>474</v>
      </c>
      <c r="AH2" s="401" t="s">
        <v>475</v>
      </c>
      <c r="AI2" s="401" t="s">
        <v>476</v>
      </c>
      <c r="AJ2" s="401" t="s">
        <v>477</v>
      </c>
      <c r="AK2" s="401" t="s">
        <v>478</v>
      </c>
      <c r="AL2" s="401" t="s">
        <v>479</v>
      </c>
      <c r="AM2" s="401" t="s">
        <v>480</v>
      </c>
      <c r="AN2" s="401" t="s">
        <v>481</v>
      </c>
      <c r="AO2" s="401" t="s">
        <v>482</v>
      </c>
      <c r="AP2" s="401" t="s">
        <v>483</v>
      </c>
      <c r="AQ2" s="401" t="s">
        <v>484</v>
      </c>
      <c r="AR2" s="401" t="s">
        <v>485</v>
      </c>
      <c r="AS2" s="401" t="s">
        <v>486</v>
      </c>
      <c r="AT2" s="401" t="s">
        <v>487</v>
      </c>
      <c r="AU2" s="401" t="s">
        <v>488</v>
      </c>
      <c r="AV2" s="401" t="s">
        <v>489</v>
      </c>
      <c r="AW2" s="401" t="s">
        <v>490</v>
      </c>
      <c r="AX2" s="401" t="s">
        <v>491</v>
      </c>
      <c r="AY2" s="401" t="s">
        <v>492</v>
      </c>
      <c r="AZ2" s="401" t="s">
        <v>494</v>
      </c>
      <c r="BA2" s="401" t="s">
        <v>495</v>
      </c>
      <c r="BB2" s="401" t="s">
        <v>496</v>
      </c>
      <c r="BC2" s="401" t="s">
        <v>497</v>
      </c>
      <c r="BD2" s="401" t="s">
        <v>498</v>
      </c>
      <c r="BE2" s="401" t="s">
        <v>499</v>
      </c>
      <c r="BF2" s="401" t="s">
        <v>500</v>
      </c>
    </row>
    <row r="3" spans="1:58" x14ac:dyDescent="0.2"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2" t="s">
        <v>1061</v>
      </c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</row>
    <row r="4" spans="1:58" x14ac:dyDescent="0.2">
      <c r="A4" s="85" t="s">
        <v>952</v>
      </c>
      <c r="C4" s="388">
        <v>3225.1</v>
      </c>
      <c r="D4" s="388">
        <v>3276.4</v>
      </c>
      <c r="E4" s="388">
        <v>3316.1</v>
      </c>
      <c r="F4" s="388">
        <v>3355.1</v>
      </c>
      <c r="G4" s="388">
        <v>3403.9</v>
      </c>
      <c r="H4" s="388">
        <v>3447.9</v>
      </c>
      <c r="I4" s="388">
        <v>3478.6</v>
      </c>
      <c r="J4" s="389">
        <f>1000*Data!I$230</f>
        <v>3508.7000000000003</v>
      </c>
      <c r="K4" s="389">
        <f>1000*Data!J$230</f>
        <v>3545.7000000000003</v>
      </c>
      <c r="L4" s="389">
        <f>1000*Data!K$230</f>
        <v>3586.2</v>
      </c>
      <c r="M4" s="389">
        <f>1000*Data!L$230</f>
        <v>3626.3</v>
      </c>
      <c r="N4" s="389">
        <f>1000*Data!M$230</f>
        <v>3664.2999999999997</v>
      </c>
      <c r="O4" s="390">
        <f>N$4*SUM(Popn!O$22:O$97,Popn!O$116:O$191)/SUM(Popn!N$22:N$97,Popn!N$116:N$191)</f>
        <v>3700.9662973524728</v>
      </c>
      <c r="P4" s="390">
        <f>O$4*SUM(Popn!P$22:P$97,Popn!P$116:P$191)/SUM(Popn!O$22:O$97,Popn!O$116:O$191)</f>
        <v>3738.8515279145186</v>
      </c>
      <c r="Q4" s="390">
        <f>P$4*SUM(Popn!Q$22:Q$97,Popn!Q$116:Q$191)/SUM(Popn!P$22:P$97,Popn!P$116:P$191)</f>
        <v>3775.8717091020294</v>
      </c>
      <c r="R4" s="390">
        <f>Q$4*SUM(Popn!R$22:R$97,Popn!R$116:R$191)/SUM(Popn!Q$22:Q$97,Popn!Q$116:Q$191)</f>
        <v>3813.6881289183739</v>
      </c>
      <c r="S4" s="390">
        <f>R$4*SUM(Popn!S$22:S$97,Popn!S$116:S$191)/SUM(Popn!R$22:R$97,Popn!R$116:R$191)</f>
        <v>3853.5688711057692</v>
      </c>
      <c r="T4" s="390">
        <f>S$4*SUM(Popn!T$22:T$97,Popn!T$116:T$191)/SUM(Popn!S$22:S$97,Popn!S$116:S$191)</f>
        <v>3895.0126002312459</v>
      </c>
      <c r="U4" s="390">
        <f>T$4*SUM(Popn!U$22:U$97,Popn!U$116:U$191)/SUM(Popn!T$22:T$97,Popn!T$116:T$191)</f>
        <v>3934.9424929512847</v>
      </c>
      <c r="V4" s="390">
        <f>U$4*SUM(Popn!V$22:V$97,Popn!V$116:V$191)/SUM(Popn!U$22:U$97,Popn!U$116:U$191)</f>
        <v>3974.7937448190937</v>
      </c>
      <c r="W4" s="390">
        <f>V$4*SUM(Popn!W$22:W$97,Popn!W$116:W$191)/SUM(Popn!V$22:V$97,Popn!V$116:V$191)</f>
        <v>4012.8952377247733</v>
      </c>
      <c r="X4" s="390">
        <f>W$4*SUM(Popn!X$22:X$97,Popn!X$116:X$191)/SUM(Popn!W$22:W$97,Popn!W$116:W$191)</f>
        <v>4048.8341071941145</v>
      </c>
      <c r="Y4" s="390">
        <f>X$4*SUM(Popn!Y$22:Y$97,Popn!Y$116:Y$191)/SUM(Popn!X$22:X$97,Popn!X$116:X$191)</f>
        <v>4084.1831702717268</v>
      </c>
      <c r="Z4" s="390">
        <f>Y$4*SUM(Popn!Z$22:Z$97,Popn!Z$116:Z$191)/SUM(Popn!Y$22:Y$97,Popn!Y$116:Y$191)</f>
        <v>4119.0014075967829</v>
      </c>
      <c r="AA4" s="390">
        <f>Z$4*SUM(Popn!AA$22:AA$97,Popn!AA$116:AA$191)/SUM(Popn!Z$22:Z$97,Popn!Z$116:Z$191)</f>
        <v>4153.4657610868016</v>
      </c>
      <c r="AB4" s="390">
        <f>AA$4*SUM(Popn!AB$22:AB$97,Popn!AB$116:AB$191)/SUM(Popn!AA$22:AA$97,Popn!AA$116:AA$191)</f>
        <v>4187.4091189307937</v>
      </c>
      <c r="AC4" s="390">
        <f>AB$4*SUM(Popn!AC$22:AC$97,Popn!AC$116:AC$191)/SUM(Popn!AB$22:AB$97,Popn!AB$116:AB$191)</f>
        <v>4220.9789327266908</v>
      </c>
      <c r="AD4" s="390">
        <f>AC$4*SUM(Popn!AD$22:AD$97,Popn!AD$116:AD$191)/SUM(Popn!AC$22:AC$97,Popn!AC$116:AC$191)</f>
        <v>4254.1260519418493</v>
      </c>
      <c r="AE4" s="390">
        <f>AD$4*SUM(Popn!AE$22:AE$97,Popn!AE$116:AE$191)/SUM(Popn!AD$22:AD$97,Popn!AD$116:AD$191)</f>
        <v>4286.929117428499</v>
      </c>
      <c r="AF4" s="390">
        <f>AE$4*SUM(Popn!AF$22:AF$97,Popn!AF$116:AF$191)/SUM(Popn!AE$22:AE$97,Popn!AE$116:AE$191)</f>
        <v>4319.1227163103622</v>
      </c>
      <c r="AG4" s="390">
        <f>AF$4*SUM(Popn!AG$22:AG$97,Popn!AG$116:AG$191)/SUM(Popn!AF$22:AF$97,Popn!AF$116:AF$191)</f>
        <v>4350.7461690135542</v>
      </c>
      <c r="AH4" s="390">
        <f>AG$4*SUM(Popn!AH$22:AH$97,Popn!AH$116:AH$191)/SUM(Popn!AG$22:AG$97,Popn!AG$116:AG$191)</f>
        <v>4381.8486260707186</v>
      </c>
      <c r="AI4" s="390">
        <f>AH$4*SUM(Popn!AI$22:AI$97,Popn!AI$116:AI$191)/SUM(Popn!AH$22:AH$97,Popn!AH$116:AH$191)</f>
        <v>4412.2728057773957</v>
      </c>
      <c r="AJ4" s="390">
        <f>AI$4*SUM(Popn!AJ$22:AJ$97,Popn!AJ$116:AJ$191)/SUM(Popn!AI$22:AI$97,Popn!AI$116:AI$191)</f>
        <v>4441.9597274944117</v>
      </c>
      <c r="AK4" s="390">
        <f>AJ$4*SUM(Popn!AK$22:AK$97,Popn!AK$116:AK$191)/SUM(Popn!AJ$22:AJ$97,Popn!AJ$116:AJ$191)</f>
        <v>4470.8799009021805</v>
      </c>
      <c r="AL4" s="390">
        <f>AK$4*SUM(Popn!AL$22:AL$97,Popn!AL$116:AL$191)/SUM(Popn!AK$22:AK$97,Popn!AK$116:AK$191)</f>
        <v>4499.0824765333455</v>
      </c>
      <c r="AM4" s="390">
        <f>AL$4*SUM(Popn!AM$22:AM$97,Popn!AM$116:AM$191)/SUM(Popn!AL$22:AL$97,Popn!AL$116:AL$191)</f>
        <v>4526.4298328965042</v>
      </c>
      <c r="AN4" s="390">
        <f>AM$4*SUM(Popn!AN$22:AN$97,Popn!AN$116:AN$191)/SUM(Popn!AM$22:AM$97,Popn!AM$116:AM$191)</f>
        <v>4553.0202710569438</v>
      </c>
      <c r="AO4" s="390">
        <f>AN$4*SUM(Popn!AO$22:AO$97,Popn!AO$116:AO$191)/SUM(Popn!AN$22:AN$97,Popn!AN$116:AN$191)</f>
        <v>4578.6473587775599</v>
      </c>
      <c r="AP4" s="390">
        <f>AO$4*SUM(Popn!AP$22:AP$97,Popn!AP$116:AP$191)/SUM(Popn!AO$22:AO$97,Popn!AO$116:AO$191)</f>
        <v>4603.5470186150442</v>
      </c>
      <c r="AQ4" s="390">
        <f>AP$4*SUM(Popn!AQ$22:AQ$97,Popn!AQ$116:AQ$191)/SUM(Popn!AP$22:AP$97,Popn!AP$116:AP$191)</f>
        <v>4627.5029882257622</v>
      </c>
      <c r="AR4" s="390">
        <f>AQ$4*SUM(Popn!AR$22:AR$97,Popn!AR$116:AR$191)/SUM(Popn!AQ$22:AQ$97,Popn!AQ$116:AQ$191)</f>
        <v>4650.7413600598766</v>
      </c>
      <c r="AS4" s="390">
        <f>AR$4*SUM(Popn!AS$22:AS$97,Popn!AS$116:AS$191)/SUM(Popn!AR$22:AR$97,Popn!AR$116:AR$191)</f>
        <v>4673.1146825194555</v>
      </c>
      <c r="AT4" s="390">
        <f>AS$4*SUM(Popn!AT$22:AT$97,Popn!AT$116:AT$191)/SUM(Popn!AS$22:AS$97,Popn!AS$116:AS$191)</f>
        <v>4694.9473491199496</v>
      </c>
      <c r="AU4" s="390">
        <f>AT$4*SUM(Popn!AU$22:AU$97,Popn!AU$116:AU$191)/SUM(Popn!AT$22:AT$97,Popn!AT$116:AT$191)</f>
        <v>4716.2196996483008</v>
      </c>
      <c r="AV4" s="390">
        <f>AU$4*SUM(Popn!AV$22:AV$97,Popn!AV$116:AV$191)/SUM(Popn!AU$22:AU$97,Popn!AU$116:AU$191)</f>
        <v>4737.128336235086</v>
      </c>
      <c r="AW4" s="390">
        <f>AV$4*SUM(Popn!AW$22:AW$97,Popn!AW$116:AW$191)/SUM(Popn!AV$22:AV$97,Popn!AV$116:AV$191)</f>
        <v>4757.751899732536</v>
      </c>
      <c r="AX4" s="390">
        <f>AW$4*SUM(Popn!AX$22:AX$97,Popn!AX$116:AX$191)/SUM(Popn!AW$22:AW$97,Popn!AW$116:AW$191)</f>
        <v>4778.1002202471791</v>
      </c>
      <c r="AY4" s="390">
        <f>AX$4*SUM(Popn!AY$22:AY$97,Popn!AY$116:AY$191)/SUM(Popn!AX$22:AX$97,Popn!AX$116:AX$191)</f>
        <v>4798.3698999095923</v>
      </c>
      <c r="AZ4" s="390">
        <f>AY$4*SUM(Popn!AZ$22:AZ$97,Popn!AZ$116:AZ$191)/SUM(Popn!AY$22:AY$97,Popn!AY$116:AY$191)</f>
        <v>4818.7083903177063</v>
      </c>
      <c r="BA4" s="390">
        <f>AZ$4*SUM(Popn!BA$22:BA$97,Popn!BA$116:BA$191)/SUM(Popn!AZ$22:AZ$97,Popn!AZ$116:AZ$191)</f>
        <v>4839.0468807258212</v>
      </c>
      <c r="BB4" s="390">
        <f>BA$4*SUM(Popn!BB$22:BB$97,Popn!BB$116:BB$191)/SUM(Popn!BA$22:BA$97,Popn!BA$116:BA$191)</f>
        <v>4859.464011986166</v>
      </c>
      <c r="BC4" s="390">
        <f>BB$4*SUM(Popn!BC$22:BC$97,Popn!BC$116:BC$191)/SUM(Popn!BB$22:BB$97,Popn!BB$116:BB$191)</f>
        <v>4880.0679152705588</v>
      </c>
      <c r="BD4" s="390">
        <f>BC$4*SUM(Popn!BD$22:BD$97,Popn!BD$116:BD$191)/SUM(Popn!BC$22:BC$97,Popn!BC$116:BC$191)</f>
        <v>4900.789779833297</v>
      </c>
      <c r="BE4" s="390">
        <f>BD$4*SUM(Popn!BE$22:BE$97,Popn!BE$116:BE$191)/SUM(Popn!BD$22:BD$97,Popn!BD$116:BD$191)</f>
        <v>4921.786887378842</v>
      </c>
      <c r="BF4" s="390">
        <f>BE$4*SUM(Popn!BF$22:BF$97,Popn!BF$116:BF$191)/SUM(Popn!BE$22:BE$97,Popn!BE$116:BE$191)</f>
        <v>4942.9216164157906</v>
      </c>
    </row>
    <row r="5" spans="1:58" x14ac:dyDescent="0.2">
      <c r="A5" s="85" t="s">
        <v>953</v>
      </c>
      <c r="C5" s="388">
        <v>2200.3000000000002</v>
      </c>
      <c r="D5" s="388">
        <v>2238.5</v>
      </c>
      <c r="E5" s="388">
        <v>2261.8000000000002</v>
      </c>
      <c r="F5" s="388">
        <v>2302</v>
      </c>
      <c r="G5" s="388">
        <v>2317</v>
      </c>
      <c r="H5" s="388">
        <v>2355</v>
      </c>
      <c r="I5" s="388">
        <v>2381</v>
      </c>
      <c r="J5" s="389">
        <f>1000*Data!I$229</f>
        <v>2395.7000000000003</v>
      </c>
      <c r="K5" s="389">
        <f>1000*Data!J$229</f>
        <v>2425.8000000000002</v>
      </c>
      <c r="L5" s="389">
        <f>1000*Data!K$229</f>
        <v>2458.6999999999998</v>
      </c>
      <c r="M5" s="389">
        <f>1000*Data!L$229</f>
        <v>2484.9</v>
      </c>
      <c r="N5" s="389">
        <f>1000*Data!M$229</f>
        <v>2510.2000000000003</v>
      </c>
      <c r="O5" s="390">
        <f t="shared" ref="O5:BF5" si="0">N$5*O$147/N$147</f>
        <v>2538.6849417987769</v>
      </c>
      <c r="P5" s="390">
        <f t="shared" si="0"/>
        <v>2565.9850510235929</v>
      </c>
      <c r="Q5" s="390">
        <f t="shared" si="0"/>
        <v>2591.698855479965</v>
      </c>
      <c r="R5" s="390">
        <f t="shared" si="0"/>
        <v>2616.4040834477596</v>
      </c>
      <c r="S5" s="390">
        <f t="shared" si="0"/>
        <v>2640.639295187867</v>
      </c>
      <c r="T5" s="390">
        <f t="shared" si="0"/>
        <v>2664.9234669516918</v>
      </c>
      <c r="U5" s="390">
        <f t="shared" si="0"/>
        <v>2688.434070340782</v>
      </c>
      <c r="V5" s="390">
        <f t="shared" si="0"/>
        <v>2711.5040335164153</v>
      </c>
      <c r="W5" s="390">
        <f t="shared" si="0"/>
        <v>2733.3304120896273</v>
      </c>
      <c r="X5" s="390">
        <f t="shared" si="0"/>
        <v>2753.6292379228571</v>
      </c>
      <c r="Y5" s="390">
        <f t="shared" si="0"/>
        <v>2772.7823992010995</v>
      </c>
      <c r="Z5" s="390">
        <f t="shared" si="0"/>
        <v>2790.9661520097375</v>
      </c>
      <c r="AA5" s="390">
        <f t="shared" si="0"/>
        <v>2808.1804963487716</v>
      </c>
      <c r="AB5" s="390">
        <f t="shared" si="0"/>
        <v>2824.9052404506315</v>
      </c>
      <c r="AC5" s="390">
        <f t="shared" si="0"/>
        <v>2841.2285123580091</v>
      </c>
      <c r="AD5" s="390">
        <f t="shared" si="0"/>
        <v>2857.1796880851348</v>
      </c>
      <c r="AE5" s="390">
        <f t="shared" si="0"/>
        <v>2872.7489756272639</v>
      </c>
      <c r="AF5" s="390">
        <f t="shared" si="0"/>
        <v>2887.9461669891416</v>
      </c>
      <c r="AG5" s="390">
        <f t="shared" si="0"/>
        <v>2902.8691822182018</v>
      </c>
      <c r="AH5" s="390">
        <f t="shared" si="0"/>
        <v>2917.5376053239315</v>
      </c>
      <c r="AI5" s="390">
        <f t="shared" si="0"/>
        <v>2932.2549884533787</v>
      </c>
      <c r="AJ5" s="390">
        <f t="shared" si="0"/>
        <v>2947.0898756397473</v>
      </c>
      <c r="AK5" s="390">
        <f t="shared" si="0"/>
        <v>2962.3262350205991</v>
      </c>
      <c r="AL5" s="390">
        <f t="shared" si="0"/>
        <v>2977.7878105105506</v>
      </c>
      <c r="AM5" s="390">
        <f t="shared" si="0"/>
        <v>2993.5529381475499</v>
      </c>
      <c r="AN5" s="390">
        <f t="shared" si="0"/>
        <v>3009.5726579078796</v>
      </c>
      <c r="AO5" s="390">
        <f t="shared" si="0"/>
        <v>3025.6217536824397</v>
      </c>
      <c r="AP5" s="390">
        <f t="shared" si="0"/>
        <v>3041.5533454000779</v>
      </c>
      <c r="AQ5" s="390">
        <f t="shared" si="0"/>
        <v>3056.9855448757985</v>
      </c>
      <c r="AR5" s="390">
        <f t="shared" si="0"/>
        <v>3072.0848161902413</v>
      </c>
      <c r="AS5" s="390">
        <f t="shared" si="0"/>
        <v>3086.6749032580233</v>
      </c>
      <c r="AT5" s="390">
        <f t="shared" si="0"/>
        <v>3100.5012139558139</v>
      </c>
      <c r="AU5" s="390">
        <f t="shared" si="0"/>
        <v>3113.7008363500217</v>
      </c>
      <c r="AV5" s="390">
        <f t="shared" si="0"/>
        <v>3126.1464743789825</v>
      </c>
      <c r="AW5" s="390">
        <f t="shared" si="0"/>
        <v>3137.7304159905166</v>
      </c>
      <c r="AX5" s="390">
        <f t="shared" si="0"/>
        <v>3148.5309972225723</v>
      </c>
      <c r="AY5" s="390">
        <f t="shared" si="0"/>
        <v>3158.871354231685</v>
      </c>
      <c r="AZ5" s="390">
        <f t="shared" si="0"/>
        <v>3168.5458549182413</v>
      </c>
      <c r="BA5" s="390">
        <f t="shared" si="0"/>
        <v>3177.6230433154446</v>
      </c>
      <c r="BB5" s="390">
        <f t="shared" si="0"/>
        <v>3186.034375390092</v>
      </c>
      <c r="BC5" s="390">
        <f t="shared" si="0"/>
        <v>3194.054027275</v>
      </c>
      <c r="BD5" s="390">
        <f t="shared" si="0"/>
        <v>3201.8092950318351</v>
      </c>
      <c r="BE5" s="390">
        <f t="shared" si="0"/>
        <v>3209.4764347459782</v>
      </c>
      <c r="BF5" s="390">
        <f t="shared" si="0"/>
        <v>3216.928150355765</v>
      </c>
    </row>
    <row r="6" spans="1:58" x14ac:dyDescent="0.2">
      <c r="A6" s="85" t="s">
        <v>954</v>
      </c>
      <c r="C6" s="391">
        <f>C$5/C$4</f>
        <v>0.6822424110880283</v>
      </c>
      <c r="D6" s="391">
        <f t="shared" ref="D6:BF6" si="1">D$5/D$4</f>
        <v>0.6832193871322183</v>
      </c>
      <c r="E6" s="391">
        <f t="shared" si="1"/>
        <v>0.68206628268146319</v>
      </c>
      <c r="F6" s="391">
        <f t="shared" si="1"/>
        <v>0.68611963875890436</v>
      </c>
      <c r="G6" s="391">
        <f t="shared" si="1"/>
        <v>0.6806897969975616</v>
      </c>
      <c r="H6" s="391">
        <f t="shared" si="1"/>
        <v>0.68302444966501352</v>
      </c>
      <c r="I6" s="391">
        <f t="shared" si="1"/>
        <v>0.68447076410050023</v>
      </c>
      <c r="J6" s="392">
        <f t="shared" si="1"/>
        <v>0.68278849716419188</v>
      </c>
      <c r="K6" s="392">
        <f t="shared" si="1"/>
        <v>0.68415263558676709</v>
      </c>
      <c r="L6" s="392">
        <f t="shared" si="1"/>
        <v>0.68560035692376331</v>
      </c>
      <c r="M6" s="392">
        <f t="shared" si="1"/>
        <v>0.68524391252792105</v>
      </c>
      <c r="N6" s="392">
        <f t="shared" si="1"/>
        <v>0.68504216357830972</v>
      </c>
      <c r="O6" s="393">
        <f t="shared" si="1"/>
        <v>0.68595192115498416</v>
      </c>
      <c r="P6" s="393">
        <f t="shared" si="1"/>
        <v>0.68630300825421253</v>
      </c>
      <c r="Q6" s="393">
        <f t="shared" si="1"/>
        <v>0.68638424585042845</v>
      </c>
      <c r="R6" s="393">
        <f t="shared" si="1"/>
        <v>0.68605612074257782</v>
      </c>
      <c r="S6" s="393">
        <f t="shared" si="1"/>
        <v>0.68524512822062111</v>
      </c>
      <c r="T6" s="393">
        <f t="shared" si="1"/>
        <v>0.68418866393230049</v>
      </c>
      <c r="U6" s="393">
        <f t="shared" si="1"/>
        <v>0.68322067607254999</v>
      </c>
      <c r="V6" s="393">
        <f t="shared" si="1"/>
        <v>0.68217477625114487</v>
      </c>
      <c r="W6" s="393">
        <f t="shared" si="1"/>
        <v>0.68113674795043189</v>
      </c>
      <c r="X6" s="393">
        <f t="shared" si="1"/>
        <v>0.68010423865727399</v>
      </c>
      <c r="Y6" s="393">
        <f t="shared" si="1"/>
        <v>0.67890745434334232</v>
      </c>
      <c r="Z6" s="393">
        <f t="shared" si="1"/>
        <v>0.67758319937989941</v>
      </c>
      <c r="AA6" s="393">
        <f t="shared" si="1"/>
        <v>0.67610536787330566</v>
      </c>
      <c r="AB6" s="393">
        <f t="shared" si="1"/>
        <v>0.6746188777398322</v>
      </c>
      <c r="AC6" s="393">
        <f t="shared" si="1"/>
        <v>0.6731207517595017</v>
      </c>
      <c r="AD6" s="393">
        <f t="shared" si="1"/>
        <v>0.67162553558584359</v>
      </c>
      <c r="AE6" s="393">
        <f t="shared" si="1"/>
        <v>0.67011814213305054</v>
      </c>
      <c r="AF6" s="393">
        <f t="shared" si="1"/>
        <v>0.6686418415673514</v>
      </c>
      <c r="AG6" s="393">
        <f t="shared" si="1"/>
        <v>0.66721179987302504</v>
      </c>
      <c r="AH6" s="393">
        <f t="shared" si="1"/>
        <v>0.66582345815540855</v>
      </c>
      <c r="AI6" s="393">
        <f t="shared" si="1"/>
        <v>0.66456792622022531</v>
      </c>
      <c r="AJ6" s="393">
        <f t="shared" si="1"/>
        <v>0.66346614027095652</v>
      </c>
      <c r="AK6" s="393">
        <f t="shared" si="1"/>
        <v>0.66258237767085404</v>
      </c>
      <c r="AL6" s="393">
        <f t="shared" si="1"/>
        <v>0.66186557504609467</v>
      </c>
      <c r="AM6" s="393">
        <f t="shared" si="1"/>
        <v>0.66134968367154556</v>
      </c>
      <c r="AN6" s="393">
        <f t="shared" si="1"/>
        <v>0.66100576732315619</v>
      </c>
      <c r="AO6" s="393">
        <f t="shared" si="1"/>
        <v>0.66081126511788013</v>
      </c>
      <c r="AP6" s="393">
        <f t="shared" si="1"/>
        <v>0.66069779087759051</v>
      </c>
      <c r="AQ6" s="393">
        <f t="shared" si="1"/>
        <v>0.66061233296963939</v>
      </c>
      <c r="AR6" s="393">
        <f t="shared" si="1"/>
        <v>0.66055808705532693</v>
      </c>
      <c r="AS6" s="393">
        <f t="shared" si="1"/>
        <v>0.66051768744392947</v>
      </c>
      <c r="AT6" s="393">
        <f t="shared" si="1"/>
        <v>0.66039105093201766</v>
      </c>
      <c r="AU6" s="393">
        <f t="shared" si="1"/>
        <v>0.66021115101618733</v>
      </c>
      <c r="AV6" s="393">
        <f t="shared" si="1"/>
        <v>0.65992437875633769</v>
      </c>
      <c r="AW6" s="393">
        <f t="shared" si="1"/>
        <v>0.65949853672843017</v>
      </c>
      <c r="AX6" s="393">
        <f t="shared" si="1"/>
        <v>0.65895038866717059</v>
      </c>
      <c r="AY6" s="393">
        <f t="shared" si="1"/>
        <v>0.65832176762596029</v>
      </c>
      <c r="AZ6" s="393">
        <f t="shared" si="1"/>
        <v>0.65755086182115563</v>
      </c>
      <c r="BA6" s="393">
        <f t="shared" si="1"/>
        <v>0.65666300030530489</v>
      </c>
      <c r="BB6" s="393">
        <f t="shared" si="1"/>
        <v>0.65563493577306942</v>
      </c>
      <c r="BC6" s="393">
        <f t="shared" si="1"/>
        <v>0.65451015902468568</v>
      </c>
      <c r="BD6" s="393">
        <f t="shared" si="1"/>
        <v>0.65332516571252452</v>
      </c>
      <c r="BE6" s="393">
        <f t="shared" si="1"/>
        <v>0.65209577500728078</v>
      </c>
      <c r="BF6" s="393">
        <f t="shared" si="1"/>
        <v>0.65081512514220741</v>
      </c>
    </row>
    <row r="7" spans="1:58" x14ac:dyDescent="0.2">
      <c r="A7" s="85"/>
    </row>
    <row r="8" spans="1:58" ht="18.75" x14ac:dyDescent="0.3">
      <c r="A8" s="350" t="s">
        <v>975</v>
      </c>
      <c r="B8" s="351"/>
      <c r="C8" s="352"/>
      <c r="D8" s="351"/>
      <c r="E8" s="351"/>
      <c r="F8" s="352"/>
      <c r="G8" s="35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58" x14ac:dyDescent="0.2">
      <c r="A9" s="395" t="s">
        <v>439</v>
      </c>
      <c r="B9" s="247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</row>
    <row r="10" spans="1:58" x14ac:dyDescent="0.2">
      <c r="A10" s="397" t="s">
        <v>20</v>
      </c>
      <c r="B10" s="247"/>
      <c r="C10" s="398">
        <v>11240</v>
      </c>
      <c r="D10" s="398">
        <v>11020</v>
      </c>
      <c r="E10" s="398">
        <v>10890</v>
      </c>
      <c r="F10" s="398">
        <v>8520</v>
      </c>
      <c r="G10" s="398">
        <v>7210</v>
      </c>
      <c r="H10" s="398">
        <v>6590</v>
      </c>
      <c r="I10" s="398">
        <v>6320</v>
      </c>
      <c r="J10" s="398">
        <v>6380</v>
      </c>
      <c r="K10" s="398">
        <v>6390</v>
      </c>
      <c r="L10" s="398">
        <v>6710</v>
      </c>
      <c r="M10" s="398">
        <v>6820</v>
      </c>
      <c r="N10" s="398">
        <v>6710</v>
      </c>
      <c r="O10" s="398">
        <v>6960</v>
      </c>
      <c r="P10" s="398">
        <v>7250</v>
      </c>
      <c r="Q10" s="398">
        <v>7260</v>
      </c>
      <c r="R10" s="398">
        <v>7420</v>
      </c>
      <c r="S10" s="398">
        <v>7750</v>
      </c>
      <c r="T10" s="398">
        <v>8050</v>
      </c>
      <c r="U10" s="398">
        <v>7970</v>
      </c>
      <c r="V10" s="398">
        <v>7930</v>
      </c>
      <c r="W10" s="398">
        <v>7790</v>
      </c>
      <c r="X10" s="398">
        <v>7600</v>
      </c>
      <c r="Y10" s="398">
        <v>7600</v>
      </c>
      <c r="Z10" s="398">
        <v>7620</v>
      </c>
      <c r="AA10" s="398">
        <v>7660</v>
      </c>
      <c r="AB10" s="398">
        <v>7700</v>
      </c>
      <c r="AC10" s="398">
        <v>7750</v>
      </c>
      <c r="AD10" s="398">
        <v>7800</v>
      </c>
      <c r="AE10" s="398">
        <v>7850</v>
      </c>
      <c r="AF10" s="398">
        <v>7890</v>
      </c>
      <c r="AG10" s="398">
        <v>7930</v>
      </c>
      <c r="AH10" s="398">
        <v>7960</v>
      </c>
      <c r="AI10" s="398">
        <v>7980</v>
      </c>
      <c r="AJ10" s="398">
        <v>8000</v>
      </c>
      <c r="AK10" s="398">
        <v>8000</v>
      </c>
      <c r="AL10" s="398">
        <v>8000</v>
      </c>
      <c r="AM10" s="398">
        <v>8000</v>
      </c>
      <c r="AN10" s="398">
        <v>7980</v>
      </c>
      <c r="AO10" s="398">
        <v>7970</v>
      </c>
      <c r="AP10" s="398">
        <v>7950</v>
      </c>
      <c r="AQ10" s="398">
        <v>7920</v>
      </c>
      <c r="AR10" s="398">
        <v>7900</v>
      </c>
      <c r="AS10" s="398">
        <v>7890</v>
      </c>
      <c r="AT10" s="398">
        <v>7880</v>
      </c>
      <c r="AU10" s="398">
        <v>7880</v>
      </c>
      <c r="AV10" s="398">
        <v>7890</v>
      </c>
      <c r="AW10" s="398">
        <v>7900</v>
      </c>
      <c r="AX10" s="398">
        <v>7920</v>
      </c>
      <c r="AY10" s="398">
        <v>7950</v>
      </c>
      <c r="AZ10" s="398">
        <v>7970</v>
      </c>
      <c r="BA10" s="398">
        <v>8000</v>
      </c>
      <c r="BB10" s="398">
        <v>8020</v>
      </c>
      <c r="BC10" s="398">
        <v>8050</v>
      </c>
      <c r="BD10" s="398">
        <v>8070</v>
      </c>
      <c r="BE10" s="398">
        <v>8080</v>
      </c>
      <c r="BF10" s="398">
        <v>8100</v>
      </c>
    </row>
    <row r="11" spans="1:58" x14ac:dyDescent="0.2">
      <c r="A11" s="397" t="s">
        <v>21</v>
      </c>
      <c r="B11" s="247"/>
      <c r="C11" s="398">
        <v>15520</v>
      </c>
      <c r="D11" s="398">
        <v>16060</v>
      </c>
      <c r="E11" s="398">
        <v>15720</v>
      </c>
      <c r="F11" s="398">
        <v>12820</v>
      </c>
      <c r="G11" s="398">
        <v>10930</v>
      </c>
      <c r="H11" s="398">
        <v>10260</v>
      </c>
      <c r="I11" s="398">
        <v>10100</v>
      </c>
      <c r="J11" s="398">
        <v>9790</v>
      </c>
      <c r="K11" s="398">
        <v>10020</v>
      </c>
      <c r="L11" s="398">
        <v>10190</v>
      </c>
      <c r="M11" s="398">
        <v>10950</v>
      </c>
      <c r="N11" s="398">
        <v>11150</v>
      </c>
      <c r="O11" s="398">
        <v>10960</v>
      </c>
      <c r="P11" s="398">
        <v>11350</v>
      </c>
      <c r="Q11" s="398">
        <v>11760</v>
      </c>
      <c r="R11" s="398">
        <v>11730</v>
      </c>
      <c r="S11" s="398">
        <v>11940</v>
      </c>
      <c r="T11" s="398">
        <v>12460</v>
      </c>
      <c r="U11" s="398">
        <v>12940</v>
      </c>
      <c r="V11" s="398">
        <v>12810</v>
      </c>
      <c r="W11" s="398">
        <v>12750</v>
      </c>
      <c r="X11" s="398">
        <v>12530</v>
      </c>
      <c r="Y11" s="398">
        <v>12220</v>
      </c>
      <c r="Z11" s="398">
        <v>12230</v>
      </c>
      <c r="AA11" s="398">
        <v>12260</v>
      </c>
      <c r="AB11" s="398">
        <v>12320</v>
      </c>
      <c r="AC11" s="398">
        <v>12390</v>
      </c>
      <c r="AD11" s="398">
        <v>12470</v>
      </c>
      <c r="AE11" s="398">
        <v>12550</v>
      </c>
      <c r="AF11" s="398">
        <v>12620</v>
      </c>
      <c r="AG11" s="398">
        <v>12690</v>
      </c>
      <c r="AH11" s="398">
        <v>12750</v>
      </c>
      <c r="AI11" s="398">
        <v>12800</v>
      </c>
      <c r="AJ11" s="398">
        <v>12830</v>
      </c>
      <c r="AK11" s="398">
        <v>12860</v>
      </c>
      <c r="AL11" s="398">
        <v>12870</v>
      </c>
      <c r="AM11" s="398">
        <v>12870</v>
      </c>
      <c r="AN11" s="398">
        <v>12860</v>
      </c>
      <c r="AO11" s="398">
        <v>12840</v>
      </c>
      <c r="AP11" s="398">
        <v>12810</v>
      </c>
      <c r="AQ11" s="398">
        <v>12780</v>
      </c>
      <c r="AR11" s="398">
        <v>12740</v>
      </c>
      <c r="AS11" s="398">
        <v>12710</v>
      </c>
      <c r="AT11" s="398">
        <v>12680</v>
      </c>
      <c r="AU11" s="398">
        <v>12670</v>
      </c>
      <c r="AV11" s="398">
        <v>12670</v>
      </c>
      <c r="AW11" s="398">
        <v>12680</v>
      </c>
      <c r="AX11" s="398">
        <v>12700</v>
      </c>
      <c r="AY11" s="398">
        <v>12740</v>
      </c>
      <c r="AZ11" s="398">
        <v>12780</v>
      </c>
      <c r="BA11" s="398">
        <v>12820</v>
      </c>
      <c r="BB11" s="398">
        <v>12860</v>
      </c>
      <c r="BC11" s="398">
        <v>12900</v>
      </c>
      <c r="BD11" s="398">
        <v>12940</v>
      </c>
      <c r="BE11" s="398">
        <v>12970</v>
      </c>
      <c r="BF11" s="398">
        <v>13000</v>
      </c>
    </row>
    <row r="12" spans="1:58" x14ac:dyDescent="0.2">
      <c r="A12" s="397" t="s">
        <v>22</v>
      </c>
      <c r="B12" s="247"/>
      <c r="C12" s="398">
        <v>18690</v>
      </c>
      <c r="D12" s="398">
        <v>19260</v>
      </c>
      <c r="E12" s="398">
        <v>19960</v>
      </c>
      <c r="F12" s="398">
        <v>17420</v>
      </c>
      <c r="G12" s="398">
        <v>16040</v>
      </c>
      <c r="H12" s="398">
        <v>15200</v>
      </c>
      <c r="I12" s="398">
        <v>15150</v>
      </c>
      <c r="J12" s="398">
        <v>14950</v>
      </c>
      <c r="K12" s="398">
        <v>14470</v>
      </c>
      <c r="L12" s="398">
        <v>14700</v>
      </c>
      <c r="M12" s="398">
        <v>14820</v>
      </c>
      <c r="N12" s="398">
        <v>15440</v>
      </c>
      <c r="O12" s="398">
        <v>15340</v>
      </c>
      <c r="P12" s="398">
        <v>14780</v>
      </c>
      <c r="Q12" s="398">
        <v>15090</v>
      </c>
      <c r="R12" s="398">
        <v>15470</v>
      </c>
      <c r="S12" s="398">
        <v>15360</v>
      </c>
      <c r="T12" s="398">
        <v>15630</v>
      </c>
      <c r="U12" s="398">
        <v>16320</v>
      </c>
      <c r="V12" s="398">
        <v>16930</v>
      </c>
      <c r="W12" s="398">
        <v>16770</v>
      </c>
      <c r="X12" s="398">
        <v>16690</v>
      </c>
      <c r="Y12" s="398">
        <v>16400</v>
      </c>
      <c r="Z12" s="398">
        <v>16000</v>
      </c>
      <c r="AA12" s="398">
        <v>16010</v>
      </c>
      <c r="AB12" s="398">
        <v>16050</v>
      </c>
      <c r="AC12" s="398">
        <v>16130</v>
      </c>
      <c r="AD12" s="398">
        <v>16220</v>
      </c>
      <c r="AE12" s="398">
        <v>16320</v>
      </c>
      <c r="AF12" s="398">
        <v>16430</v>
      </c>
      <c r="AG12" s="398">
        <v>16520</v>
      </c>
      <c r="AH12" s="398">
        <v>16620</v>
      </c>
      <c r="AI12" s="398">
        <v>16690</v>
      </c>
      <c r="AJ12" s="398">
        <v>16750</v>
      </c>
      <c r="AK12" s="398">
        <v>16800</v>
      </c>
      <c r="AL12" s="398">
        <v>16830</v>
      </c>
      <c r="AM12" s="398">
        <v>16850</v>
      </c>
      <c r="AN12" s="398">
        <v>16850</v>
      </c>
      <c r="AO12" s="398">
        <v>16830</v>
      </c>
      <c r="AP12" s="398">
        <v>16810</v>
      </c>
      <c r="AQ12" s="398">
        <v>16770</v>
      </c>
      <c r="AR12" s="398">
        <v>16730</v>
      </c>
      <c r="AS12" s="398">
        <v>16680</v>
      </c>
      <c r="AT12" s="398">
        <v>16640</v>
      </c>
      <c r="AU12" s="398">
        <v>16610</v>
      </c>
      <c r="AV12" s="398">
        <v>16590</v>
      </c>
      <c r="AW12" s="398">
        <v>16580</v>
      </c>
      <c r="AX12" s="398">
        <v>16600</v>
      </c>
      <c r="AY12" s="398">
        <v>16630</v>
      </c>
      <c r="AZ12" s="398">
        <v>16680</v>
      </c>
      <c r="BA12" s="398">
        <v>16730</v>
      </c>
      <c r="BB12" s="398">
        <v>16780</v>
      </c>
      <c r="BC12" s="398">
        <v>16840</v>
      </c>
      <c r="BD12" s="398">
        <v>16890</v>
      </c>
      <c r="BE12" s="398">
        <v>16940</v>
      </c>
      <c r="BF12" s="398">
        <v>16980</v>
      </c>
    </row>
    <row r="13" spans="1:58" x14ac:dyDescent="0.2">
      <c r="A13" s="397" t="s">
        <v>23</v>
      </c>
      <c r="B13" s="247"/>
      <c r="C13" s="398">
        <v>21800</v>
      </c>
      <c r="D13" s="398">
        <v>22350</v>
      </c>
      <c r="E13" s="398">
        <v>23040</v>
      </c>
      <c r="F13" s="398">
        <v>21710</v>
      </c>
      <c r="G13" s="398">
        <v>19990</v>
      </c>
      <c r="H13" s="398">
        <v>19310</v>
      </c>
      <c r="I13" s="398">
        <v>18950</v>
      </c>
      <c r="J13" s="398">
        <v>18990</v>
      </c>
      <c r="K13" s="398">
        <v>18850</v>
      </c>
      <c r="L13" s="398">
        <v>18350</v>
      </c>
      <c r="M13" s="398">
        <v>18790</v>
      </c>
      <c r="N13" s="398">
        <v>18850</v>
      </c>
      <c r="O13" s="398">
        <v>19560</v>
      </c>
      <c r="P13" s="398">
        <v>19350</v>
      </c>
      <c r="Q13" s="398">
        <v>18590</v>
      </c>
      <c r="R13" s="398">
        <v>18900</v>
      </c>
      <c r="S13" s="398">
        <v>19330</v>
      </c>
      <c r="T13" s="398">
        <v>19200</v>
      </c>
      <c r="U13" s="398">
        <v>19530</v>
      </c>
      <c r="V13" s="398">
        <v>20380</v>
      </c>
      <c r="W13" s="398">
        <v>21130</v>
      </c>
      <c r="X13" s="398">
        <v>20930</v>
      </c>
      <c r="Y13" s="398">
        <v>20840</v>
      </c>
      <c r="Z13" s="398">
        <v>20480</v>
      </c>
      <c r="AA13" s="398">
        <v>19980</v>
      </c>
      <c r="AB13" s="398">
        <v>19990</v>
      </c>
      <c r="AC13" s="398">
        <v>20050</v>
      </c>
      <c r="AD13" s="398">
        <v>20140</v>
      </c>
      <c r="AE13" s="398">
        <v>20260</v>
      </c>
      <c r="AF13" s="398">
        <v>20380</v>
      </c>
      <c r="AG13" s="398">
        <v>20510</v>
      </c>
      <c r="AH13" s="398">
        <v>20630</v>
      </c>
      <c r="AI13" s="398">
        <v>20740</v>
      </c>
      <c r="AJ13" s="398">
        <v>20840</v>
      </c>
      <c r="AK13" s="398">
        <v>20910</v>
      </c>
      <c r="AL13" s="398">
        <v>20970</v>
      </c>
      <c r="AM13" s="398">
        <v>21010</v>
      </c>
      <c r="AN13" s="398">
        <v>21030</v>
      </c>
      <c r="AO13" s="398">
        <v>21030</v>
      </c>
      <c r="AP13" s="398">
        <v>21010</v>
      </c>
      <c r="AQ13" s="398">
        <v>20980</v>
      </c>
      <c r="AR13" s="398">
        <v>20930</v>
      </c>
      <c r="AS13" s="398">
        <v>20880</v>
      </c>
      <c r="AT13" s="398">
        <v>20820</v>
      </c>
      <c r="AU13" s="398">
        <v>20770</v>
      </c>
      <c r="AV13" s="398">
        <v>20730</v>
      </c>
      <c r="AW13" s="398">
        <v>20710</v>
      </c>
      <c r="AX13" s="398">
        <v>20710</v>
      </c>
      <c r="AY13" s="398">
        <v>20730</v>
      </c>
      <c r="AZ13" s="398">
        <v>20770</v>
      </c>
      <c r="BA13" s="398">
        <v>20820</v>
      </c>
      <c r="BB13" s="398">
        <v>20890</v>
      </c>
      <c r="BC13" s="398">
        <v>20950</v>
      </c>
      <c r="BD13" s="398">
        <v>21020</v>
      </c>
      <c r="BE13" s="398">
        <v>21080</v>
      </c>
      <c r="BF13" s="398">
        <v>21140</v>
      </c>
    </row>
    <row r="14" spans="1:58" x14ac:dyDescent="0.2">
      <c r="A14" s="397" t="s">
        <v>24</v>
      </c>
      <c r="B14" s="247"/>
      <c r="C14" s="398">
        <v>22230</v>
      </c>
      <c r="D14" s="398">
        <v>22920</v>
      </c>
      <c r="E14" s="398">
        <v>23480</v>
      </c>
      <c r="F14" s="398">
        <v>24200</v>
      </c>
      <c r="G14" s="398">
        <v>25150</v>
      </c>
      <c r="H14" s="398">
        <v>24600</v>
      </c>
      <c r="I14" s="398">
        <v>24240</v>
      </c>
      <c r="J14" s="398">
        <v>23710</v>
      </c>
      <c r="K14" s="398">
        <v>23620</v>
      </c>
      <c r="L14" s="398">
        <v>23220</v>
      </c>
      <c r="M14" s="398">
        <v>22270</v>
      </c>
      <c r="N14" s="398">
        <v>22250</v>
      </c>
      <c r="O14" s="398">
        <v>21890</v>
      </c>
      <c r="P14" s="398">
        <v>22330</v>
      </c>
      <c r="Q14" s="398">
        <v>21840</v>
      </c>
      <c r="R14" s="398">
        <v>20830</v>
      </c>
      <c r="S14" s="398">
        <v>21080</v>
      </c>
      <c r="T14" s="398">
        <v>21500</v>
      </c>
      <c r="U14" s="398">
        <v>21310</v>
      </c>
      <c r="V14" s="398">
        <v>21630</v>
      </c>
      <c r="W14" s="398">
        <v>22500</v>
      </c>
      <c r="X14" s="398">
        <v>23280</v>
      </c>
      <c r="Y14" s="398">
        <v>23040</v>
      </c>
      <c r="Z14" s="398">
        <v>22910</v>
      </c>
      <c r="AA14" s="398">
        <v>22500</v>
      </c>
      <c r="AB14" s="398">
        <v>21950</v>
      </c>
      <c r="AC14" s="398">
        <v>21940</v>
      </c>
      <c r="AD14" s="398">
        <v>21990</v>
      </c>
      <c r="AE14" s="398">
        <v>22080</v>
      </c>
      <c r="AF14" s="398">
        <v>22200</v>
      </c>
      <c r="AG14" s="398">
        <v>22330</v>
      </c>
      <c r="AH14" s="398">
        <v>22460</v>
      </c>
      <c r="AI14" s="398">
        <v>22600</v>
      </c>
      <c r="AJ14" s="398">
        <v>22710</v>
      </c>
      <c r="AK14" s="398">
        <v>22820</v>
      </c>
      <c r="AL14" s="398">
        <v>22900</v>
      </c>
      <c r="AM14" s="398">
        <v>22960</v>
      </c>
      <c r="AN14" s="398">
        <v>23000</v>
      </c>
      <c r="AO14" s="398">
        <v>23020</v>
      </c>
      <c r="AP14" s="398">
        <v>23020</v>
      </c>
      <c r="AQ14" s="398">
        <v>23000</v>
      </c>
      <c r="AR14" s="398">
        <v>22970</v>
      </c>
      <c r="AS14" s="398">
        <v>22920</v>
      </c>
      <c r="AT14" s="398">
        <v>22860</v>
      </c>
      <c r="AU14" s="398">
        <v>22810</v>
      </c>
      <c r="AV14" s="398">
        <v>22750</v>
      </c>
      <c r="AW14" s="398">
        <v>22710</v>
      </c>
      <c r="AX14" s="398">
        <v>22680</v>
      </c>
      <c r="AY14" s="398">
        <v>22680</v>
      </c>
      <c r="AZ14" s="398">
        <v>22700</v>
      </c>
      <c r="BA14" s="398">
        <v>22750</v>
      </c>
      <c r="BB14" s="398">
        <v>22800</v>
      </c>
      <c r="BC14" s="398">
        <v>22870</v>
      </c>
      <c r="BD14" s="398">
        <v>22940</v>
      </c>
      <c r="BE14" s="398">
        <v>23020</v>
      </c>
      <c r="BF14" s="398">
        <v>23080</v>
      </c>
    </row>
    <row r="15" spans="1:58" x14ac:dyDescent="0.2">
      <c r="A15" s="397" t="s">
        <v>25</v>
      </c>
      <c r="B15" s="247"/>
      <c r="C15" s="398">
        <v>22370</v>
      </c>
      <c r="D15" s="398">
        <v>22750</v>
      </c>
      <c r="E15" s="398">
        <v>23570</v>
      </c>
      <c r="F15" s="398">
        <v>24340</v>
      </c>
      <c r="G15" s="398">
        <v>25290</v>
      </c>
      <c r="H15" s="398">
        <v>26280</v>
      </c>
      <c r="I15" s="398">
        <v>25490</v>
      </c>
      <c r="J15" s="398">
        <v>25180</v>
      </c>
      <c r="K15" s="398">
        <v>24750</v>
      </c>
      <c r="L15" s="398">
        <v>24730</v>
      </c>
      <c r="M15" s="398">
        <v>24340</v>
      </c>
      <c r="N15" s="398">
        <v>23380</v>
      </c>
      <c r="O15" s="398">
        <v>23380</v>
      </c>
      <c r="P15" s="398">
        <v>23020</v>
      </c>
      <c r="Q15" s="398">
        <v>23500</v>
      </c>
      <c r="R15" s="398">
        <v>23010</v>
      </c>
      <c r="S15" s="398">
        <v>21990</v>
      </c>
      <c r="T15" s="398">
        <v>22250</v>
      </c>
      <c r="U15" s="398">
        <v>22700</v>
      </c>
      <c r="V15" s="398">
        <v>22510</v>
      </c>
      <c r="W15" s="398">
        <v>22860</v>
      </c>
      <c r="X15" s="398">
        <v>23770</v>
      </c>
      <c r="Y15" s="398">
        <v>24580</v>
      </c>
      <c r="Z15" s="398">
        <v>24340</v>
      </c>
      <c r="AA15" s="398">
        <v>24220</v>
      </c>
      <c r="AB15" s="398">
        <v>23800</v>
      </c>
      <c r="AC15" s="398">
        <v>23240</v>
      </c>
      <c r="AD15" s="398">
        <v>23240</v>
      </c>
      <c r="AE15" s="398">
        <v>23300</v>
      </c>
      <c r="AF15" s="398">
        <v>23390</v>
      </c>
      <c r="AG15" s="398">
        <v>23520</v>
      </c>
      <c r="AH15" s="398">
        <v>23660</v>
      </c>
      <c r="AI15" s="398">
        <v>23800</v>
      </c>
      <c r="AJ15" s="398">
        <v>23940</v>
      </c>
      <c r="AK15" s="398">
        <v>24060</v>
      </c>
      <c r="AL15" s="398">
        <v>24170</v>
      </c>
      <c r="AM15" s="398">
        <v>24250</v>
      </c>
      <c r="AN15" s="398">
        <v>24320</v>
      </c>
      <c r="AO15" s="398">
        <v>24360</v>
      </c>
      <c r="AP15" s="398">
        <v>24380</v>
      </c>
      <c r="AQ15" s="398">
        <v>24380</v>
      </c>
      <c r="AR15" s="398">
        <v>24360</v>
      </c>
      <c r="AS15" s="398">
        <v>24330</v>
      </c>
      <c r="AT15" s="398">
        <v>24280</v>
      </c>
      <c r="AU15" s="398">
        <v>24220</v>
      </c>
      <c r="AV15" s="398">
        <v>24160</v>
      </c>
      <c r="AW15" s="398">
        <v>24100</v>
      </c>
      <c r="AX15" s="398">
        <v>24060</v>
      </c>
      <c r="AY15" s="398">
        <v>24030</v>
      </c>
      <c r="AZ15" s="398">
        <v>24030</v>
      </c>
      <c r="BA15" s="398">
        <v>24050</v>
      </c>
      <c r="BB15" s="398">
        <v>24100</v>
      </c>
      <c r="BC15" s="398">
        <v>24160</v>
      </c>
      <c r="BD15" s="398">
        <v>24230</v>
      </c>
      <c r="BE15" s="398">
        <v>24300</v>
      </c>
      <c r="BF15" s="398">
        <v>24380</v>
      </c>
    </row>
    <row r="16" spans="1:58" x14ac:dyDescent="0.2">
      <c r="A16" s="397" t="s">
        <v>26</v>
      </c>
      <c r="B16" s="247"/>
      <c r="C16" s="398">
        <v>22760</v>
      </c>
      <c r="D16" s="398">
        <v>22930</v>
      </c>
      <c r="E16" s="398">
        <v>23470</v>
      </c>
      <c r="F16" s="398">
        <v>24660</v>
      </c>
      <c r="G16" s="398">
        <v>25680</v>
      </c>
      <c r="H16" s="398">
        <v>26720</v>
      </c>
      <c r="I16" s="398">
        <v>27590</v>
      </c>
      <c r="J16" s="398">
        <v>26890</v>
      </c>
      <c r="K16" s="398">
        <v>26730</v>
      </c>
      <c r="L16" s="398">
        <v>26410</v>
      </c>
      <c r="M16" s="398">
        <v>26460</v>
      </c>
      <c r="N16" s="398">
        <v>26120</v>
      </c>
      <c r="O16" s="398">
        <v>25160</v>
      </c>
      <c r="P16" s="398">
        <v>25210</v>
      </c>
      <c r="Q16" s="398">
        <v>24890</v>
      </c>
      <c r="R16" s="398">
        <v>25440</v>
      </c>
      <c r="S16" s="398">
        <v>24970</v>
      </c>
      <c r="T16" s="398">
        <v>23920</v>
      </c>
      <c r="U16" s="398">
        <v>24240</v>
      </c>
      <c r="V16" s="398">
        <v>24760</v>
      </c>
      <c r="W16" s="398">
        <v>24600</v>
      </c>
      <c r="X16" s="398">
        <v>25000</v>
      </c>
      <c r="Y16" s="398">
        <v>26010</v>
      </c>
      <c r="Z16" s="398">
        <v>26920</v>
      </c>
      <c r="AA16" s="398">
        <v>26690</v>
      </c>
      <c r="AB16" s="398">
        <v>26570</v>
      </c>
      <c r="AC16" s="398">
        <v>26140</v>
      </c>
      <c r="AD16" s="398">
        <v>25550</v>
      </c>
      <c r="AE16" s="398">
        <v>25560</v>
      </c>
      <c r="AF16" s="398">
        <v>25630</v>
      </c>
      <c r="AG16" s="398">
        <v>25740</v>
      </c>
      <c r="AH16" s="398">
        <v>25880</v>
      </c>
      <c r="AI16" s="398">
        <v>26030</v>
      </c>
      <c r="AJ16" s="398">
        <v>26180</v>
      </c>
      <c r="AK16" s="398">
        <v>26330</v>
      </c>
      <c r="AL16" s="398">
        <v>26460</v>
      </c>
      <c r="AM16" s="398">
        <v>26580</v>
      </c>
      <c r="AN16" s="398">
        <v>26670</v>
      </c>
      <c r="AO16" s="398">
        <v>26740</v>
      </c>
      <c r="AP16" s="398">
        <v>26790</v>
      </c>
      <c r="AQ16" s="398">
        <v>26810</v>
      </c>
      <c r="AR16" s="398">
        <v>26810</v>
      </c>
      <c r="AS16" s="398">
        <v>26790</v>
      </c>
      <c r="AT16" s="398">
        <v>26750</v>
      </c>
      <c r="AU16" s="398">
        <v>26700</v>
      </c>
      <c r="AV16" s="398">
        <v>26640</v>
      </c>
      <c r="AW16" s="398">
        <v>26570</v>
      </c>
      <c r="AX16" s="398">
        <v>26510</v>
      </c>
      <c r="AY16" s="398">
        <v>26460</v>
      </c>
      <c r="AZ16" s="398">
        <v>26430</v>
      </c>
      <c r="BA16" s="398">
        <v>26430</v>
      </c>
      <c r="BB16" s="398">
        <v>26460</v>
      </c>
      <c r="BC16" s="398">
        <v>26510</v>
      </c>
      <c r="BD16" s="398">
        <v>26570</v>
      </c>
      <c r="BE16" s="398">
        <v>26650</v>
      </c>
      <c r="BF16" s="398">
        <v>26730</v>
      </c>
    </row>
    <row r="17" spans="1:58" x14ac:dyDescent="0.2">
      <c r="A17" s="397" t="s">
        <v>27</v>
      </c>
      <c r="B17" s="247"/>
      <c r="C17" s="398">
        <v>23640</v>
      </c>
      <c r="D17" s="398">
        <v>23520</v>
      </c>
      <c r="E17" s="398">
        <v>23890</v>
      </c>
      <c r="F17" s="398">
        <v>24740</v>
      </c>
      <c r="G17" s="398">
        <v>26100</v>
      </c>
      <c r="H17" s="398">
        <v>27030</v>
      </c>
      <c r="I17" s="398">
        <v>27900</v>
      </c>
      <c r="J17" s="398">
        <v>28860</v>
      </c>
      <c r="K17" s="398">
        <v>28240</v>
      </c>
      <c r="L17" s="398">
        <v>28160</v>
      </c>
      <c r="M17" s="398">
        <v>27820</v>
      </c>
      <c r="N17" s="398">
        <v>27880</v>
      </c>
      <c r="O17" s="398">
        <v>27520</v>
      </c>
      <c r="P17" s="398">
        <v>26520</v>
      </c>
      <c r="Q17" s="398">
        <v>26580</v>
      </c>
      <c r="R17" s="398">
        <v>26240</v>
      </c>
      <c r="S17" s="398">
        <v>26820</v>
      </c>
      <c r="T17" s="398">
        <v>26330</v>
      </c>
      <c r="U17" s="398">
        <v>25230</v>
      </c>
      <c r="V17" s="398">
        <v>25570</v>
      </c>
      <c r="W17" s="398">
        <v>26110</v>
      </c>
      <c r="X17" s="398">
        <v>25940</v>
      </c>
      <c r="Y17" s="398">
        <v>26360</v>
      </c>
      <c r="Z17" s="398">
        <v>27420</v>
      </c>
      <c r="AA17" s="398">
        <v>28360</v>
      </c>
      <c r="AB17" s="398">
        <v>28120</v>
      </c>
      <c r="AC17" s="398">
        <v>28000</v>
      </c>
      <c r="AD17" s="398">
        <v>27550</v>
      </c>
      <c r="AE17" s="398">
        <v>26930</v>
      </c>
      <c r="AF17" s="398">
        <v>26950</v>
      </c>
      <c r="AG17" s="398">
        <v>27020</v>
      </c>
      <c r="AH17" s="398">
        <v>27130</v>
      </c>
      <c r="AI17" s="398">
        <v>27280</v>
      </c>
      <c r="AJ17" s="398">
        <v>27440</v>
      </c>
      <c r="AK17" s="398">
        <v>27600</v>
      </c>
      <c r="AL17" s="398">
        <v>27750</v>
      </c>
      <c r="AM17" s="398">
        <v>27890</v>
      </c>
      <c r="AN17" s="398">
        <v>28010</v>
      </c>
      <c r="AO17" s="398">
        <v>28110</v>
      </c>
      <c r="AP17" s="398">
        <v>28180</v>
      </c>
      <c r="AQ17" s="398">
        <v>28230</v>
      </c>
      <c r="AR17" s="398">
        <v>28250</v>
      </c>
      <c r="AS17" s="398">
        <v>28260</v>
      </c>
      <c r="AT17" s="398">
        <v>28240</v>
      </c>
      <c r="AU17" s="398">
        <v>28200</v>
      </c>
      <c r="AV17" s="398">
        <v>28140</v>
      </c>
      <c r="AW17" s="398">
        <v>28080</v>
      </c>
      <c r="AX17" s="398">
        <v>28010</v>
      </c>
      <c r="AY17" s="398">
        <v>27940</v>
      </c>
      <c r="AZ17" s="398">
        <v>27890</v>
      </c>
      <c r="BA17" s="398">
        <v>27870</v>
      </c>
      <c r="BB17" s="398">
        <v>27860</v>
      </c>
      <c r="BC17" s="398">
        <v>27890</v>
      </c>
      <c r="BD17" s="398">
        <v>27940</v>
      </c>
      <c r="BE17" s="398">
        <v>28010</v>
      </c>
      <c r="BF17" s="398">
        <v>28090</v>
      </c>
    </row>
    <row r="18" spans="1:58" x14ac:dyDescent="0.2">
      <c r="A18" s="397" t="s">
        <v>28</v>
      </c>
      <c r="B18" s="247"/>
      <c r="C18" s="398">
        <v>24360</v>
      </c>
      <c r="D18" s="398">
        <v>24290</v>
      </c>
      <c r="E18" s="398">
        <v>24400</v>
      </c>
      <c r="F18" s="398">
        <v>25070</v>
      </c>
      <c r="G18" s="398">
        <v>26030</v>
      </c>
      <c r="H18" s="398">
        <v>27280</v>
      </c>
      <c r="I18" s="398">
        <v>28070</v>
      </c>
      <c r="J18" s="398">
        <v>29040</v>
      </c>
      <c r="K18" s="398">
        <v>30160</v>
      </c>
      <c r="L18" s="398">
        <v>29610</v>
      </c>
      <c r="M18" s="398">
        <v>29520</v>
      </c>
      <c r="N18" s="398">
        <v>29170</v>
      </c>
      <c r="O18" s="398">
        <v>29230</v>
      </c>
      <c r="P18" s="398">
        <v>28860</v>
      </c>
      <c r="Q18" s="398">
        <v>27820</v>
      </c>
      <c r="R18" s="398">
        <v>27880</v>
      </c>
      <c r="S18" s="398">
        <v>27530</v>
      </c>
      <c r="T18" s="398">
        <v>28130</v>
      </c>
      <c r="U18" s="398">
        <v>27620</v>
      </c>
      <c r="V18" s="398">
        <v>26480</v>
      </c>
      <c r="W18" s="398">
        <v>26830</v>
      </c>
      <c r="X18" s="398">
        <v>27390</v>
      </c>
      <c r="Y18" s="398">
        <v>27220</v>
      </c>
      <c r="Z18" s="398">
        <v>27650</v>
      </c>
      <c r="AA18" s="398">
        <v>28760</v>
      </c>
      <c r="AB18" s="398">
        <v>29740</v>
      </c>
      <c r="AC18" s="398">
        <v>29490</v>
      </c>
      <c r="AD18" s="398">
        <v>29360</v>
      </c>
      <c r="AE18" s="398">
        <v>28900</v>
      </c>
      <c r="AF18" s="398">
        <v>28250</v>
      </c>
      <c r="AG18" s="398">
        <v>28270</v>
      </c>
      <c r="AH18" s="398">
        <v>28340</v>
      </c>
      <c r="AI18" s="398">
        <v>28460</v>
      </c>
      <c r="AJ18" s="398">
        <v>28620</v>
      </c>
      <c r="AK18" s="398">
        <v>28780</v>
      </c>
      <c r="AL18" s="398">
        <v>28950</v>
      </c>
      <c r="AM18" s="398">
        <v>29110</v>
      </c>
      <c r="AN18" s="398">
        <v>29260</v>
      </c>
      <c r="AO18" s="398">
        <v>29380</v>
      </c>
      <c r="AP18" s="398">
        <v>29480</v>
      </c>
      <c r="AQ18" s="398">
        <v>29560</v>
      </c>
      <c r="AR18" s="398">
        <v>29610</v>
      </c>
      <c r="AS18" s="398">
        <v>29630</v>
      </c>
      <c r="AT18" s="398">
        <v>29630</v>
      </c>
      <c r="AU18" s="398">
        <v>29620</v>
      </c>
      <c r="AV18" s="398">
        <v>29570</v>
      </c>
      <c r="AW18" s="398">
        <v>29520</v>
      </c>
      <c r="AX18" s="398">
        <v>29450</v>
      </c>
      <c r="AY18" s="398">
        <v>29380</v>
      </c>
      <c r="AZ18" s="398">
        <v>29310</v>
      </c>
      <c r="BA18" s="398">
        <v>29260</v>
      </c>
      <c r="BB18" s="398">
        <v>29230</v>
      </c>
      <c r="BC18" s="398">
        <v>29230</v>
      </c>
      <c r="BD18" s="398">
        <v>29260</v>
      </c>
      <c r="BE18" s="398">
        <v>29310</v>
      </c>
      <c r="BF18" s="398">
        <v>29380</v>
      </c>
    </row>
    <row r="19" spans="1:58" x14ac:dyDescent="0.2">
      <c r="A19" s="397" t="s">
        <v>29</v>
      </c>
      <c r="B19" s="247"/>
      <c r="C19" s="398">
        <v>24050</v>
      </c>
      <c r="D19" s="398">
        <v>24760</v>
      </c>
      <c r="E19" s="398">
        <v>24790</v>
      </c>
      <c r="F19" s="398">
        <v>25280</v>
      </c>
      <c r="G19" s="398">
        <v>26060</v>
      </c>
      <c r="H19" s="398">
        <v>26770</v>
      </c>
      <c r="I19" s="398">
        <v>27930</v>
      </c>
      <c r="J19" s="398">
        <v>28800</v>
      </c>
      <c r="K19" s="398">
        <v>29920</v>
      </c>
      <c r="L19" s="398">
        <v>31170</v>
      </c>
      <c r="M19" s="398">
        <v>30600</v>
      </c>
      <c r="N19" s="398">
        <v>30510</v>
      </c>
      <c r="O19" s="398">
        <v>30150</v>
      </c>
      <c r="P19" s="398">
        <v>30210</v>
      </c>
      <c r="Q19" s="398">
        <v>29830</v>
      </c>
      <c r="R19" s="398">
        <v>28770</v>
      </c>
      <c r="S19" s="398">
        <v>28830</v>
      </c>
      <c r="T19" s="398">
        <v>28470</v>
      </c>
      <c r="U19" s="398">
        <v>29080</v>
      </c>
      <c r="V19" s="398">
        <v>28560</v>
      </c>
      <c r="W19" s="398">
        <v>27390</v>
      </c>
      <c r="X19" s="398">
        <v>27750</v>
      </c>
      <c r="Y19" s="398">
        <v>28330</v>
      </c>
      <c r="Z19" s="398">
        <v>28150</v>
      </c>
      <c r="AA19" s="398">
        <v>28600</v>
      </c>
      <c r="AB19" s="398">
        <v>29730</v>
      </c>
      <c r="AC19" s="398">
        <v>30740</v>
      </c>
      <c r="AD19" s="398">
        <v>30480</v>
      </c>
      <c r="AE19" s="398">
        <v>30350</v>
      </c>
      <c r="AF19" s="398">
        <v>29880</v>
      </c>
      <c r="AG19" s="398">
        <v>29220</v>
      </c>
      <c r="AH19" s="398">
        <v>29230</v>
      </c>
      <c r="AI19" s="398">
        <v>29310</v>
      </c>
      <c r="AJ19" s="398">
        <v>29430</v>
      </c>
      <c r="AK19" s="398">
        <v>29590</v>
      </c>
      <c r="AL19" s="398">
        <v>29760</v>
      </c>
      <c r="AM19" s="398">
        <v>29930</v>
      </c>
      <c r="AN19" s="398">
        <v>30100</v>
      </c>
      <c r="AO19" s="398">
        <v>30250</v>
      </c>
      <c r="AP19" s="398">
        <v>30380</v>
      </c>
      <c r="AQ19" s="398">
        <v>30480</v>
      </c>
      <c r="AR19" s="398">
        <v>30560</v>
      </c>
      <c r="AS19" s="398">
        <v>30610</v>
      </c>
      <c r="AT19" s="398">
        <v>30640</v>
      </c>
      <c r="AU19" s="398">
        <v>30640</v>
      </c>
      <c r="AV19" s="398">
        <v>30620</v>
      </c>
      <c r="AW19" s="398">
        <v>30580</v>
      </c>
      <c r="AX19" s="398">
        <v>30520</v>
      </c>
      <c r="AY19" s="398">
        <v>30450</v>
      </c>
      <c r="AZ19" s="398">
        <v>30370</v>
      </c>
      <c r="BA19" s="398">
        <v>30310</v>
      </c>
      <c r="BB19" s="398">
        <v>30250</v>
      </c>
      <c r="BC19" s="398">
        <v>30220</v>
      </c>
      <c r="BD19" s="398">
        <v>30220</v>
      </c>
      <c r="BE19" s="398">
        <v>30250</v>
      </c>
      <c r="BF19" s="398">
        <v>30310</v>
      </c>
    </row>
    <row r="20" spans="1:58" x14ac:dyDescent="0.2">
      <c r="A20" s="399" t="s">
        <v>30</v>
      </c>
      <c r="B20" s="247"/>
      <c r="C20" s="398">
        <v>23360</v>
      </c>
      <c r="D20" s="398">
        <v>24110</v>
      </c>
      <c r="E20" s="398">
        <v>24890</v>
      </c>
      <c r="F20" s="398">
        <v>25230</v>
      </c>
      <c r="G20" s="398">
        <v>25780</v>
      </c>
      <c r="H20" s="398">
        <v>26370</v>
      </c>
      <c r="I20" s="398">
        <v>26970</v>
      </c>
      <c r="J20" s="398">
        <v>28200</v>
      </c>
      <c r="K20" s="398">
        <v>29210</v>
      </c>
      <c r="L20" s="398">
        <v>30440</v>
      </c>
      <c r="M20" s="398">
        <v>31700</v>
      </c>
      <c r="N20" s="398">
        <v>31130</v>
      </c>
      <c r="O20" s="398">
        <v>31040</v>
      </c>
      <c r="P20" s="398">
        <v>30680</v>
      </c>
      <c r="Q20" s="398">
        <v>30740</v>
      </c>
      <c r="R20" s="398">
        <v>30350</v>
      </c>
      <c r="S20" s="398">
        <v>29270</v>
      </c>
      <c r="T20" s="398">
        <v>29340</v>
      </c>
      <c r="U20" s="398">
        <v>28970</v>
      </c>
      <c r="V20" s="398">
        <v>29600</v>
      </c>
      <c r="W20" s="398">
        <v>29070</v>
      </c>
      <c r="X20" s="398">
        <v>27890</v>
      </c>
      <c r="Y20" s="398">
        <v>28250</v>
      </c>
      <c r="Z20" s="398">
        <v>28840</v>
      </c>
      <c r="AA20" s="398">
        <v>28650</v>
      </c>
      <c r="AB20" s="398">
        <v>29110</v>
      </c>
      <c r="AC20" s="398">
        <v>30250</v>
      </c>
      <c r="AD20" s="398">
        <v>31270</v>
      </c>
      <c r="AE20" s="398">
        <v>31010</v>
      </c>
      <c r="AF20" s="398">
        <v>30880</v>
      </c>
      <c r="AG20" s="398">
        <v>30400</v>
      </c>
      <c r="AH20" s="398">
        <v>29740</v>
      </c>
      <c r="AI20" s="398">
        <v>29750</v>
      </c>
      <c r="AJ20" s="398">
        <v>29830</v>
      </c>
      <c r="AK20" s="398">
        <v>29950</v>
      </c>
      <c r="AL20" s="398">
        <v>30110</v>
      </c>
      <c r="AM20" s="398">
        <v>30290</v>
      </c>
      <c r="AN20" s="398">
        <v>30460</v>
      </c>
      <c r="AO20" s="398">
        <v>30630</v>
      </c>
      <c r="AP20" s="398">
        <v>30780</v>
      </c>
      <c r="AQ20" s="398">
        <v>30910</v>
      </c>
      <c r="AR20" s="398">
        <v>31020</v>
      </c>
      <c r="AS20" s="398">
        <v>31100</v>
      </c>
      <c r="AT20" s="398">
        <v>31150</v>
      </c>
      <c r="AU20" s="398">
        <v>31170</v>
      </c>
      <c r="AV20" s="398">
        <v>31180</v>
      </c>
      <c r="AW20" s="398">
        <v>31160</v>
      </c>
      <c r="AX20" s="398">
        <v>31110</v>
      </c>
      <c r="AY20" s="398">
        <v>31050</v>
      </c>
      <c r="AZ20" s="398">
        <v>30980</v>
      </c>
      <c r="BA20" s="398">
        <v>30910</v>
      </c>
      <c r="BB20" s="398">
        <v>30840</v>
      </c>
      <c r="BC20" s="398">
        <v>30790</v>
      </c>
      <c r="BD20" s="398">
        <v>30760</v>
      </c>
      <c r="BE20" s="398">
        <v>30760</v>
      </c>
      <c r="BF20" s="398">
        <v>30790</v>
      </c>
    </row>
    <row r="21" spans="1:58" x14ac:dyDescent="0.2">
      <c r="A21" s="399" t="s">
        <v>31</v>
      </c>
      <c r="B21" s="247"/>
      <c r="C21" s="398">
        <v>22970</v>
      </c>
      <c r="D21" s="398">
        <v>23800</v>
      </c>
      <c r="E21" s="398">
        <v>24480</v>
      </c>
      <c r="F21" s="398">
        <v>25550</v>
      </c>
      <c r="G21" s="398">
        <v>26080</v>
      </c>
      <c r="H21" s="398">
        <v>26360</v>
      </c>
      <c r="I21" s="398">
        <v>26890</v>
      </c>
      <c r="J21" s="398">
        <v>27550</v>
      </c>
      <c r="K21" s="398">
        <v>28940</v>
      </c>
      <c r="L21" s="398">
        <v>30070</v>
      </c>
      <c r="M21" s="398">
        <v>31330</v>
      </c>
      <c r="N21" s="398">
        <v>32620</v>
      </c>
      <c r="O21" s="398">
        <v>32030</v>
      </c>
      <c r="P21" s="398">
        <v>31940</v>
      </c>
      <c r="Q21" s="398">
        <v>31570</v>
      </c>
      <c r="R21" s="398">
        <v>31630</v>
      </c>
      <c r="S21" s="398">
        <v>31240</v>
      </c>
      <c r="T21" s="398">
        <v>30140</v>
      </c>
      <c r="U21" s="398">
        <v>30200</v>
      </c>
      <c r="V21" s="398">
        <v>29830</v>
      </c>
      <c r="W21" s="398">
        <v>30470</v>
      </c>
      <c r="X21" s="398">
        <v>29930</v>
      </c>
      <c r="Y21" s="398">
        <v>28720</v>
      </c>
      <c r="Z21" s="398">
        <v>29090</v>
      </c>
      <c r="AA21" s="398">
        <v>29690</v>
      </c>
      <c r="AB21" s="398">
        <v>29510</v>
      </c>
      <c r="AC21" s="398">
        <v>29970</v>
      </c>
      <c r="AD21" s="398">
        <v>31140</v>
      </c>
      <c r="AE21" s="398">
        <v>32190</v>
      </c>
      <c r="AF21" s="398">
        <v>31920</v>
      </c>
      <c r="AG21" s="398">
        <v>31790</v>
      </c>
      <c r="AH21" s="398">
        <v>31290</v>
      </c>
      <c r="AI21" s="398">
        <v>30610</v>
      </c>
      <c r="AJ21" s="398">
        <v>30630</v>
      </c>
      <c r="AK21" s="398">
        <v>30710</v>
      </c>
      <c r="AL21" s="398">
        <v>30840</v>
      </c>
      <c r="AM21" s="398">
        <v>31000</v>
      </c>
      <c r="AN21" s="398">
        <v>31180</v>
      </c>
      <c r="AO21" s="398">
        <v>31350</v>
      </c>
      <c r="AP21" s="398">
        <v>31530</v>
      </c>
      <c r="AQ21" s="398">
        <v>31680</v>
      </c>
      <c r="AR21" s="398">
        <v>31820</v>
      </c>
      <c r="AS21" s="398">
        <v>31920</v>
      </c>
      <c r="AT21" s="398">
        <v>32010</v>
      </c>
      <c r="AU21" s="398">
        <v>32060</v>
      </c>
      <c r="AV21" s="398">
        <v>32090</v>
      </c>
      <c r="AW21" s="398">
        <v>32090</v>
      </c>
      <c r="AX21" s="398">
        <v>32070</v>
      </c>
      <c r="AY21" s="398">
        <v>32030</v>
      </c>
      <c r="AZ21" s="398">
        <v>31970</v>
      </c>
      <c r="BA21" s="398">
        <v>31890</v>
      </c>
      <c r="BB21" s="398">
        <v>31820</v>
      </c>
      <c r="BC21" s="398">
        <v>31750</v>
      </c>
      <c r="BD21" s="398">
        <v>31700</v>
      </c>
      <c r="BE21" s="398">
        <v>31660</v>
      </c>
      <c r="BF21" s="398">
        <v>31660</v>
      </c>
    </row>
    <row r="22" spans="1:58" x14ac:dyDescent="0.2">
      <c r="A22" s="399" t="s">
        <v>32</v>
      </c>
      <c r="B22" s="247"/>
      <c r="C22" s="398">
        <v>22580</v>
      </c>
      <c r="D22" s="398">
        <v>23320</v>
      </c>
      <c r="E22" s="398">
        <v>24130</v>
      </c>
      <c r="F22" s="398">
        <v>25060</v>
      </c>
      <c r="G22" s="398">
        <v>26300</v>
      </c>
      <c r="H22" s="398">
        <v>26460</v>
      </c>
      <c r="I22" s="398">
        <v>26760</v>
      </c>
      <c r="J22" s="398">
        <v>27350</v>
      </c>
      <c r="K22" s="398">
        <v>28150</v>
      </c>
      <c r="L22" s="398">
        <v>29650</v>
      </c>
      <c r="M22" s="398">
        <v>30800</v>
      </c>
      <c r="N22" s="398">
        <v>32080</v>
      </c>
      <c r="O22" s="398">
        <v>33390</v>
      </c>
      <c r="P22" s="398">
        <v>32800</v>
      </c>
      <c r="Q22" s="398">
        <v>32700</v>
      </c>
      <c r="R22" s="398">
        <v>32330</v>
      </c>
      <c r="S22" s="398">
        <v>32390</v>
      </c>
      <c r="T22" s="398">
        <v>31990</v>
      </c>
      <c r="U22" s="398">
        <v>30870</v>
      </c>
      <c r="V22" s="398">
        <v>30940</v>
      </c>
      <c r="W22" s="398">
        <v>30560</v>
      </c>
      <c r="X22" s="398">
        <v>31210</v>
      </c>
      <c r="Y22" s="398">
        <v>30660</v>
      </c>
      <c r="Z22" s="398">
        <v>29440</v>
      </c>
      <c r="AA22" s="398">
        <v>29810</v>
      </c>
      <c r="AB22" s="398">
        <v>30420</v>
      </c>
      <c r="AC22" s="398">
        <v>30230</v>
      </c>
      <c r="AD22" s="398">
        <v>30710</v>
      </c>
      <c r="AE22" s="398">
        <v>31900</v>
      </c>
      <c r="AF22" s="398">
        <v>32960</v>
      </c>
      <c r="AG22" s="398">
        <v>32690</v>
      </c>
      <c r="AH22" s="398">
        <v>32550</v>
      </c>
      <c r="AI22" s="398">
        <v>32050</v>
      </c>
      <c r="AJ22" s="398">
        <v>31360</v>
      </c>
      <c r="AK22" s="398">
        <v>31380</v>
      </c>
      <c r="AL22" s="398">
        <v>31460</v>
      </c>
      <c r="AM22" s="398">
        <v>31590</v>
      </c>
      <c r="AN22" s="398">
        <v>31760</v>
      </c>
      <c r="AO22" s="398">
        <v>31940</v>
      </c>
      <c r="AP22" s="398">
        <v>32120</v>
      </c>
      <c r="AQ22" s="398">
        <v>32290</v>
      </c>
      <c r="AR22" s="398">
        <v>32450</v>
      </c>
      <c r="AS22" s="398">
        <v>32590</v>
      </c>
      <c r="AT22" s="398">
        <v>32700</v>
      </c>
      <c r="AU22" s="398">
        <v>32780</v>
      </c>
      <c r="AV22" s="398">
        <v>32840</v>
      </c>
      <c r="AW22" s="398">
        <v>32860</v>
      </c>
      <c r="AX22" s="398">
        <v>32870</v>
      </c>
      <c r="AY22" s="398">
        <v>32850</v>
      </c>
      <c r="AZ22" s="398">
        <v>32800</v>
      </c>
      <c r="BA22" s="398">
        <v>32740</v>
      </c>
      <c r="BB22" s="398">
        <v>32670</v>
      </c>
      <c r="BC22" s="398">
        <v>32590</v>
      </c>
      <c r="BD22" s="398">
        <v>32520</v>
      </c>
      <c r="BE22" s="398">
        <v>32470</v>
      </c>
      <c r="BF22" s="398">
        <v>32440</v>
      </c>
    </row>
    <row r="23" spans="1:58" x14ac:dyDescent="0.2">
      <c r="A23" s="399" t="s">
        <v>33</v>
      </c>
      <c r="B23" s="247"/>
      <c r="C23" s="398">
        <v>22120</v>
      </c>
      <c r="D23" s="398">
        <v>22880</v>
      </c>
      <c r="E23" s="398">
        <v>23550</v>
      </c>
      <c r="F23" s="398">
        <v>24560</v>
      </c>
      <c r="G23" s="398">
        <v>25450</v>
      </c>
      <c r="H23" s="398">
        <v>26480</v>
      </c>
      <c r="I23" s="398">
        <v>26650</v>
      </c>
      <c r="J23" s="398">
        <v>27000</v>
      </c>
      <c r="K23" s="398">
        <v>27710</v>
      </c>
      <c r="L23" s="398">
        <v>28590</v>
      </c>
      <c r="M23" s="398">
        <v>30110</v>
      </c>
      <c r="N23" s="398">
        <v>31260</v>
      </c>
      <c r="O23" s="398">
        <v>32540</v>
      </c>
      <c r="P23" s="398">
        <v>33860</v>
      </c>
      <c r="Q23" s="398">
        <v>33260</v>
      </c>
      <c r="R23" s="398">
        <v>33170</v>
      </c>
      <c r="S23" s="398">
        <v>32790</v>
      </c>
      <c r="T23" s="398">
        <v>32860</v>
      </c>
      <c r="U23" s="398">
        <v>32460</v>
      </c>
      <c r="V23" s="398">
        <v>31330</v>
      </c>
      <c r="W23" s="398">
        <v>31400</v>
      </c>
      <c r="X23" s="398">
        <v>31020</v>
      </c>
      <c r="Y23" s="398">
        <v>31670</v>
      </c>
      <c r="Z23" s="398">
        <v>31120</v>
      </c>
      <c r="AA23" s="398">
        <v>29890</v>
      </c>
      <c r="AB23" s="398">
        <v>30270</v>
      </c>
      <c r="AC23" s="398">
        <v>30880</v>
      </c>
      <c r="AD23" s="398">
        <v>30690</v>
      </c>
      <c r="AE23" s="398">
        <v>31170</v>
      </c>
      <c r="AF23" s="398">
        <v>32360</v>
      </c>
      <c r="AG23" s="398">
        <v>33430</v>
      </c>
      <c r="AH23" s="398">
        <v>33160</v>
      </c>
      <c r="AI23" s="398">
        <v>33030</v>
      </c>
      <c r="AJ23" s="398">
        <v>32520</v>
      </c>
      <c r="AK23" s="398">
        <v>31830</v>
      </c>
      <c r="AL23" s="398">
        <v>31850</v>
      </c>
      <c r="AM23" s="398">
        <v>31930</v>
      </c>
      <c r="AN23" s="398">
        <v>32060</v>
      </c>
      <c r="AO23" s="398">
        <v>32230</v>
      </c>
      <c r="AP23" s="398">
        <v>32410</v>
      </c>
      <c r="AQ23" s="398">
        <v>32590</v>
      </c>
      <c r="AR23" s="398">
        <v>32760</v>
      </c>
      <c r="AS23" s="398">
        <v>32930</v>
      </c>
      <c r="AT23" s="398">
        <v>33060</v>
      </c>
      <c r="AU23" s="398">
        <v>33170</v>
      </c>
      <c r="AV23" s="398">
        <v>33260</v>
      </c>
      <c r="AW23" s="398">
        <v>33310</v>
      </c>
      <c r="AX23" s="398">
        <v>33340</v>
      </c>
      <c r="AY23" s="398">
        <v>33340</v>
      </c>
      <c r="AZ23" s="398">
        <v>33320</v>
      </c>
      <c r="BA23" s="398">
        <v>33280</v>
      </c>
      <c r="BB23" s="398">
        <v>33220</v>
      </c>
      <c r="BC23" s="398">
        <v>33150</v>
      </c>
      <c r="BD23" s="398">
        <v>33070</v>
      </c>
      <c r="BE23" s="398">
        <v>33000</v>
      </c>
      <c r="BF23" s="398">
        <v>32950</v>
      </c>
    </row>
    <row r="24" spans="1:58" x14ac:dyDescent="0.2">
      <c r="A24" s="399" t="s">
        <v>34</v>
      </c>
      <c r="B24" s="247"/>
      <c r="C24" s="398">
        <v>22750</v>
      </c>
      <c r="D24" s="398">
        <v>22550</v>
      </c>
      <c r="E24" s="398">
        <v>23200</v>
      </c>
      <c r="F24" s="398">
        <v>24030</v>
      </c>
      <c r="G24" s="398">
        <v>24910</v>
      </c>
      <c r="H24" s="398">
        <v>25770</v>
      </c>
      <c r="I24" s="398">
        <v>26750</v>
      </c>
      <c r="J24" s="398">
        <v>26960</v>
      </c>
      <c r="K24" s="398">
        <v>27410</v>
      </c>
      <c r="L24" s="398">
        <v>28200</v>
      </c>
      <c r="M24" s="398">
        <v>29090</v>
      </c>
      <c r="N24" s="398">
        <v>30610</v>
      </c>
      <c r="O24" s="398">
        <v>31770</v>
      </c>
      <c r="P24" s="398">
        <v>33060</v>
      </c>
      <c r="Q24" s="398">
        <v>34390</v>
      </c>
      <c r="R24" s="398">
        <v>33780</v>
      </c>
      <c r="S24" s="398">
        <v>33690</v>
      </c>
      <c r="T24" s="398">
        <v>33310</v>
      </c>
      <c r="U24" s="398">
        <v>33380</v>
      </c>
      <c r="V24" s="398">
        <v>32980</v>
      </c>
      <c r="W24" s="398">
        <v>31850</v>
      </c>
      <c r="X24" s="398">
        <v>31920</v>
      </c>
      <c r="Y24" s="398">
        <v>31530</v>
      </c>
      <c r="Z24" s="398">
        <v>32190</v>
      </c>
      <c r="AA24" s="398">
        <v>31640</v>
      </c>
      <c r="AB24" s="398">
        <v>30400</v>
      </c>
      <c r="AC24" s="398">
        <v>30780</v>
      </c>
      <c r="AD24" s="398">
        <v>31400</v>
      </c>
      <c r="AE24" s="398">
        <v>31210</v>
      </c>
      <c r="AF24" s="398">
        <v>31680</v>
      </c>
      <c r="AG24" s="398">
        <v>32890</v>
      </c>
      <c r="AH24" s="398">
        <v>33960</v>
      </c>
      <c r="AI24" s="398">
        <v>33690</v>
      </c>
      <c r="AJ24" s="398">
        <v>33550</v>
      </c>
      <c r="AK24" s="398">
        <v>33050</v>
      </c>
      <c r="AL24" s="398">
        <v>32350</v>
      </c>
      <c r="AM24" s="398">
        <v>32370</v>
      </c>
      <c r="AN24" s="398">
        <v>32450</v>
      </c>
      <c r="AO24" s="398">
        <v>32580</v>
      </c>
      <c r="AP24" s="398">
        <v>32750</v>
      </c>
      <c r="AQ24" s="398">
        <v>32930</v>
      </c>
      <c r="AR24" s="398">
        <v>33110</v>
      </c>
      <c r="AS24" s="398">
        <v>33290</v>
      </c>
      <c r="AT24" s="398">
        <v>33450</v>
      </c>
      <c r="AU24" s="398">
        <v>33590</v>
      </c>
      <c r="AV24" s="398">
        <v>33700</v>
      </c>
      <c r="AW24" s="398">
        <v>33790</v>
      </c>
      <c r="AX24" s="398">
        <v>33850</v>
      </c>
      <c r="AY24" s="398">
        <v>33870</v>
      </c>
      <c r="AZ24" s="398">
        <v>33880</v>
      </c>
      <c r="BA24" s="398">
        <v>33860</v>
      </c>
      <c r="BB24" s="398">
        <v>33810</v>
      </c>
      <c r="BC24" s="398">
        <v>33750</v>
      </c>
      <c r="BD24" s="398">
        <v>33680</v>
      </c>
      <c r="BE24" s="398">
        <v>33600</v>
      </c>
      <c r="BF24" s="398">
        <v>33530</v>
      </c>
    </row>
    <row r="25" spans="1:58" x14ac:dyDescent="0.2">
      <c r="A25" s="399" t="s">
        <v>35</v>
      </c>
      <c r="B25" s="247"/>
      <c r="C25" s="398">
        <v>23170</v>
      </c>
      <c r="D25" s="398">
        <v>23120</v>
      </c>
      <c r="E25" s="398">
        <v>22930</v>
      </c>
      <c r="F25" s="398">
        <v>23690</v>
      </c>
      <c r="G25" s="398">
        <v>24460</v>
      </c>
      <c r="H25" s="398">
        <v>25250</v>
      </c>
      <c r="I25" s="398">
        <v>26040</v>
      </c>
      <c r="J25" s="398">
        <v>27070</v>
      </c>
      <c r="K25" s="398">
        <v>27380</v>
      </c>
      <c r="L25" s="398">
        <v>27900</v>
      </c>
      <c r="M25" s="398">
        <v>28690</v>
      </c>
      <c r="N25" s="398">
        <v>29590</v>
      </c>
      <c r="O25" s="398">
        <v>31120</v>
      </c>
      <c r="P25" s="398">
        <v>32280</v>
      </c>
      <c r="Q25" s="398">
        <v>33580</v>
      </c>
      <c r="R25" s="398">
        <v>34910</v>
      </c>
      <c r="S25" s="398">
        <v>34310</v>
      </c>
      <c r="T25" s="398">
        <v>34210</v>
      </c>
      <c r="U25" s="398">
        <v>33840</v>
      </c>
      <c r="V25" s="398">
        <v>33900</v>
      </c>
      <c r="W25" s="398">
        <v>33500</v>
      </c>
      <c r="X25" s="398">
        <v>32360</v>
      </c>
      <c r="Y25" s="398">
        <v>32430</v>
      </c>
      <c r="Z25" s="398">
        <v>32050</v>
      </c>
      <c r="AA25" s="398">
        <v>32710</v>
      </c>
      <c r="AB25" s="398">
        <v>32150</v>
      </c>
      <c r="AC25" s="398">
        <v>30910</v>
      </c>
      <c r="AD25" s="398">
        <v>31290</v>
      </c>
      <c r="AE25" s="398">
        <v>31910</v>
      </c>
      <c r="AF25" s="398">
        <v>31720</v>
      </c>
      <c r="AG25" s="398">
        <v>32200</v>
      </c>
      <c r="AH25" s="398">
        <v>33410</v>
      </c>
      <c r="AI25" s="398">
        <v>34490</v>
      </c>
      <c r="AJ25" s="398">
        <v>34220</v>
      </c>
      <c r="AK25" s="398">
        <v>34080</v>
      </c>
      <c r="AL25" s="398">
        <v>33570</v>
      </c>
      <c r="AM25" s="398">
        <v>32870</v>
      </c>
      <c r="AN25" s="398">
        <v>32890</v>
      </c>
      <c r="AO25" s="398">
        <v>32970</v>
      </c>
      <c r="AP25" s="398">
        <v>33110</v>
      </c>
      <c r="AQ25" s="398">
        <v>33280</v>
      </c>
      <c r="AR25" s="398">
        <v>33460</v>
      </c>
      <c r="AS25" s="398">
        <v>33640</v>
      </c>
      <c r="AT25" s="398">
        <v>33820</v>
      </c>
      <c r="AU25" s="398">
        <v>33980</v>
      </c>
      <c r="AV25" s="398">
        <v>34120</v>
      </c>
      <c r="AW25" s="398">
        <v>34240</v>
      </c>
      <c r="AX25" s="398">
        <v>34320</v>
      </c>
      <c r="AY25" s="398">
        <v>34380</v>
      </c>
      <c r="AZ25" s="398">
        <v>34410</v>
      </c>
      <c r="BA25" s="398">
        <v>34410</v>
      </c>
      <c r="BB25" s="398">
        <v>34390</v>
      </c>
      <c r="BC25" s="398">
        <v>34350</v>
      </c>
      <c r="BD25" s="398">
        <v>34280</v>
      </c>
      <c r="BE25" s="398">
        <v>34210</v>
      </c>
      <c r="BF25" s="398">
        <v>34140</v>
      </c>
    </row>
    <row r="26" spans="1:58" x14ac:dyDescent="0.2">
      <c r="A26" s="399" t="s">
        <v>36</v>
      </c>
      <c r="B26" s="247"/>
      <c r="C26" s="398">
        <v>24120</v>
      </c>
      <c r="D26" s="398">
        <v>23500</v>
      </c>
      <c r="E26" s="398">
        <v>23470</v>
      </c>
      <c r="F26" s="398">
        <v>23290</v>
      </c>
      <c r="G26" s="398">
        <v>23980</v>
      </c>
      <c r="H26" s="398">
        <v>24690</v>
      </c>
      <c r="I26" s="398">
        <v>25430</v>
      </c>
      <c r="J26" s="398">
        <v>26260</v>
      </c>
      <c r="K26" s="398">
        <v>27380</v>
      </c>
      <c r="L26" s="398">
        <v>27750</v>
      </c>
      <c r="M26" s="398">
        <v>28280</v>
      </c>
      <c r="N26" s="398">
        <v>29070</v>
      </c>
      <c r="O26" s="398">
        <v>29970</v>
      </c>
      <c r="P26" s="398">
        <v>31510</v>
      </c>
      <c r="Q26" s="398">
        <v>32670</v>
      </c>
      <c r="R26" s="398">
        <v>33980</v>
      </c>
      <c r="S26" s="398">
        <v>35310</v>
      </c>
      <c r="T26" s="398">
        <v>34710</v>
      </c>
      <c r="U26" s="398">
        <v>34610</v>
      </c>
      <c r="V26" s="398">
        <v>34240</v>
      </c>
      <c r="W26" s="398">
        <v>34300</v>
      </c>
      <c r="X26" s="398">
        <v>33900</v>
      </c>
      <c r="Y26" s="398">
        <v>32760</v>
      </c>
      <c r="Z26" s="398">
        <v>32830</v>
      </c>
      <c r="AA26" s="398">
        <v>32440</v>
      </c>
      <c r="AB26" s="398">
        <v>33110</v>
      </c>
      <c r="AC26" s="398">
        <v>32550</v>
      </c>
      <c r="AD26" s="398">
        <v>31300</v>
      </c>
      <c r="AE26" s="398">
        <v>31690</v>
      </c>
      <c r="AF26" s="398">
        <v>32310</v>
      </c>
      <c r="AG26" s="398">
        <v>32120</v>
      </c>
      <c r="AH26" s="398">
        <v>32600</v>
      </c>
      <c r="AI26" s="398">
        <v>33810</v>
      </c>
      <c r="AJ26" s="398">
        <v>34900</v>
      </c>
      <c r="AK26" s="398">
        <v>34620</v>
      </c>
      <c r="AL26" s="398">
        <v>34480</v>
      </c>
      <c r="AM26" s="398">
        <v>33980</v>
      </c>
      <c r="AN26" s="398">
        <v>33270</v>
      </c>
      <c r="AO26" s="398">
        <v>33290</v>
      </c>
      <c r="AP26" s="398">
        <v>33380</v>
      </c>
      <c r="AQ26" s="398">
        <v>33510</v>
      </c>
      <c r="AR26" s="398">
        <v>33680</v>
      </c>
      <c r="AS26" s="398">
        <v>33860</v>
      </c>
      <c r="AT26" s="398">
        <v>34050</v>
      </c>
      <c r="AU26" s="398">
        <v>34230</v>
      </c>
      <c r="AV26" s="398">
        <v>34390</v>
      </c>
      <c r="AW26" s="398">
        <v>34530</v>
      </c>
      <c r="AX26" s="398">
        <v>34640</v>
      </c>
      <c r="AY26" s="398">
        <v>34730</v>
      </c>
      <c r="AZ26" s="398">
        <v>34790</v>
      </c>
      <c r="BA26" s="398">
        <v>34820</v>
      </c>
      <c r="BB26" s="398">
        <v>34820</v>
      </c>
      <c r="BC26" s="398">
        <v>34800</v>
      </c>
      <c r="BD26" s="398">
        <v>34760</v>
      </c>
      <c r="BE26" s="398">
        <v>34690</v>
      </c>
      <c r="BF26" s="398">
        <v>34620</v>
      </c>
    </row>
    <row r="27" spans="1:58" x14ac:dyDescent="0.2">
      <c r="A27" s="399" t="s">
        <v>37</v>
      </c>
      <c r="B27" s="247"/>
      <c r="C27" s="398">
        <v>25070</v>
      </c>
      <c r="D27" s="398">
        <v>24330</v>
      </c>
      <c r="E27" s="398">
        <v>23700</v>
      </c>
      <c r="F27" s="398">
        <v>23700</v>
      </c>
      <c r="G27" s="398">
        <v>23460</v>
      </c>
      <c r="H27" s="398">
        <v>24100</v>
      </c>
      <c r="I27" s="398">
        <v>24780</v>
      </c>
      <c r="J27" s="398">
        <v>25550</v>
      </c>
      <c r="K27" s="398">
        <v>26440</v>
      </c>
      <c r="L27" s="398">
        <v>27610</v>
      </c>
      <c r="M27" s="398">
        <v>27980</v>
      </c>
      <c r="N27" s="398">
        <v>28510</v>
      </c>
      <c r="O27" s="398">
        <v>29310</v>
      </c>
      <c r="P27" s="398">
        <v>30210</v>
      </c>
      <c r="Q27" s="398">
        <v>31740</v>
      </c>
      <c r="R27" s="398">
        <v>32910</v>
      </c>
      <c r="S27" s="398">
        <v>34220</v>
      </c>
      <c r="T27" s="398">
        <v>35560</v>
      </c>
      <c r="U27" s="398">
        <v>34950</v>
      </c>
      <c r="V27" s="398">
        <v>34860</v>
      </c>
      <c r="W27" s="398">
        <v>34480</v>
      </c>
      <c r="X27" s="398">
        <v>34550</v>
      </c>
      <c r="Y27" s="398">
        <v>34140</v>
      </c>
      <c r="Z27" s="398">
        <v>33000</v>
      </c>
      <c r="AA27" s="398">
        <v>33070</v>
      </c>
      <c r="AB27" s="398">
        <v>32690</v>
      </c>
      <c r="AC27" s="398">
        <v>33350</v>
      </c>
      <c r="AD27" s="398">
        <v>32790</v>
      </c>
      <c r="AE27" s="398">
        <v>31540</v>
      </c>
      <c r="AF27" s="398">
        <v>31930</v>
      </c>
      <c r="AG27" s="398">
        <v>32550</v>
      </c>
      <c r="AH27" s="398">
        <v>32360</v>
      </c>
      <c r="AI27" s="398">
        <v>32840</v>
      </c>
      <c r="AJ27" s="398">
        <v>34060</v>
      </c>
      <c r="AK27" s="398">
        <v>35140</v>
      </c>
      <c r="AL27" s="398">
        <v>34870</v>
      </c>
      <c r="AM27" s="398">
        <v>34730</v>
      </c>
      <c r="AN27" s="398">
        <v>34230</v>
      </c>
      <c r="AO27" s="398">
        <v>33520</v>
      </c>
      <c r="AP27" s="398">
        <v>33540</v>
      </c>
      <c r="AQ27" s="398">
        <v>33620</v>
      </c>
      <c r="AR27" s="398">
        <v>33760</v>
      </c>
      <c r="AS27" s="398">
        <v>33930</v>
      </c>
      <c r="AT27" s="398">
        <v>34110</v>
      </c>
      <c r="AU27" s="398">
        <v>34300</v>
      </c>
      <c r="AV27" s="398">
        <v>34480</v>
      </c>
      <c r="AW27" s="398">
        <v>34640</v>
      </c>
      <c r="AX27" s="398">
        <v>34780</v>
      </c>
      <c r="AY27" s="398">
        <v>34900</v>
      </c>
      <c r="AZ27" s="398">
        <v>34980</v>
      </c>
      <c r="BA27" s="398">
        <v>35040</v>
      </c>
      <c r="BB27" s="398">
        <v>35070</v>
      </c>
      <c r="BC27" s="398">
        <v>35070</v>
      </c>
      <c r="BD27" s="398">
        <v>35050</v>
      </c>
      <c r="BE27" s="398">
        <v>35010</v>
      </c>
      <c r="BF27" s="398">
        <v>34950</v>
      </c>
    </row>
    <row r="28" spans="1:58" x14ac:dyDescent="0.2">
      <c r="A28" s="399" t="s">
        <v>38</v>
      </c>
      <c r="B28" s="247"/>
      <c r="C28" s="398">
        <v>26240</v>
      </c>
      <c r="D28" s="398">
        <v>25280</v>
      </c>
      <c r="E28" s="398">
        <v>24460</v>
      </c>
      <c r="F28" s="398">
        <v>23890</v>
      </c>
      <c r="G28" s="398">
        <v>23800</v>
      </c>
      <c r="H28" s="398">
        <v>23500</v>
      </c>
      <c r="I28" s="398">
        <v>24140</v>
      </c>
      <c r="J28" s="398">
        <v>24850</v>
      </c>
      <c r="K28" s="398">
        <v>25670</v>
      </c>
      <c r="L28" s="398">
        <v>26600</v>
      </c>
      <c r="M28" s="398">
        <v>27770</v>
      </c>
      <c r="N28" s="398">
        <v>28140</v>
      </c>
      <c r="O28" s="398">
        <v>28670</v>
      </c>
      <c r="P28" s="398">
        <v>29470</v>
      </c>
      <c r="Q28" s="398">
        <v>30370</v>
      </c>
      <c r="R28" s="398">
        <v>31910</v>
      </c>
      <c r="S28" s="398">
        <v>33090</v>
      </c>
      <c r="T28" s="398">
        <v>34390</v>
      </c>
      <c r="U28" s="398">
        <v>35730</v>
      </c>
      <c r="V28" s="398">
        <v>35130</v>
      </c>
      <c r="W28" s="398">
        <v>35040</v>
      </c>
      <c r="X28" s="398">
        <v>34660</v>
      </c>
      <c r="Y28" s="398">
        <v>34720</v>
      </c>
      <c r="Z28" s="398">
        <v>34320</v>
      </c>
      <c r="AA28" s="398">
        <v>33170</v>
      </c>
      <c r="AB28" s="398">
        <v>33240</v>
      </c>
      <c r="AC28" s="398">
        <v>32860</v>
      </c>
      <c r="AD28" s="398">
        <v>33530</v>
      </c>
      <c r="AE28" s="398">
        <v>32970</v>
      </c>
      <c r="AF28" s="398">
        <v>31710</v>
      </c>
      <c r="AG28" s="398">
        <v>32100</v>
      </c>
      <c r="AH28" s="398">
        <v>32730</v>
      </c>
      <c r="AI28" s="398">
        <v>32540</v>
      </c>
      <c r="AJ28" s="398">
        <v>33020</v>
      </c>
      <c r="AK28" s="398">
        <v>34240</v>
      </c>
      <c r="AL28" s="398">
        <v>35330</v>
      </c>
      <c r="AM28" s="398">
        <v>35050</v>
      </c>
      <c r="AN28" s="398">
        <v>34920</v>
      </c>
      <c r="AO28" s="398">
        <v>34410</v>
      </c>
      <c r="AP28" s="398">
        <v>33700</v>
      </c>
      <c r="AQ28" s="398">
        <v>33720</v>
      </c>
      <c r="AR28" s="398">
        <v>33800</v>
      </c>
      <c r="AS28" s="398">
        <v>33940</v>
      </c>
      <c r="AT28" s="398">
        <v>34110</v>
      </c>
      <c r="AU28" s="398">
        <v>34300</v>
      </c>
      <c r="AV28" s="398">
        <v>34480</v>
      </c>
      <c r="AW28" s="398">
        <v>34660</v>
      </c>
      <c r="AX28" s="398">
        <v>34830</v>
      </c>
      <c r="AY28" s="398">
        <v>34970</v>
      </c>
      <c r="AZ28" s="398">
        <v>35080</v>
      </c>
      <c r="BA28" s="398">
        <v>35170</v>
      </c>
      <c r="BB28" s="398">
        <v>35230</v>
      </c>
      <c r="BC28" s="398">
        <v>35260</v>
      </c>
      <c r="BD28" s="398">
        <v>35260</v>
      </c>
      <c r="BE28" s="398">
        <v>35240</v>
      </c>
      <c r="BF28" s="398">
        <v>35200</v>
      </c>
    </row>
    <row r="29" spans="1:58" x14ac:dyDescent="0.2">
      <c r="A29" s="399" t="s">
        <v>39</v>
      </c>
      <c r="B29" s="247"/>
      <c r="C29" s="398">
        <v>27590</v>
      </c>
      <c r="D29" s="398">
        <v>26490</v>
      </c>
      <c r="E29" s="398">
        <v>25400</v>
      </c>
      <c r="F29" s="398">
        <v>24650</v>
      </c>
      <c r="G29" s="398">
        <v>24000</v>
      </c>
      <c r="H29" s="398">
        <v>23880</v>
      </c>
      <c r="I29" s="398">
        <v>23500</v>
      </c>
      <c r="J29" s="398">
        <v>24170</v>
      </c>
      <c r="K29" s="398">
        <v>24920</v>
      </c>
      <c r="L29" s="398">
        <v>25780</v>
      </c>
      <c r="M29" s="398">
        <v>26710</v>
      </c>
      <c r="N29" s="398">
        <v>27880</v>
      </c>
      <c r="O29" s="398">
        <v>28260</v>
      </c>
      <c r="P29" s="398">
        <v>28790</v>
      </c>
      <c r="Q29" s="398">
        <v>29590</v>
      </c>
      <c r="R29" s="398">
        <v>30490</v>
      </c>
      <c r="S29" s="398">
        <v>32030</v>
      </c>
      <c r="T29" s="398">
        <v>33210</v>
      </c>
      <c r="U29" s="398">
        <v>34520</v>
      </c>
      <c r="V29" s="398">
        <v>35860</v>
      </c>
      <c r="W29" s="398">
        <v>35250</v>
      </c>
      <c r="X29" s="398">
        <v>35160</v>
      </c>
      <c r="Y29" s="398">
        <v>34780</v>
      </c>
      <c r="Z29" s="398">
        <v>34850</v>
      </c>
      <c r="AA29" s="398">
        <v>34440</v>
      </c>
      <c r="AB29" s="398">
        <v>33300</v>
      </c>
      <c r="AC29" s="398">
        <v>33370</v>
      </c>
      <c r="AD29" s="398">
        <v>32990</v>
      </c>
      <c r="AE29" s="398">
        <v>33650</v>
      </c>
      <c r="AF29" s="398">
        <v>33090</v>
      </c>
      <c r="AG29" s="398">
        <v>31840</v>
      </c>
      <c r="AH29" s="398">
        <v>32230</v>
      </c>
      <c r="AI29" s="398">
        <v>32850</v>
      </c>
      <c r="AJ29" s="398">
        <v>32660</v>
      </c>
      <c r="AK29" s="398">
        <v>33150</v>
      </c>
      <c r="AL29" s="398">
        <v>34370</v>
      </c>
      <c r="AM29" s="398">
        <v>35460</v>
      </c>
      <c r="AN29" s="398">
        <v>35180</v>
      </c>
      <c r="AO29" s="398">
        <v>35050</v>
      </c>
      <c r="AP29" s="398">
        <v>34540</v>
      </c>
      <c r="AQ29" s="398">
        <v>33830</v>
      </c>
      <c r="AR29" s="398">
        <v>33850</v>
      </c>
      <c r="AS29" s="398">
        <v>33930</v>
      </c>
      <c r="AT29" s="398">
        <v>34070</v>
      </c>
      <c r="AU29" s="398">
        <v>34240</v>
      </c>
      <c r="AV29" s="398">
        <v>34430</v>
      </c>
      <c r="AW29" s="398">
        <v>34610</v>
      </c>
      <c r="AX29" s="398">
        <v>34790</v>
      </c>
      <c r="AY29" s="398">
        <v>34960</v>
      </c>
      <c r="AZ29" s="398">
        <v>35100</v>
      </c>
      <c r="BA29" s="398">
        <v>35220</v>
      </c>
      <c r="BB29" s="398">
        <v>35300</v>
      </c>
      <c r="BC29" s="398">
        <v>35360</v>
      </c>
      <c r="BD29" s="398">
        <v>35390</v>
      </c>
      <c r="BE29" s="398">
        <v>35390</v>
      </c>
      <c r="BF29" s="398">
        <v>35380</v>
      </c>
    </row>
    <row r="30" spans="1:58" x14ac:dyDescent="0.2">
      <c r="A30" s="399" t="s">
        <v>40</v>
      </c>
      <c r="B30" s="247"/>
      <c r="C30" s="398">
        <v>28030</v>
      </c>
      <c r="D30" s="398">
        <v>27740</v>
      </c>
      <c r="E30" s="398">
        <v>26530</v>
      </c>
      <c r="F30" s="398">
        <v>25460</v>
      </c>
      <c r="G30" s="398">
        <v>24720</v>
      </c>
      <c r="H30" s="398">
        <v>23980</v>
      </c>
      <c r="I30" s="398">
        <v>23820</v>
      </c>
      <c r="J30" s="398">
        <v>23460</v>
      </c>
      <c r="K30" s="398">
        <v>24180</v>
      </c>
      <c r="L30" s="398">
        <v>24960</v>
      </c>
      <c r="M30" s="398">
        <v>25820</v>
      </c>
      <c r="N30" s="398">
        <v>26760</v>
      </c>
      <c r="O30" s="398">
        <v>27920</v>
      </c>
      <c r="P30" s="398">
        <v>28300</v>
      </c>
      <c r="Q30" s="398">
        <v>28830</v>
      </c>
      <c r="R30" s="398">
        <v>29630</v>
      </c>
      <c r="S30" s="398">
        <v>30530</v>
      </c>
      <c r="T30" s="398">
        <v>32070</v>
      </c>
      <c r="U30" s="398">
        <v>33250</v>
      </c>
      <c r="V30" s="398">
        <v>34550</v>
      </c>
      <c r="W30" s="398">
        <v>35900</v>
      </c>
      <c r="X30" s="398">
        <v>35290</v>
      </c>
      <c r="Y30" s="398">
        <v>35200</v>
      </c>
      <c r="Z30" s="398">
        <v>34820</v>
      </c>
      <c r="AA30" s="398">
        <v>34890</v>
      </c>
      <c r="AB30" s="398">
        <v>34480</v>
      </c>
      <c r="AC30" s="398">
        <v>33340</v>
      </c>
      <c r="AD30" s="398">
        <v>33410</v>
      </c>
      <c r="AE30" s="398">
        <v>33030</v>
      </c>
      <c r="AF30" s="398">
        <v>33690</v>
      </c>
      <c r="AG30" s="398">
        <v>33130</v>
      </c>
      <c r="AH30" s="398">
        <v>31880</v>
      </c>
      <c r="AI30" s="398">
        <v>32270</v>
      </c>
      <c r="AJ30" s="398">
        <v>32900</v>
      </c>
      <c r="AK30" s="398">
        <v>32710</v>
      </c>
      <c r="AL30" s="398">
        <v>33190</v>
      </c>
      <c r="AM30" s="398">
        <v>34410</v>
      </c>
      <c r="AN30" s="398">
        <v>35500</v>
      </c>
      <c r="AO30" s="398">
        <v>35230</v>
      </c>
      <c r="AP30" s="398">
        <v>35090</v>
      </c>
      <c r="AQ30" s="398">
        <v>34580</v>
      </c>
      <c r="AR30" s="398">
        <v>33870</v>
      </c>
      <c r="AS30" s="398">
        <v>33890</v>
      </c>
      <c r="AT30" s="398">
        <v>33980</v>
      </c>
      <c r="AU30" s="398">
        <v>34120</v>
      </c>
      <c r="AV30" s="398">
        <v>34290</v>
      </c>
      <c r="AW30" s="398">
        <v>34470</v>
      </c>
      <c r="AX30" s="398">
        <v>34660</v>
      </c>
      <c r="AY30" s="398">
        <v>34840</v>
      </c>
      <c r="AZ30" s="398">
        <v>35010</v>
      </c>
      <c r="BA30" s="398">
        <v>35150</v>
      </c>
      <c r="BB30" s="398">
        <v>35260</v>
      </c>
      <c r="BC30" s="398">
        <v>35350</v>
      </c>
      <c r="BD30" s="398">
        <v>35410</v>
      </c>
      <c r="BE30" s="398">
        <v>35440</v>
      </c>
      <c r="BF30" s="398">
        <v>35440</v>
      </c>
    </row>
    <row r="31" spans="1:58" x14ac:dyDescent="0.2">
      <c r="A31" s="399" t="s">
        <v>41</v>
      </c>
      <c r="B31" s="247"/>
      <c r="C31" s="398">
        <v>27600</v>
      </c>
      <c r="D31" s="398">
        <v>28150</v>
      </c>
      <c r="E31" s="398">
        <v>27830</v>
      </c>
      <c r="F31" s="398">
        <v>26590</v>
      </c>
      <c r="G31" s="398">
        <v>25490</v>
      </c>
      <c r="H31" s="398">
        <v>24680</v>
      </c>
      <c r="I31" s="398">
        <v>23890</v>
      </c>
      <c r="J31" s="398">
        <v>23750</v>
      </c>
      <c r="K31" s="398">
        <v>23450</v>
      </c>
      <c r="L31" s="398">
        <v>24200</v>
      </c>
      <c r="M31" s="398">
        <v>24980</v>
      </c>
      <c r="N31" s="398">
        <v>25840</v>
      </c>
      <c r="O31" s="398">
        <v>26770</v>
      </c>
      <c r="P31" s="398">
        <v>27940</v>
      </c>
      <c r="Q31" s="398">
        <v>28320</v>
      </c>
      <c r="R31" s="398">
        <v>28850</v>
      </c>
      <c r="S31" s="398">
        <v>29650</v>
      </c>
      <c r="T31" s="398">
        <v>30550</v>
      </c>
      <c r="U31" s="398">
        <v>32090</v>
      </c>
      <c r="V31" s="398">
        <v>33260</v>
      </c>
      <c r="W31" s="398">
        <v>34570</v>
      </c>
      <c r="X31" s="398">
        <v>35910</v>
      </c>
      <c r="Y31" s="398">
        <v>35310</v>
      </c>
      <c r="Z31" s="398">
        <v>35210</v>
      </c>
      <c r="AA31" s="398">
        <v>34840</v>
      </c>
      <c r="AB31" s="398">
        <v>34900</v>
      </c>
      <c r="AC31" s="398">
        <v>34500</v>
      </c>
      <c r="AD31" s="398">
        <v>33360</v>
      </c>
      <c r="AE31" s="398">
        <v>33430</v>
      </c>
      <c r="AF31" s="398">
        <v>33050</v>
      </c>
      <c r="AG31" s="398">
        <v>33710</v>
      </c>
      <c r="AH31" s="398">
        <v>33150</v>
      </c>
      <c r="AI31" s="398">
        <v>31900</v>
      </c>
      <c r="AJ31" s="398">
        <v>32290</v>
      </c>
      <c r="AK31" s="398">
        <v>32920</v>
      </c>
      <c r="AL31" s="398">
        <v>32730</v>
      </c>
      <c r="AM31" s="398">
        <v>33210</v>
      </c>
      <c r="AN31" s="398">
        <v>34430</v>
      </c>
      <c r="AO31" s="398">
        <v>35520</v>
      </c>
      <c r="AP31" s="398">
        <v>35250</v>
      </c>
      <c r="AQ31" s="398">
        <v>35110</v>
      </c>
      <c r="AR31" s="398">
        <v>34600</v>
      </c>
      <c r="AS31" s="398">
        <v>33900</v>
      </c>
      <c r="AT31" s="398">
        <v>33920</v>
      </c>
      <c r="AU31" s="398">
        <v>34000</v>
      </c>
      <c r="AV31" s="398">
        <v>34140</v>
      </c>
      <c r="AW31" s="398">
        <v>34310</v>
      </c>
      <c r="AX31" s="398">
        <v>34500</v>
      </c>
      <c r="AY31" s="398">
        <v>34680</v>
      </c>
      <c r="AZ31" s="398">
        <v>34860</v>
      </c>
      <c r="BA31" s="398">
        <v>35030</v>
      </c>
      <c r="BB31" s="398">
        <v>35170</v>
      </c>
      <c r="BC31" s="398">
        <v>35290</v>
      </c>
      <c r="BD31" s="398">
        <v>35370</v>
      </c>
      <c r="BE31" s="398">
        <v>35430</v>
      </c>
      <c r="BF31" s="398">
        <v>35460</v>
      </c>
    </row>
    <row r="32" spans="1:58" x14ac:dyDescent="0.2">
      <c r="A32" s="399" t="s">
        <v>42</v>
      </c>
      <c r="B32" s="247"/>
      <c r="C32" s="398">
        <v>27940</v>
      </c>
      <c r="D32" s="398">
        <v>27720</v>
      </c>
      <c r="E32" s="398">
        <v>28230</v>
      </c>
      <c r="F32" s="398">
        <v>27880</v>
      </c>
      <c r="G32" s="398">
        <v>26650</v>
      </c>
      <c r="H32" s="398">
        <v>25460</v>
      </c>
      <c r="I32" s="398">
        <v>24580</v>
      </c>
      <c r="J32" s="398">
        <v>23810</v>
      </c>
      <c r="K32" s="398">
        <v>23720</v>
      </c>
      <c r="L32" s="398">
        <v>23450</v>
      </c>
      <c r="M32" s="398">
        <v>24200</v>
      </c>
      <c r="N32" s="398">
        <v>24980</v>
      </c>
      <c r="O32" s="398">
        <v>25840</v>
      </c>
      <c r="P32" s="398">
        <v>26770</v>
      </c>
      <c r="Q32" s="398">
        <v>27940</v>
      </c>
      <c r="R32" s="398">
        <v>28310</v>
      </c>
      <c r="S32" s="398">
        <v>28840</v>
      </c>
      <c r="T32" s="398">
        <v>29640</v>
      </c>
      <c r="U32" s="398">
        <v>30550</v>
      </c>
      <c r="V32" s="398">
        <v>32080</v>
      </c>
      <c r="W32" s="398">
        <v>33260</v>
      </c>
      <c r="X32" s="398">
        <v>34560</v>
      </c>
      <c r="Y32" s="398">
        <v>35910</v>
      </c>
      <c r="Z32" s="398">
        <v>35300</v>
      </c>
      <c r="AA32" s="398">
        <v>35210</v>
      </c>
      <c r="AB32" s="398">
        <v>34830</v>
      </c>
      <c r="AC32" s="398">
        <v>34900</v>
      </c>
      <c r="AD32" s="398">
        <v>34500</v>
      </c>
      <c r="AE32" s="398">
        <v>33360</v>
      </c>
      <c r="AF32" s="398">
        <v>33430</v>
      </c>
      <c r="AG32" s="398">
        <v>33050</v>
      </c>
      <c r="AH32" s="398">
        <v>33710</v>
      </c>
      <c r="AI32" s="398">
        <v>33150</v>
      </c>
      <c r="AJ32" s="398">
        <v>31900</v>
      </c>
      <c r="AK32" s="398">
        <v>32290</v>
      </c>
      <c r="AL32" s="398">
        <v>32920</v>
      </c>
      <c r="AM32" s="398">
        <v>32730</v>
      </c>
      <c r="AN32" s="398">
        <v>33210</v>
      </c>
      <c r="AO32" s="398">
        <v>34430</v>
      </c>
      <c r="AP32" s="398">
        <v>35520</v>
      </c>
      <c r="AQ32" s="398">
        <v>35250</v>
      </c>
      <c r="AR32" s="398">
        <v>35110</v>
      </c>
      <c r="AS32" s="398">
        <v>34600</v>
      </c>
      <c r="AT32" s="398">
        <v>33900</v>
      </c>
      <c r="AU32" s="398">
        <v>33920</v>
      </c>
      <c r="AV32" s="398">
        <v>34010</v>
      </c>
      <c r="AW32" s="398">
        <v>34140</v>
      </c>
      <c r="AX32" s="398">
        <v>34310</v>
      </c>
      <c r="AY32" s="398">
        <v>34500</v>
      </c>
      <c r="AZ32" s="398">
        <v>34690</v>
      </c>
      <c r="BA32" s="398">
        <v>34870</v>
      </c>
      <c r="BB32" s="398">
        <v>35030</v>
      </c>
      <c r="BC32" s="398">
        <v>35170</v>
      </c>
      <c r="BD32" s="398">
        <v>35290</v>
      </c>
      <c r="BE32" s="398">
        <v>35380</v>
      </c>
      <c r="BF32" s="398">
        <v>35440</v>
      </c>
    </row>
    <row r="33" spans="1:58" x14ac:dyDescent="0.2">
      <c r="A33" s="399" t="s">
        <v>43</v>
      </c>
      <c r="B33" s="247"/>
      <c r="C33" s="398">
        <v>27630</v>
      </c>
      <c r="D33" s="398">
        <v>28060</v>
      </c>
      <c r="E33" s="398">
        <v>27720</v>
      </c>
      <c r="F33" s="398">
        <v>28270</v>
      </c>
      <c r="G33" s="398">
        <v>27880</v>
      </c>
      <c r="H33" s="398">
        <v>26560</v>
      </c>
      <c r="I33" s="398">
        <v>25350</v>
      </c>
      <c r="J33" s="398">
        <v>24490</v>
      </c>
      <c r="K33" s="398">
        <v>23770</v>
      </c>
      <c r="L33" s="398">
        <v>23710</v>
      </c>
      <c r="M33" s="398">
        <v>23440</v>
      </c>
      <c r="N33" s="398">
        <v>24180</v>
      </c>
      <c r="O33" s="398">
        <v>24970</v>
      </c>
      <c r="P33" s="398">
        <v>25820</v>
      </c>
      <c r="Q33" s="398">
        <v>26760</v>
      </c>
      <c r="R33" s="398">
        <v>27920</v>
      </c>
      <c r="S33" s="398">
        <v>28300</v>
      </c>
      <c r="T33" s="398">
        <v>28830</v>
      </c>
      <c r="U33" s="398">
        <v>29630</v>
      </c>
      <c r="V33" s="398">
        <v>30530</v>
      </c>
      <c r="W33" s="398">
        <v>32070</v>
      </c>
      <c r="X33" s="398">
        <v>33240</v>
      </c>
      <c r="Y33" s="398">
        <v>34540</v>
      </c>
      <c r="Z33" s="398">
        <v>35880</v>
      </c>
      <c r="AA33" s="398">
        <v>35280</v>
      </c>
      <c r="AB33" s="398">
        <v>35190</v>
      </c>
      <c r="AC33" s="398">
        <v>34810</v>
      </c>
      <c r="AD33" s="398">
        <v>34880</v>
      </c>
      <c r="AE33" s="398">
        <v>34480</v>
      </c>
      <c r="AF33" s="398">
        <v>33340</v>
      </c>
      <c r="AG33" s="398">
        <v>33410</v>
      </c>
      <c r="AH33" s="398">
        <v>33030</v>
      </c>
      <c r="AI33" s="398">
        <v>33700</v>
      </c>
      <c r="AJ33" s="398">
        <v>33140</v>
      </c>
      <c r="AK33" s="398">
        <v>31890</v>
      </c>
      <c r="AL33" s="398">
        <v>32280</v>
      </c>
      <c r="AM33" s="398">
        <v>32910</v>
      </c>
      <c r="AN33" s="398">
        <v>32720</v>
      </c>
      <c r="AO33" s="398">
        <v>33200</v>
      </c>
      <c r="AP33" s="398">
        <v>34420</v>
      </c>
      <c r="AQ33" s="398">
        <v>35510</v>
      </c>
      <c r="AR33" s="398">
        <v>35230</v>
      </c>
      <c r="AS33" s="398">
        <v>35100</v>
      </c>
      <c r="AT33" s="398">
        <v>34590</v>
      </c>
      <c r="AU33" s="398">
        <v>33890</v>
      </c>
      <c r="AV33" s="398">
        <v>33910</v>
      </c>
      <c r="AW33" s="398">
        <v>33990</v>
      </c>
      <c r="AX33" s="398">
        <v>34130</v>
      </c>
      <c r="AY33" s="398">
        <v>34300</v>
      </c>
      <c r="AZ33" s="398">
        <v>34490</v>
      </c>
      <c r="BA33" s="398">
        <v>34680</v>
      </c>
      <c r="BB33" s="398">
        <v>34860</v>
      </c>
      <c r="BC33" s="398">
        <v>35020</v>
      </c>
      <c r="BD33" s="398">
        <v>35170</v>
      </c>
      <c r="BE33" s="398">
        <v>35280</v>
      </c>
      <c r="BF33" s="398">
        <v>35370</v>
      </c>
    </row>
    <row r="34" spans="1:58" x14ac:dyDescent="0.2">
      <c r="A34" s="399" t="s">
        <v>44</v>
      </c>
      <c r="B34" s="247"/>
      <c r="C34" s="398">
        <v>27500</v>
      </c>
      <c r="D34" s="398">
        <v>27750</v>
      </c>
      <c r="E34" s="398">
        <v>28030</v>
      </c>
      <c r="F34" s="398">
        <v>27780</v>
      </c>
      <c r="G34" s="398">
        <v>28240</v>
      </c>
      <c r="H34" s="398">
        <v>27780</v>
      </c>
      <c r="I34" s="398">
        <v>26440</v>
      </c>
      <c r="J34" s="398">
        <v>25250</v>
      </c>
      <c r="K34" s="398">
        <v>24440</v>
      </c>
      <c r="L34" s="398">
        <v>23740</v>
      </c>
      <c r="M34" s="398">
        <v>23680</v>
      </c>
      <c r="N34" s="398">
        <v>23410</v>
      </c>
      <c r="O34" s="398">
        <v>24160</v>
      </c>
      <c r="P34" s="398">
        <v>24940</v>
      </c>
      <c r="Q34" s="398">
        <v>25790</v>
      </c>
      <c r="R34" s="398">
        <v>26730</v>
      </c>
      <c r="S34" s="398">
        <v>27890</v>
      </c>
      <c r="T34" s="398">
        <v>28270</v>
      </c>
      <c r="U34" s="398">
        <v>28800</v>
      </c>
      <c r="V34" s="398">
        <v>29600</v>
      </c>
      <c r="W34" s="398">
        <v>30500</v>
      </c>
      <c r="X34" s="398">
        <v>32030</v>
      </c>
      <c r="Y34" s="398">
        <v>33210</v>
      </c>
      <c r="Z34" s="398">
        <v>34510</v>
      </c>
      <c r="AA34" s="398">
        <v>35850</v>
      </c>
      <c r="AB34" s="398">
        <v>35250</v>
      </c>
      <c r="AC34" s="398">
        <v>35160</v>
      </c>
      <c r="AD34" s="398">
        <v>34780</v>
      </c>
      <c r="AE34" s="398">
        <v>34850</v>
      </c>
      <c r="AF34" s="398">
        <v>34450</v>
      </c>
      <c r="AG34" s="398">
        <v>33310</v>
      </c>
      <c r="AH34" s="398">
        <v>33380</v>
      </c>
      <c r="AI34" s="398">
        <v>33000</v>
      </c>
      <c r="AJ34" s="398">
        <v>33670</v>
      </c>
      <c r="AK34" s="398">
        <v>33110</v>
      </c>
      <c r="AL34" s="398">
        <v>31870</v>
      </c>
      <c r="AM34" s="398">
        <v>32260</v>
      </c>
      <c r="AN34" s="398">
        <v>32880</v>
      </c>
      <c r="AO34" s="398">
        <v>32690</v>
      </c>
      <c r="AP34" s="398">
        <v>33180</v>
      </c>
      <c r="AQ34" s="398">
        <v>34390</v>
      </c>
      <c r="AR34" s="398">
        <v>35480</v>
      </c>
      <c r="AS34" s="398">
        <v>35210</v>
      </c>
      <c r="AT34" s="398">
        <v>35070</v>
      </c>
      <c r="AU34" s="398">
        <v>34570</v>
      </c>
      <c r="AV34" s="398">
        <v>33860</v>
      </c>
      <c r="AW34" s="398">
        <v>33890</v>
      </c>
      <c r="AX34" s="398">
        <v>33970</v>
      </c>
      <c r="AY34" s="398">
        <v>34110</v>
      </c>
      <c r="AZ34" s="398">
        <v>34280</v>
      </c>
      <c r="BA34" s="398">
        <v>34470</v>
      </c>
      <c r="BB34" s="398">
        <v>34650</v>
      </c>
      <c r="BC34" s="398">
        <v>34840</v>
      </c>
      <c r="BD34" s="398">
        <v>35000</v>
      </c>
      <c r="BE34" s="398">
        <v>35140</v>
      </c>
      <c r="BF34" s="398">
        <v>35260</v>
      </c>
    </row>
    <row r="35" spans="1:58" x14ac:dyDescent="0.2">
      <c r="A35" s="399" t="s">
        <v>45</v>
      </c>
      <c r="B35" s="247"/>
      <c r="C35" s="398">
        <v>27820</v>
      </c>
      <c r="D35" s="398">
        <v>27610</v>
      </c>
      <c r="E35" s="398">
        <v>27700</v>
      </c>
      <c r="F35" s="398">
        <v>28080</v>
      </c>
      <c r="G35" s="398">
        <v>27760</v>
      </c>
      <c r="H35" s="398">
        <v>28140</v>
      </c>
      <c r="I35" s="398">
        <v>27650</v>
      </c>
      <c r="J35" s="398">
        <v>26330</v>
      </c>
      <c r="K35" s="398">
        <v>25180</v>
      </c>
      <c r="L35" s="398">
        <v>24400</v>
      </c>
      <c r="M35" s="398">
        <v>23700</v>
      </c>
      <c r="N35" s="398">
        <v>23640</v>
      </c>
      <c r="O35" s="398">
        <v>23370</v>
      </c>
      <c r="P35" s="398">
        <v>24120</v>
      </c>
      <c r="Q35" s="398">
        <v>24900</v>
      </c>
      <c r="R35" s="398">
        <v>25760</v>
      </c>
      <c r="S35" s="398">
        <v>26690</v>
      </c>
      <c r="T35" s="398">
        <v>27850</v>
      </c>
      <c r="U35" s="398">
        <v>28230</v>
      </c>
      <c r="V35" s="398">
        <v>28760</v>
      </c>
      <c r="W35" s="398">
        <v>29560</v>
      </c>
      <c r="X35" s="398">
        <v>30460</v>
      </c>
      <c r="Y35" s="398">
        <v>31990</v>
      </c>
      <c r="Z35" s="398">
        <v>33170</v>
      </c>
      <c r="AA35" s="398">
        <v>34470</v>
      </c>
      <c r="AB35" s="398">
        <v>35810</v>
      </c>
      <c r="AC35" s="398">
        <v>35210</v>
      </c>
      <c r="AD35" s="398">
        <v>35120</v>
      </c>
      <c r="AE35" s="398">
        <v>34740</v>
      </c>
      <c r="AF35" s="398">
        <v>34810</v>
      </c>
      <c r="AG35" s="398">
        <v>34410</v>
      </c>
      <c r="AH35" s="398">
        <v>33270</v>
      </c>
      <c r="AI35" s="398">
        <v>33350</v>
      </c>
      <c r="AJ35" s="398">
        <v>32970</v>
      </c>
      <c r="AK35" s="398">
        <v>33630</v>
      </c>
      <c r="AL35" s="398">
        <v>33080</v>
      </c>
      <c r="AM35" s="398">
        <v>31830</v>
      </c>
      <c r="AN35" s="398">
        <v>32220</v>
      </c>
      <c r="AO35" s="398">
        <v>32850</v>
      </c>
      <c r="AP35" s="398">
        <v>32660</v>
      </c>
      <c r="AQ35" s="398">
        <v>33140</v>
      </c>
      <c r="AR35" s="398">
        <v>34360</v>
      </c>
      <c r="AS35" s="398">
        <v>35450</v>
      </c>
      <c r="AT35" s="398">
        <v>35180</v>
      </c>
      <c r="AU35" s="398">
        <v>35040</v>
      </c>
      <c r="AV35" s="398">
        <v>34540</v>
      </c>
      <c r="AW35" s="398">
        <v>33830</v>
      </c>
      <c r="AX35" s="398">
        <v>33850</v>
      </c>
      <c r="AY35" s="398">
        <v>33940</v>
      </c>
      <c r="AZ35" s="398">
        <v>34080</v>
      </c>
      <c r="BA35" s="398">
        <v>34250</v>
      </c>
      <c r="BB35" s="398">
        <v>34440</v>
      </c>
      <c r="BC35" s="398">
        <v>34620</v>
      </c>
      <c r="BD35" s="398">
        <v>34810</v>
      </c>
      <c r="BE35" s="398">
        <v>34970</v>
      </c>
      <c r="BF35" s="398">
        <v>35110</v>
      </c>
    </row>
    <row r="36" spans="1:58" x14ac:dyDescent="0.2">
      <c r="A36" s="399" t="s">
        <v>46</v>
      </c>
      <c r="B36" s="247"/>
      <c r="C36" s="398">
        <v>28250</v>
      </c>
      <c r="D36" s="398">
        <v>27910</v>
      </c>
      <c r="E36" s="398">
        <v>27600</v>
      </c>
      <c r="F36" s="398">
        <v>27700</v>
      </c>
      <c r="G36" s="398">
        <v>28070</v>
      </c>
      <c r="H36" s="398">
        <v>27660</v>
      </c>
      <c r="I36" s="398">
        <v>28010</v>
      </c>
      <c r="J36" s="398">
        <v>27530</v>
      </c>
      <c r="K36" s="398">
        <v>26250</v>
      </c>
      <c r="L36" s="398">
        <v>25130</v>
      </c>
      <c r="M36" s="398">
        <v>24350</v>
      </c>
      <c r="N36" s="398">
        <v>23660</v>
      </c>
      <c r="O36" s="398">
        <v>23600</v>
      </c>
      <c r="P36" s="398">
        <v>23330</v>
      </c>
      <c r="Q36" s="398">
        <v>24080</v>
      </c>
      <c r="R36" s="398">
        <v>24860</v>
      </c>
      <c r="S36" s="398">
        <v>25710</v>
      </c>
      <c r="T36" s="398">
        <v>26650</v>
      </c>
      <c r="U36" s="398">
        <v>27810</v>
      </c>
      <c r="V36" s="398">
        <v>28190</v>
      </c>
      <c r="W36" s="398">
        <v>28720</v>
      </c>
      <c r="X36" s="398">
        <v>29510</v>
      </c>
      <c r="Y36" s="398">
        <v>30420</v>
      </c>
      <c r="Z36" s="398">
        <v>31950</v>
      </c>
      <c r="AA36" s="398">
        <v>33120</v>
      </c>
      <c r="AB36" s="398">
        <v>34420</v>
      </c>
      <c r="AC36" s="398">
        <v>35760</v>
      </c>
      <c r="AD36" s="398">
        <v>35160</v>
      </c>
      <c r="AE36" s="398">
        <v>35070</v>
      </c>
      <c r="AF36" s="398">
        <v>34700</v>
      </c>
      <c r="AG36" s="398">
        <v>34770</v>
      </c>
      <c r="AH36" s="398">
        <v>34370</v>
      </c>
      <c r="AI36" s="398">
        <v>33230</v>
      </c>
      <c r="AJ36" s="398">
        <v>33310</v>
      </c>
      <c r="AK36" s="398">
        <v>32930</v>
      </c>
      <c r="AL36" s="398">
        <v>33590</v>
      </c>
      <c r="AM36" s="398">
        <v>33040</v>
      </c>
      <c r="AN36" s="398">
        <v>31790</v>
      </c>
      <c r="AO36" s="398">
        <v>32180</v>
      </c>
      <c r="AP36" s="398">
        <v>32810</v>
      </c>
      <c r="AQ36" s="398">
        <v>32620</v>
      </c>
      <c r="AR36" s="398">
        <v>33100</v>
      </c>
      <c r="AS36" s="398">
        <v>34320</v>
      </c>
      <c r="AT36" s="398">
        <v>35410</v>
      </c>
      <c r="AU36" s="398">
        <v>35140</v>
      </c>
      <c r="AV36" s="398">
        <v>35000</v>
      </c>
      <c r="AW36" s="398">
        <v>34500</v>
      </c>
      <c r="AX36" s="398">
        <v>33800</v>
      </c>
      <c r="AY36" s="398">
        <v>33820</v>
      </c>
      <c r="AZ36" s="398">
        <v>33900</v>
      </c>
      <c r="BA36" s="398">
        <v>34040</v>
      </c>
      <c r="BB36" s="398">
        <v>34210</v>
      </c>
      <c r="BC36" s="398">
        <v>34400</v>
      </c>
      <c r="BD36" s="398">
        <v>34590</v>
      </c>
      <c r="BE36" s="398">
        <v>34770</v>
      </c>
      <c r="BF36" s="398">
        <v>34940</v>
      </c>
    </row>
    <row r="37" spans="1:58" x14ac:dyDescent="0.2">
      <c r="A37" s="399" t="s">
        <v>47</v>
      </c>
      <c r="B37" s="247"/>
      <c r="C37" s="398">
        <v>29390</v>
      </c>
      <c r="D37" s="398">
        <v>28310</v>
      </c>
      <c r="E37" s="398">
        <v>27900</v>
      </c>
      <c r="F37" s="398">
        <v>27580</v>
      </c>
      <c r="G37" s="398">
        <v>27680</v>
      </c>
      <c r="H37" s="398">
        <v>27990</v>
      </c>
      <c r="I37" s="398">
        <v>27520</v>
      </c>
      <c r="J37" s="398">
        <v>27880</v>
      </c>
      <c r="K37" s="398">
        <v>27450</v>
      </c>
      <c r="L37" s="398">
        <v>26200</v>
      </c>
      <c r="M37" s="398">
        <v>25080</v>
      </c>
      <c r="N37" s="398">
        <v>24300</v>
      </c>
      <c r="O37" s="398">
        <v>23610</v>
      </c>
      <c r="P37" s="398">
        <v>23550</v>
      </c>
      <c r="Q37" s="398">
        <v>23280</v>
      </c>
      <c r="R37" s="398">
        <v>24030</v>
      </c>
      <c r="S37" s="398">
        <v>24810</v>
      </c>
      <c r="T37" s="398">
        <v>25660</v>
      </c>
      <c r="U37" s="398">
        <v>26590</v>
      </c>
      <c r="V37" s="398">
        <v>27760</v>
      </c>
      <c r="W37" s="398">
        <v>28130</v>
      </c>
      <c r="X37" s="398">
        <v>28660</v>
      </c>
      <c r="Y37" s="398">
        <v>29460</v>
      </c>
      <c r="Z37" s="398">
        <v>30360</v>
      </c>
      <c r="AA37" s="398">
        <v>31890</v>
      </c>
      <c r="AB37" s="398">
        <v>33060</v>
      </c>
      <c r="AC37" s="398">
        <v>34370</v>
      </c>
      <c r="AD37" s="398">
        <v>35710</v>
      </c>
      <c r="AE37" s="398">
        <v>35110</v>
      </c>
      <c r="AF37" s="398">
        <v>35020</v>
      </c>
      <c r="AG37" s="398">
        <v>34640</v>
      </c>
      <c r="AH37" s="398">
        <v>34710</v>
      </c>
      <c r="AI37" s="398">
        <v>34310</v>
      </c>
      <c r="AJ37" s="398">
        <v>33180</v>
      </c>
      <c r="AK37" s="398">
        <v>33250</v>
      </c>
      <c r="AL37" s="398">
        <v>32880</v>
      </c>
      <c r="AM37" s="398">
        <v>33540</v>
      </c>
      <c r="AN37" s="398">
        <v>32990</v>
      </c>
      <c r="AO37" s="398">
        <v>31740</v>
      </c>
      <c r="AP37" s="398">
        <v>32130</v>
      </c>
      <c r="AQ37" s="398">
        <v>32760</v>
      </c>
      <c r="AR37" s="398">
        <v>32570</v>
      </c>
      <c r="AS37" s="398">
        <v>33060</v>
      </c>
      <c r="AT37" s="398">
        <v>34270</v>
      </c>
      <c r="AU37" s="398">
        <v>35360</v>
      </c>
      <c r="AV37" s="398">
        <v>35090</v>
      </c>
      <c r="AW37" s="398">
        <v>34960</v>
      </c>
      <c r="AX37" s="398">
        <v>34450</v>
      </c>
      <c r="AY37" s="398">
        <v>33750</v>
      </c>
      <c r="AZ37" s="398">
        <v>33770</v>
      </c>
      <c r="BA37" s="398">
        <v>33860</v>
      </c>
      <c r="BB37" s="398">
        <v>34000</v>
      </c>
      <c r="BC37" s="398">
        <v>34170</v>
      </c>
      <c r="BD37" s="398">
        <v>34360</v>
      </c>
      <c r="BE37" s="398">
        <v>34550</v>
      </c>
      <c r="BF37" s="398">
        <v>34730</v>
      </c>
    </row>
    <row r="38" spans="1:58" x14ac:dyDescent="0.2">
      <c r="A38" s="399" t="s">
        <v>48</v>
      </c>
      <c r="B38" s="247"/>
      <c r="C38" s="398">
        <v>29700</v>
      </c>
      <c r="D38" s="398">
        <v>29410</v>
      </c>
      <c r="E38" s="398">
        <v>28260</v>
      </c>
      <c r="F38" s="398">
        <v>27870</v>
      </c>
      <c r="G38" s="398">
        <v>27520</v>
      </c>
      <c r="H38" s="398">
        <v>27570</v>
      </c>
      <c r="I38" s="398">
        <v>27840</v>
      </c>
      <c r="J38" s="398">
        <v>27390</v>
      </c>
      <c r="K38" s="398">
        <v>27790</v>
      </c>
      <c r="L38" s="398">
        <v>27380</v>
      </c>
      <c r="M38" s="398">
        <v>26130</v>
      </c>
      <c r="N38" s="398">
        <v>25010</v>
      </c>
      <c r="O38" s="398">
        <v>24230</v>
      </c>
      <c r="P38" s="398">
        <v>23540</v>
      </c>
      <c r="Q38" s="398">
        <v>23490</v>
      </c>
      <c r="R38" s="398">
        <v>23220</v>
      </c>
      <c r="S38" s="398">
        <v>23960</v>
      </c>
      <c r="T38" s="398">
        <v>24750</v>
      </c>
      <c r="U38" s="398">
        <v>25600</v>
      </c>
      <c r="V38" s="398">
        <v>26530</v>
      </c>
      <c r="W38" s="398">
        <v>27690</v>
      </c>
      <c r="X38" s="398">
        <v>28070</v>
      </c>
      <c r="Y38" s="398">
        <v>28600</v>
      </c>
      <c r="Z38" s="398">
        <v>29400</v>
      </c>
      <c r="AA38" s="398">
        <v>30300</v>
      </c>
      <c r="AB38" s="398">
        <v>31830</v>
      </c>
      <c r="AC38" s="398">
        <v>33000</v>
      </c>
      <c r="AD38" s="398">
        <v>34300</v>
      </c>
      <c r="AE38" s="398">
        <v>35640</v>
      </c>
      <c r="AF38" s="398">
        <v>35040</v>
      </c>
      <c r="AG38" s="398">
        <v>34950</v>
      </c>
      <c r="AH38" s="398">
        <v>34580</v>
      </c>
      <c r="AI38" s="398">
        <v>34650</v>
      </c>
      <c r="AJ38" s="398">
        <v>34250</v>
      </c>
      <c r="AK38" s="398">
        <v>33120</v>
      </c>
      <c r="AL38" s="398">
        <v>33190</v>
      </c>
      <c r="AM38" s="398">
        <v>32820</v>
      </c>
      <c r="AN38" s="398">
        <v>33480</v>
      </c>
      <c r="AO38" s="398">
        <v>32930</v>
      </c>
      <c r="AP38" s="398">
        <v>31690</v>
      </c>
      <c r="AQ38" s="398">
        <v>32080</v>
      </c>
      <c r="AR38" s="398">
        <v>32700</v>
      </c>
      <c r="AS38" s="398">
        <v>32520</v>
      </c>
      <c r="AT38" s="398">
        <v>33000</v>
      </c>
      <c r="AU38" s="398">
        <v>34220</v>
      </c>
      <c r="AV38" s="398">
        <v>35300</v>
      </c>
      <c r="AW38" s="398">
        <v>35030</v>
      </c>
      <c r="AX38" s="398">
        <v>34900</v>
      </c>
      <c r="AY38" s="398">
        <v>34400</v>
      </c>
      <c r="AZ38" s="398">
        <v>33700</v>
      </c>
      <c r="BA38" s="398">
        <v>33720</v>
      </c>
      <c r="BB38" s="398">
        <v>33810</v>
      </c>
      <c r="BC38" s="398">
        <v>33940</v>
      </c>
      <c r="BD38" s="398">
        <v>34120</v>
      </c>
      <c r="BE38" s="398">
        <v>34310</v>
      </c>
      <c r="BF38" s="398">
        <v>34490</v>
      </c>
    </row>
    <row r="39" spans="1:58" x14ac:dyDescent="0.2">
      <c r="A39" s="399" t="s">
        <v>49</v>
      </c>
      <c r="B39" s="247"/>
      <c r="C39" s="398">
        <v>29860</v>
      </c>
      <c r="D39" s="398">
        <v>29710</v>
      </c>
      <c r="E39" s="398">
        <v>29310</v>
      </c>
      <c r="F39" s="398">
        <v>28210</v>
      </c>
      <c r="G39" s="398">
        <v>27850</v>
      </c>
      <c r="H39" s="398">
        <v>27390</v>
      </c>
      <c r="I39" s="398">
        <v>27410</v>
      </c>
      <c r="J39" s="398">
        <v>27700</v>
      </c>
      <c r="K39" s="398">
        <v>27280</v>
      </c>
      <c r="L39" s="398">
        <v>27700</v>
      </c>
      <c r="M39" s="398">
        <v>27290</v>
      </c>
      <c r="N39" s="398">
        <v>26050</v>
      </c>
      <c r="O39" s="398">
        <v>24940</v>
      </c>
      <c r="P39" s="398">
        <v>24160</v>
      </c>
      <c r="Q39" s="398">
        <v>23470</v>
      </c>
      <c r="R39" s="398">
        <v>23410</v>
      </c>
      <c r="S39" s="398">
        <v>23150</v>
      </c>
      <c r="T39" s="398">
        <v>23890</v>
      </c>
      <c r="U39" s="398">
        <v>24680</v>
      </c>
      <c r="V39" s="398">
        <v>25530</v>
      </c>
      <c r="W39" s="398">
        <v>26460</v>
      </c>
      <c r="X39" s="398">
        <v>27620</v>
      </c>
      <c r="Y39" s="398">
        <v>28000</v>
      </c>
      <c r="Z39" s="398">
        <v>28530</v>
      </c>
      <c r="AA39" s="398">
        <v>29320</v>
      </c>
      <c r="AB39" s="398">
        <v>30220</v>
      </c>
      <c r="AC39" s="398">
        <v>31750</v>
      </c>
      <c r="AD39" s="398">
        <v>32920</v>
      </c>
      <c r="AE39" s="398">
        <v>34220</v>
      </c>
      <c r="AF39" s="398">
        <v>35560</v>
      </c>
      <c r="AG39" s="398">
        <v>34970</v>
      </c>
      <c r="AH39" s="398">
        <v>34880</v>
      </c>
      <c r="AI39" s="398">
        <v>34510</v>
      </c>
      <c r="AJ39" s="398">
        <v>34580</v>
      </c>
      <c r="AK39" s="398">
        <v>34180</v>
      </c>
      <c r="AL39" s="398">
        <v>33050</v>
      </c>
      <c r="AM39" s="398">
        <v>33120</v>
      </c>
      <c r="AN39" s="398">
        <v>32750</v>
      </c>
      <c r="AO39" s="398">
        <v>33410</v>
      </c>
      <c r="AP39" s="398">
        <v>32860</v>
      </c>
      <c r="AQ39" s="398">
        <v>31620</v>
      </c>
      <c r="AR39" s="398">
        <v>32010</v>
      </c>
      <c r="AS39" s="398">
        <v>32640</v>
      </c>
      <c r="AT39" s="398">
        <v>32450</v>
      </c>
      <c r="AU39" s="398">
        <v>32930</v>
      </c>
      <c r="AV39" s="398">
        <v>34150</v>
      </c>
      <c r="AW39" s="398">
        <v>35240</v>
      </c>
      <c r="AX39" s="398">
        <v>34970</v>
      </c>
      <c r="AY39" s="398">
        <v>34830</v>
      </c>
      <c r="AZ39" s="398">
        <v>34330</v>
      </c>
      <c r="BA39" s="398">
        <v>33630</v>
      </c>
      <c r="BB39" s="398">
        <v>33660</v>
      </c>
      <c r="BC39" s="398">
        <v>33740</v>
      </c>
      <c r="BD39" s="398">
        <v>33880</v>
      </c>
      <c r="BE39" s="398">
        <v>34060</v>
      </c>
      <c r="BF39" s="398">
        <v>34240</v>
      </c>
    </row>
    <row r="40" spans="1:58" x14ac:dyDescent="0.2">
      <c r="A40" s="399" t="s">
        <v>50</v>
      </c>
      <c r="B40" s="247"/>
      <c r="C40" s="398">
        <v>29280</v>
      </c>
      <c r="D40" s="398">
        <v>29850</v>
      </c>
      <c r="E40" s="398">
        <v>29640</v>
      </c>
      <c r="F40" s="398">
        <v>29260</v>
      </c>
      <c r="G40" s="398">
        <v>28150</v>
      </c>
      <c r="H40" s="398">
        <v>27740</v>
      </c>
      <c r="I40" s="398">
        <v>27220</v>
      </c>
      <c r="J40" s="398">
        <v>27260</v>
      </c>
      <c r="K40" s="398">
        <v>27580</v>
      </c>
      <c r="L40" s="398">
        <v>27180</v>
      </c>
      <c r="M40" s="398">
        <v>27610</v>
      </c>
      <c r="N40" s="398">
        <v>27200</v>
      </c>
      <c r="O40" s="398">
        <v>25960</v>
      </c>
      <c r="P40" s="398">
        <v>24850</v>
      </c>
      <c r="Q40" s="398">
        <v>24070</v>
      </c>
      <c r="R40" s="398">
        <v>23390</v>
      </c>
      <c r="S40" s="398">
        <v>23330</v>
      </c>
      <c r="T40" s="398">
        <v>23070</v>
      </c>
      <c r="U40" s="398">
        <v>23810</v>
      </c>
      <c r="V40" s="398">
        <v>24590</v>
      </c>
      <c r="W40" s="398">
        <v>25440</v>
      </c>
      <c r="X40" s="398">
        <v>26370</v>
      </c>
      <c r="Y40" s="398">
        <v>27530</v>
      </c>
      <c r="Z40" s="398">
        <v>27910</v>
      </c>
      <c r="AA40" s="398">
        <v>28440</v>
      </c>
      <c r="AB40" s="398">
        <v>29240</v>
      </c>
      <c r="AC40" s="398">
        <v>30140</v>
      </c>
      <c r="AD40" s="398">
        <v>31670</v>
      </c>
      <c r="AE40" s="398">
        <v>32840</v>
      </c>
      <c r="AF40" s="398">
        <v>34140</v>
      </c>
      <c r="AG40" s="398">
        <v>35480</v>
      </c>
      <c r="AH40" s="398">
        <v>34880</v>
      </c>
      <c r="AI40" s="398">
        <v>34790</v>
      </c>
      <c r="AJ40" s="398">
        <v>34420</v>
      </c>
      <c r="AK40" s="398">
        <v>34490</v>
      </c>
      <c r="AL40" s="398">
        <v>34100</v>
      </c>
      <c r="AM40" s="398">
        <v>32970</v>
      </c>
      <c r="AN40" s="398">
        <v>33040</v>
      </c>
      <c r="AO40" s="398">
        <v>32670</v>
      </c>
      <c r="AP40" s="398">
        <v>33330</v>
      </c>
      <c r="AQ40" s="398">
        <v>32780</v>
      </c>
      <c r="AR40" s="398">
        <v>31540</v>
      </c>
      <c r="AS40" s="398">
        <v>31930</v>
      </c>
      <c r="AT40" s="398">
        <v>32560</v>
      </c>
      <c r="AU40" s="398">
        <v>32370</v>
      </c>
      <c r="AV40" s="398">
        <v>32860</v>
      </c>
      <c r="AW40" s="398">
        <v>34070</v>
      </c>
      <c r="AX40" s="398">
        <v>35160</v>
      </c>
      <c r="AY40" s="398">
        <v>34890</v>
      </c>
      <c r="AZ40" s="398">
        <v>34760</v>
      </c>
      <c r="BA40" s="398">
        <v>34260</v>
      </c>
      <c r="BB40" s="398">
        <v>33560</v>
      </c>
      <c r="BC40" s="398">
        <v>33580</v>
      </c>
      <c r="BD40" s="398">
        <v>33670</v>
      </c>
      <c r="BE40" s="398">
        <v>33810</v>
      </c>
      <c r="BF40" s="398">
        <v>33980</v>
      </c>
    </row>
    <row r="41" spans="1:58" x14ac:dyDescent="0.2">
      <c r="A41" s="399" t="s">
        <v>51</v>
      </c>
      <c r="B41" s="247"/>
      <c r="C41" s="398">
        <v>28410</v>
      </c>
      <c r="D41" s="398">
        <v>29210</v>
      </c>
      <c r="E41" s="398">
        <v>29740</v>
      </c>
      <c r="F41" s="398">
        <v>29580</v>
      </c>
      <c r="G41" s="398">
        <v>29150</v>
      </c>
      <c r="H41" s="398">
        <v>28020</v>
      </c>
      <c r="I41" s="398">
        <v>27570</v>
      </c>
      <c r="J41" s="398">
        <v>27060</v>
      </c>
      <c r="K41" s="398">
        <v>27130</v>
      </c>
      <c r="L41" s="398">
        <v>27470</v>
      </c>
      <c r="M41" s="398">
        <v>27080</v>
      </c>
      <c r="N41" s="398">
        <v>27510</v>
      </c>
      <c r="O41" s="398">
        <v>27100</v>
      </c>
      <c r="P41" s="398">
        <v>25860</v>
      </c>
      <c r="Q41" s="398">
        <v>24750</v>
      </c>
      <c r="R41" s="398">
        <v>23980</v>
      </c>
      <c r="S41" s="398">
        <v>23290</v>
      </c>
      <c r="T41" s="398">
        <v>23240</v>
      </c>
      <c r="U41" s="398">
        <v>22970</v>
      </c>
      <c r="V41" s="398">
        <v>23720</v>
      </c>
      <c r="W41" s="398">
        <v>24500</v>
      </c>
      <c r="X41" s="398">
        <v>25350</v>
      </c>
      <c r="Y41" s="398">
        <v>26280</v>
      </c>
      <c r="Z41" s="398">
        <v>27440</v>
      </c>
      <c r="AA41" s="398">
        <v>27820</v>
      </c>
      <c r="AB41" s="398">
        <v>28350</v>
      </c>
      <c r="AC41" s="398">
        <v>29140</v>
      </c>
      <c r="AD41" s="398">
        <v>30050</v>
      </c>
      <c r="AE41" s="398">
        <v>31570</v>
      </c>
      <c r="AF41" s="398">
        <v>32740</v>
      </c>
      <c r="AG41" s="398">
        <v>34040</v>
      </c>
      <c r="AH41" s="398">
        <v>35380</v>
      </c>
      <c r="AI41" s="398">
        <v>34780</v>
      </c>
      <c r="AJ41" s="398">
        <v>34700</v>
      </c>
      <c r="AK41" s="398">
        <v>34330</v>
      </c>
      <c r="AL41" s="398">
        <v>34400</v>
      </c>
      <c r="AM41" s="398">
        <v>34000</v>
      </c>
      <c r="AN41" s="398">
        <v>32880</v>
      </c>
      <c r="AO41" s="398">
        <v>32950</v>
      </c>
      <c r="AP41" s="398">
        <v>32580</v>
      </c>
      <c r="AQ41" s="398">
        <v>33240</v>
      </c>
      <c r="AR41" s="398">
        <v>32690</v>
      </c>
      <c r="AS41" s="398">
        <v>31460</v>
      </c>
      <c r="AT41" s="398">
        <v>31850</v>
      </c>
      <c r="AU41" s="398">
        <v>32470</v>
      </c>
      <c r="AV41" s="398">
        <v>32290</v>
      </c>
      <c r="AW41" s="398">
        <v>32770</v>
      </c>
      <c r="AX41" s="398">
        <v>33990</v>
      </c>
      <c r="AY41" s="398">
        <v>35070</v>
      </c>
      <c r="AZ41" s="398">
        <v>34810</v>
      </c>
      <c r="BA41" s="398">
        <v>34680</v>
      </c>
      <c r="BB41" s="398">
        <v>34170</v>
      </c>
      <c r="BC41" s="398">
        <v>33480</v>
      </c>
      <c r="BD41" s="398">
        <v>33500</v>
      </c>
      <c r="BE41" s="398">
        <v>33590</v>
      </c>
      <c r="BF41" s="398">
        <v>33730</v>
      </c>
    </row>
    <row r="42" spans="1:58" x14ac:dyDescent="0.2">
      <c r="A42" s="399" t="s">
        <v>52</v>
      </c>
      <c r="B42" s="247"/>
      <c r="C42" s="398">
        <v>27970</v>
      </c>
      <c r="D42" s="398">
        <v>28320</v>
      </c>
      <c r="E42" s="398">
        <v>29110</v>
      </c>
      <c r="F42" s="398">
        <v>29630</v>
      </c>
      <c r="G42" s="398">
        <v>29450</v>
      </c>
      <c r="H42" s="398">
        <v>29000</v>
      </c>
      <c r="I42" s="398">
        <v>27840</v>
      </c>
      <c r="J42" s="398">
        <v>27400</v>
      </c>
      <c r="K42" s="398">
        <v>26930</v>
      </c>
      <c r="L42" s="398">
        <v>27020</v>
      </c>
      <c r="M42" s="398">
        <v>27350</v>
      </c>
      <c r="N42" s="398">
        <v>26960</v>
      </c>
      <c r="O42" s="398">
        <v>27390</v>
      </c>
      <c r="P42" s="398">
        <v>26990</v>
      </c>
      <c r="Q42" s="398">
        <v>25750</v>
      </c>
      <c r="R42" s="398">
        <v>24640</v>
      </c>
      <c r="S42" s="398">
        <v>23870</v>
      </c>
      <c r="T42" s="398">
        <v>23190</v>
      </c>
      <c r="U42" s="398">
        <v>23140</v>
      </c>
      <c r="V42" s="398">
        <v>22870</v>
      </c>
      <c r="W42" s="398">
        <v>23620</v>
      </c>
      <c r="X42" s="398">
        <v>24400</v>
      </c>
      <c r="Y42" s="398">
        <v>25250</v>
      </c>
      <c r="Z42" s="398">
        <v>26180</v>
      </c>
      <c r="AA42" s="398">
        <v>27340</v>
      </c>
      <c r="AB42" s="398">
        <v>27710</v>
      </c>
      <c r="AC42" s="398">
        <v>28250</v>
      </c>
      <c r="AD42" s="398">
        <v>29040</v>
      </c>
      <c r="AE42" s="398">
        <v>29940</v>
      </c>
      <c r="AF42" s="398">
        <v>31470</v>
      </c>
      <c r="AG42" s="398">
        <v>32640</v>
      </c>
      <c r="AH42" s="398">
        <v>33940</v>
      </c>
      <c r="AI42" s="398">
        <v>35270</v>
      </c>
      <c r="AJ42" s="398">
        <v>34680</v>
      </c>
      <c r="AK42" s="398">
        <v>34600</v>
      </c>
      <c r="AL42" s="398">
        <v>34230</v>
      </c>
      <c r="AM42" s="398">
        <v>34300</v>
      </c>
      <c r="AN42" s="398">
        <v>33900</v>
      </c>
      <c r="AO42" s="398">
        <v>32780</v>
      </c>
      <c r="AP42" s="398">
        <v>32860</v>
      </c>
      <c r="AQ42" s="398">
        <v>32480</v>
      </c>
      <c r="AR42" s="398">
        <v>33150</v>
      </c>
      <c r="AS42" s="398">
        <v>32600</v>
      </c>
      <c r="AT42" s="398">
        <v>31360</v>
      </c>
      <c r="AU42" s="398">
        <v>31750</v>
      </c>
      <c r="AV42" s="398">
        <v>32380</v>
      </c>
      <c r="AW42" s="398">
        <v>32200</v>
      </c>
      <c r="AX42" s="398">
        <v>32680</v>
      </c>
      <c r="AY42" s="398">
        <v>33900</v>
      </c>
      <c r="AZ42" s="398">
        <v>34980</v>
      </c>
      <c r="BA42" s="398">
        <v>34710</v>
      </c>
      <c r="BB42" s="398">
        <v>34580</v>
      </c>
      <c r="BC42" s="398">
        <v>34080</v>
      </c>
      <c r="BD42" s="398">
        <v>33390</v>
      </c>
      <c r="BE42" s="398">
        <v>33410</v>
      </c>
      <c r="BF42" s="398">
        <v>33500</v>
      </c>
    </row>
    <row r="43" spans="1:58" x14ac:dyDescent="0.2">
      <c r="A43" s="399" t="s">
        <v>53</v>
      </c>
      <c r="B43" s="247"/>
      <c r="C43" s="398">
        <v>26550</v>
      </c>
      <c r="D43" s="398">
        <v>27830</v>
      </c>
      <c r="E43" s="398">
        <v>28110</v>
      </c>
      <c r="F43" s="398">
        <v>28980</v>
      </c>
      <c r="G43" s="398">
        <v>29450</v>
      </c>
      <c r="H43" s="398">
        <v>29190</v>
      </c>
      <c r="I43" s="398">
        <v>28740</v>
      </c>
      <c r="J43" s="398">
        <v>27600</v>
      </c>
      <c r="K43" s="398">
        <v>27190</v>
      </c>
      <c r="L43" s="398">
        <v>26740</v>
      </c>
      <c r="M43" s="398">
        <v>26830</v>
      </c>
      <c r="N43" s="398">
        <v>27170</v>
      </c>
      <c r="O43" s="398">
        <v>26780</v>
      </c>
      <c r="P43" s="398">
        <v>27210</v>
      </c>
      <c r="Q43" s="398">
        <v>26810</v>
      </c>
      <c r="R43" s="398">
        <v>25580</v>
      </c>
      <c r="S43" s="398">
        <v>24480</v>
      </c>
      <c r="T43" s="398">
        <v>23710</v>
      </c>
      <c r="U43" s="398">
        <v>23030</v>
      </c>
      <c r="V43" s="398">
        <v>22980</v>
      </c>
      <c r="W43" s="398">
        <v>22720</v>
      </c>
      <c r="X43" s="398">
        <v>23460</v>
      </c>
      <c r="Y43" s="398">
        <v>24240</v>
      </c>
      <c r="Z43" s="398">
        <v>25090</v>
      </c>
      <c r="AA43" s="398">
        <v>26010</v>
      </c>
      <c r="AB43" s="398">
        <v>27170</v>
      </c>
      <c r="AC43" s="398">
        <v>27550</v>
      </c>
      <c r="AD43" s="398">
        <v>28080</v>
      </c>
      <c r="AE43" s="398">
        <v>28870</v>
      </c>
      <c r="AF43" s="398">
        <v>29770</v>
      </c>
      <c r="AG43" s="398">
        <v>31290</v>
      </c>
      <c r="AH43" s="398">
        <v>32460</v>
      </c>
      <c r="AI43" s="398">
        <v>33750</v>
      </c>
      <c r="AJ43" s="398">
        <v>35080</v>
      </c>
      <c r="AK43" s="398">
        <v>34490</v>
      </c>
      <c r="AL43" s="398">
        <v>34410</v>
      </c>
      <c r="AM43" s="398">
        <v>34040</v>
      </c>
      <c r="AN43" s="398">
        <v>34120</v>
      </c>
      <c r="AO43" s="398">
        <v>33730</v>
      </c>
      <c r="AP43" s="398">
        <v>32610</v>
      </c>
      <c r="AQ43" s="398">
        <v>32680</v>
      </c>
      <c r="AR43" s="398">
        <v>32310</v>
      </c>
      <c r="AS43" s="398">
        <v>32970</v>
      </c>
      <c r="AT43" s="398">
        <v>32430</v>
      </c>
      <c r="AU43" s="398">
        <v>31200</v>
      </c>
      <c r="AV43" s="398">
        <v>31590</v>
      </c>
      <c r="AW43" s="398">
        <v>32210</v>
      </c>
      <c r="AX43" s="398">
        <v>32030</v>
      </c>
      <c r="AY43" s="398">
        <v>32510</v>
      </c>
      <c r="AZ43" s="398">
        <v>33720</v>
      </c>
      <c r="BA43" s="398">
        <v>34810</v>
      </c>
      <c r="BB43" s="398">
        <v>34540</v>
      </c>
      <c r="BC43" s="398">
        <v>34410</v>
      </c>
      <c r="BD43" s="398">
        <v>33910</v>
      </c>
      <c r="BE43" s="398">
        <v>33220</v>
      </c>
      <c r="BF43" s="398">
        <v>33240</v>
      </c>
    </row>
    <row r="44" spans="1:58" x14ac:dyDescent="0.2">
      <c r="A44" s="399" t="s">
        <v>54</v>
      </c>
      <c r="B44" s="247"/>
      <c r="C44" s="398">
        <v>26270</v>
      </c>
      <c r="D44" s="398">
        <v>26370</v>
      </c>
      <c r="E44" s="398">
        <v>27580</v>
      </c>
      <c r="F44" s="398">
        <v>27920</v>
      </c>
      <c r="G44" s="398">
        <v>28790</v>
      </c>
      <c r="H44" s="398">
        <v>29190</v>
      </c>
      <c r="I44" s="398">
        <v>28900</v>
      </c>
      <c r="J44" s="398">
        <v>28470</v>
      </c>
      <c r="K44" s="398">
        <v>27360</v>
      </c>
      <c r="L44" s="398">
        <v>26970</v>
      </c>
      <c r="M44" s="398">
        <v>26520</v>
      </c>
      <c r="N44" s="398">
        <v>26620</v>
      </c>
      <c r="O44" s="398">
        <v>26950</v>
      </c>
      <c r="P44" s="398">
        <v>26570</v>
      </c>
      <c r="Q44" s="398">
        <v>27000</v>
      </c>
      <c r="R44" s="398">
        <v>26600</v>
      </c>
      <c r="S44" s="398">
        <v>25370</v>
      </c>
      <c r="T44" s="398">
        <v>24280</v>
      </c>
      <c r="U44" s="398">
        <v>23520</v>
      </c>
      <c r="V44" s="398">
        <v>22840</v>
      </c>
      <c r="W44" s="398">
        <v>22790</v>
      </c>
      <c r="X44" s="398">
        <v>22530</v>
      </c>
      <c r="Y44" s="398">
        <v>23270</v>
      </c>
      <c r="Z44" s="398">
        <v>24050</v>
      </c>
      <c r="AA44" s="398">
        <v>24890</v>
      </c>
      <c r="AB44" s="398">
        <v>25820</v>
      </c>
      <c r="AC44" s="398">
        <v>26970</v>
      </c>
      <c r="AD44" s="398">
        <v>27340</v>
      </c>
      <c r="AE44" s="398">
        <v>27870</v>
      </c>
      <c r="AF44" s="398">
        <v>28660</v>
      </c>
      <c r="AG44" s="398">
        <v>29560</v>
      </c>
      <c r="AH44" s="398">
        <v>31080</v>
      </c>
      <c r="AI44" s="398">
        <v>32240</v>
      </c>
      <c r="AJ44" s="398">
        <v>33530</v>
      </c>
      <c r="AK44" s="398">
        <v>34860</v>
      </c>
      <c r="AL44" s="398">
        <v>34270</v>
      </c>
      <c r="AM44" s="398">
        <v>34190</v>
      </c>
      <c r="AN44" s="398">
        <v>33820</v>
      </c>
      <c r="AO44" s="398">
        <v>33900</v>
      </c>
      <c r="AP44" s="398">
        <v>33510</v>
      </c>
      <c r="AQ44" s="398">
        <v>32390</v>
      </c>
      <c r="AR44" s="398">
        <v>32470</v>
      </c>
      <c r="AS44" s="398">
        <v>32100</v>
      </c>
      <c r="AT44" s="398">
        <v>32760</v>
      </c>
      <c r="AU44" s="398">
        <v>32220</v>
      </c>
      <c r="AV44" s="398">
        <v>30990</v>
      </c>
      <c r="AW44" s="398">
        <v>31380</v>
      </c>
      <c r="AX44" s="398">
        <v>32000</v>
      </c>
      <c r="AY44" s="398">
        <v>31820</v>
      </c>
      <c r="AZ44" s="398">
        <v>32310</v>
      </c>
      <c r="BA44" s="398">
        <v>33510</v>
      </c>
      <c r="BB44" s="398">
        <v>34590</v>
      </c>
      <c r="BC44" s="398">
        <v>34330</v>
      </c>
      <c r="BD44" s="398">
        <v>34200</v>
      </c>
      <c r="BE44" s="398">
        <v>33700</v>
      </c>
      <c r="BF44" s="398">
        <v>33010</v>
      </c>
    </row>
    <row r="45" spans="1:58" x14ac:dyDescent="0.2">
      <c r="A45" s="399" t="s">
        <v>55</v>
      </c>
      <c r="B45" s="247"/>
      <c r="C45" s="398">
        <v>25530</v>
      </c>
      <c r="D45" s="398">
        <v>26020</v>
      </c>
      <c r="E45" s="398">
        <v>26060</v>
      </c>
      <c r="F45" s="398">
        <v>27290</v>
      </c>
      <c r="G45" s="398">
        <v>27640</v>
      </c>
      <c r="H45" s="398">
        <v>28450</v>
      </c>
      <c r="I45" s="398">
        <v>28830</v>
      </c>
      <c r="J45" s="398">
        <v>28550</v>
      </c>
      <c r="K45" s="398">
        <v>28150</v>
      </c>
      <c r="L45" s="398">
        <v>27070</v>
      </c>
      <c r="M45" s="398">
        <v>26690</v>
      </c>
      <c r="N45" s="398">
        <v>26250</v>
      </c>
      <c r="O45" s="398">
        <v>26340</v>
      </c>
      <c r="P45" s="398">
        <v>26680</v>
      </c>
      <c r="Q45" s="398">
        <v>26300</v>
      </c>
      <c r="R45" s="398">
        <v>26720</v>
      </c>
      <c r="S45" s="398">
        <v>26330</v>
      </c>
      <c r="T45" s="398">
        <v>25110</v>
      </c>
      <c r="U45" s="398">
        <v>24030</v>
      </c>
      <c r="V45" s="398">
        <v>23270</v>
      </c>
      <c r="W45" s="398">
        <v>22600</v>
      </c>
      <c r="X45" s="398">
        <v>22550</v>
      </c>
      <c r="Y45" s="398">
        <v>22300</v>
      </c>
      <c r="Z45" s="398">
        <v>23030</v>
      </c>
      <c r="AA45" s="398">
        <v>23800</v>
      </c>
      <c r="AB45" s="398">
        <v>24640</v>
      </c>
      <c r="AC45" s="398">
        <v>25560</v>
      </c>
      <c r="AD45" s="398">
        <v>26710</v>
      </c>
      <c r="AE45" s="398">
        <v>27080</v>
      </c>
      <c r="AF45" s="398">
        <v>27610</v>
      </c>
      <c r="AG45" s="398">
        <v>28390</v>
      </c>
      <c r="AH45" s="398">
        <v>29280</v>
      </c>
      <c r="AI45" s="398">
        <v>30790</v>
      </c>
      <c r="AJ45" s="398">
        <v>31950</v>
      </c>
      <c r="AK45" s="398">
        <v>33230</v>
      </c>
      <c r="AL45" s="398">
        <v>34550</v>
      </c>
      <c r="AM45" s="398">
        <v>33970</v>
      </c>
      <c r="AN45" s="398">
        <v>33890</v>
      </c>
      <c r="AO45" s="398">
        <v>33530</v>
      </c>
      <c r="AP45" s="398">
        <v>33600</v>
      </c>
      <c r="AQ45" s="398">
        <v>33210</v>
      </c>
      <c r="AR45" s="398">
        <v>32110</v>
      </c>
      <c r="AS45" s="398">
        <v>32180</v>
      </c>
      <c r="AT45" s="398">
        <v>31820</v>
      </c>
      <c r="AU45" s="398">
        <v>32480</v>
      </c>
      <c r="AV45" s="398">
        <v>31940</v>
      </c>
      <c r="AW45" s="398">
        <v>30720</v>
      </c>
      <c r="AX45" s="398">
        <v>31110</v>
      </c>
      <c r="AY45" s="398">
        <v>31730</v>
      </c>
      <c r="AZ45" s="398">
        <v>31550</v>
      </c>
      <c r="BA45" s="398">
        <v>32030</v>
      </c>
      <c r="BB45" s="398">
        <v>33230</v>
      </c>
      <c r="BC45" s="398">
        <v>34300</v>
      </c>
      <c r="BD45" s="398">
        <v>34040</v>
      </c>
      <c r="BE45" s="398">
        <v>33910</v>
      </c>
      <c r="BF45" s="398">
        <v>33420</v>
      </c>
    </row>
    <row r="46" spans="1:58" x14ac:dyDescent="0.2">
      <c r="A46" s="399" t="s">
        <v>56</v>
      </c>
      <c r="B46" s="247"/>
      <c r="C46" s="398">
        <v>24300</v>
      </c>
      <c r="D46" s="398">
        <v>25290</v>
      </c>
      <c r="E46" s="398">
        <v>25750</v>
      </c>
      <c r="F46" s="398">
        <v>25790</v>
      </c>
      <c r="G46" s="398">
        <v>27020</v>
      </c>
      <c r="H46" s="398">
        <v>27300</v>
      </c>
      <c r="I46" s="398">
        <v>28100</v>
      </c>
      <c r="J46" s="398">
        <v>28480</v>
      </c>
      <c r="K46" s="398">
        <v>28230</v>
      </c>
      <c r="L46" s="398">
        <v>27850</v>
      </c>
      <c r="M46" s="398">
        <v>26790</v>
      </c>
      <c r="N46" s="398">
        <v>26400</v>
      </c>
      <c r="O46" s="398">
        <v>25970</v>
      </c>
      <c r="P46" s="398">
        <v>26060</v>
      </c>
      <c r="Q46" s="398">
        <v>26400</v>
      </c>
      <c r="R46" s="398">
        <v>26020</v>
      </c>
      <c r="S46" s="398">
        <v>26440</v>
      </c>
      <c r="T46" s="398">
        <v>26050</v>
      </c>
      <c r="U46" s="398">
        <v>24850</v>
      </c>
      <c r="V46" s="398">
        <v>23780</v>
      </c>
      <c r="W46" s="398">
        <v>23030</v>
      </c>
      <c r="X46" s="398">
        <v>22360</v>
      </c>
      <c r="Y46" s="398">
        <v>22310</v>
      </c>
      <c r="Z46" s="398">
        <v>22060</v>
      </c>
      <c r="AA46" s="398">
        <v>22790</v>
      </c>
      <c r="AB46" s="398">
        <v>23560</v>
      </c>
      <c r="AC46" s="398">
        <v>24390</v>
      </c>
      <c r="AD46" s="398">
        <v>25310</v>
      </c>
      <c r="AE46" s="398">
        <v>26440</v>
      </c>
      <c r="AF46" s="398">
        <v>26820</v>
      </c>
      <c r="AG46" s="398">
        <v>27340</v>
      </c>
      <c r="AH46" s="398">
        <v>28120</v>
      </c>
      <c r="AI46" s="398">
        <v>29010</v>
      </c>
      <c r="AJ46" s="398">
        <v>30510</v>
      </c>
      <c r="AK46" s="398">
        <v>31650</v>
      </c>
      <c r="AL46" s="398">
        <v>32930</v>
      </c>
      <c r="AM46" s="398">
        <v>34240</v>
      </c>
      <c r="AN46" s="398">
        <v>33670</v>
      </c>
      <c r="AO46" s="398">
        <v>33590</v>
      </c>
      <c r="AP46" s="398">
        <v>33230</v>
      </c>
      <c r="AQ46" s="398">
        <v>33300</v>
      </c>
      <c r="AR46" s="398">
        <v>32920</v>
      </c>
      <c r="AS46" s="398">
        <v>31820</v>
      </c>
      <c r="AT46" s="398">
        <v>31900</v>
      </c>
      <c r="AU46" s="398">
        <v>31540</v>
      </c>
      <c r="AV46" s="398">
        <v>32190</v>
      </c>
      <c r="AW46" s="398">
        <v>31660</v>
      </c>
      <c r="AX46" s="398">
        <v>30450</v>
      </c>
      <c r="AY46" s="398">
        <v>30830</v>
      </c>
      <c r="AZ46" s="398">
        <v>31450</v>
      </c>
      <c r="BA46" s="398">
        <v>31270</v>
      </c>
      <c r="BB46" s="398">
        <v>31750</v>
      </c>
      <c r="BC46" s="398">
        <v>32940</v>
      </c>
      <c r="BD46" s="398">
        <v>34010</v>
      </c>
      <c r="BE46" s="398">
        <v>33750</v>
      </c>
      <c r="BF46" s="398">
        <v>33630</v>
      </c>
    </row>
    <row r="47" spans="1:58" x14ac:dyDescent="0.2">
      <c r="A47" s="399" t="s">
        <v>57</v>
      </c>
      <c r="B47" s="247"/>
      <c r="C47" s="398">
        <v>23620</v>
      </c>
      <c r="D47" s="398">
        <v>24170</v>
      </c>
      <c r="E47" s="398">
        <v>25100</v>
      </c>
      <c r="F47" s="398">
        <v>25590</v>
      </c>
      <c r="G47" s="398">
        <v>25670</v>
      </c>
      <c r="H47" s="398">
        <v>26840</v>
      </c>
      <c r="I47" s="398">
        <v>27100</v>
      </c>
      <c r="J47" s="398">
        <v>27910</v>
      </c>
      <c r="K47" s="398">
        <v>28310</v>
      </c>
      <c r="L47" s="398">
        <v>28080</v>
      </c>
      <c r="M47" s="398">
        <v>27710</v>
      </c>
      <c r="N47" s="398">
        <v>26640</v>
      </c>
      <c r="O47" s="398">
        <v>26260</v>
      </c>
      <c r="P47" s="398">
        <v>25830</v>
      </c>
      <c r="Q47" s="398">
        <v>25930</v>
      </c>
      <c r="R47" s="398">
        <v>26260</v>
      </c>
      <c r="S47" s="398">
        <v>25890</v>
      </c>
      <c r="T47" s="398">
        <v>26310</v>
      </c>
      <c r="U47" s="398">
        <v>25920</v>
      </c>
      <c r="V47" s="398">
        <v>24730</v>
      </c>
      <c r="W47" s="398">
        <v>23650</v>
      </c>
      <c r="X47" s="398">
        <v>22910</v>
      </c>
      <c r="Y47" s="398">
        <v>22250</v>
      </c>
      <c r="Z47" s="398">
        <v>22200</v>
      </c>
      <c r="AA47" s="398">
        <v>21950</v>
      </c>
      <c r="AB47" s="398">
        <v>22680</v>
      </c>
      <c r="AC47" s="398">
        <v>23440</v>
      </c>
      <c r="AD47" s="398">
        <v>24280</v>
      </c>
      <c r="AE47" s="398">
        <v>25190</v>
      </c>
      <c r="AF47" s="398">
        <v>26330</v>
      </c>
      <c r="AG47" s="398">
        <v>26700</v>
      </c>
      <c r="AH47" s="398">
        <v>27220</v>
      </c>
      <c r="AI47" s="398">
        <v>28010</v>
      </c>
      <c r="AJ47" s="398">
        <v>28890</v>
      </c>
      <c r="AK47" s="398">
        <v>30390</v>
      </c>
      <c r="AL47" s="398">
        <v>31540</v>
      </c>
      <c r="AM47" s="398">
        <v>32810</v>
      </c>
      <c r="AN47" s="398">
        <v>34120</v>
      </c>
      <c r="AO47" s="398">
        <v>33550</v>
      </c>
      <c r="AP47" s="398">
        <v>33470</v>
      </c>
      <c r="AQ47" s="398">
        <v>33110</v>
      </c>
      <c r="AR47" s="398">
        <v>33190</v>
      </c>
      <c r="AS47" s="398">
        <v>32810</v>
      </c>
      <c r="AT47" s="398">
        <v>31710</v>
      </c>
      <c r="AU47" s="398">
        <v>31790</v>
      </c>
      <c r="AV47" s="398">
        <v>31430</v>
      </c>
      <c r="AW47" s="398">
        <v>32080</v>
      </c>
      <c r="AX47" s="398">
        <v>31550</v>
      </c>
      <c r="AY47" s="398">
        <v>30340</v>
      </c>
      <c r="AZ47" s="398">
        <v>30730</v>
      </c>
      <c r="BA47" s="398">
        <v>31350</v>
      </c>
      <c r="BB47" s="398">
        <v>31170</v>
      </c>
      <c r="BC47" s="398">
        <v>31650</v>
      </c>
      <c r="BD47" s="398">
        <v>32840</v>
      </c>
      <c r="BE47" s="398">
        <v>33910</v>
      </c>
      <c r="BF47" s="398">
        <v>33650</v>
      </c>
    </row>
    <row r="48" spans="1:58" x14ac:dyDescent="0.2">
      <c r="A48" s="399" t="s">
        <v>58</v>
      </c>
      <c r="B48" s="247"/>
      <c r="C48" s="398">
        <v>22910</v>
      </c>
      <c r="D48" s="398">
        <v>23440</v>
      </c>
      <c r="E48" s="398">
        <v>23960</v>
      </c>
      <c r="F48" s="398">
        <v>24950</v>
      </c>
      <c r="G48" s="398">
        <v>25450</v>
      </c>
      <c r="H48" s="398">
        <v>25450</v>
      </c>
      <c r="I48" s="398">
        <v>26620</v>
      </c>
      <c r="J48" s="398">
        <v>26890</v>
      </c>
      <c r="K48" s="398">
        <v>27710</v>
      </c>
      <c r="L48" s="398">
        <v>28140</v>
      </c>
      <c r="M48" s="398">
        <v>27910</v>
      </c>
      <c r="N48" s="398">
        <v>27540</v>
      </c>
      <c r="O48" s="398">
        <v>26480</v>
      </c>
      <c r="P48" s="398">
        <v>26100</v>
      </c>
      <c r="Q48" s="398">
        <v>25670</v>
      </c>
      <c r="R48" s="398">
        <v>25770</v>
      </c>
      <c r="S48" s="398">
        <v>26110</v>
      </c>
      <c r="T48" s="398">
        <v>25740</v>
      </c>
      <c r="U48" s="398">
        <v>26160</v>
      </c>
      <c r="V48" s="398">
        <v>25770</v>
      </c>
      <c r="W48" s="398">
        <v>24580</v>
      </c>
      <c r="X48" s="398">
        <v>23510</v>
      </c>
      <c r="Y48" s="398">
        <v>22770</v>
      </c>
      <c r="Z48" s="398">
        <v>22110</v>
      </c>
      <c r="AA48" s="398">
        <v>22070</v>
      </c>
      <c r="AB48" s="398">
        <v>21820</v>
      </c>
      <c r="AC48" s="398">
        <v>22550</v>
      </c>
      <c r="AD48" s="398">
        <v>23310</v>
      </c>
      <c r="AE48" s="398">
        <v>24150</v>
      </c>
      <c r="AF48" s="398">
        <v>25060</v>
      </c>
      <c r="AG48" s="398">
        <v>26190</v>
      </c>
      <c r="AH48" s="398">
        <v>26570</v>
      </c>
      <c r="AI48" s="398">
        <v>27090</v>
      </c>
      <c r="AJ48" s="398">
        <v>27870</v>
      </c>
      <c r="AK48" s="398">
        <v>28750</v>
      </c>
      <c r="AL48" s="398">
        <v>30250</v>
      </c>
      <c r="AM48" s="398">
        <v>31390</v>
      </c>
      <c r="AN48" s="398">
        <v>32670</v>
      </c>
      <c r="AO48" s="398">
        <v>33980</v>
      </c>
      <c r="AP48" s="398">
        <v>33400</v>
      </c>
      <c r="AQ48" s="398">
        <v>33330</v>
      </c>
      <c r="AR48" s="398">
        <v>32970</v>
      </c>
      <c r="AS48" s="398">
        <v>33050</v>
      </c>
      <c r="AT48" s="398">
        <v>32670</v>
      </c>
      <c r="AU48" s="398">
        <v>31580</v>
      </c>
      <c r="AV48" s="398">
        <v>31660</v>
      </c>
      <c r="AW48" s="398">
        <v>31300</v>
      </c>
      <c r="AX48" s="398">
        <v>31950</v>
      </c>
      <c r="AY48" s="398">
        <v>31420</v>
      </c>
      <c r="AZ48" s="398">
        <v>30220</v>
      </c>
      <c r="BA48" s="398">
        <v>30600</v>
      </c>
      <c r="BB48" s="398">
        <v>31220</v>
      </c>
      <c r="BC48" s="398">
        <v>31040</v>
      </c>
      <c r="BD48" s="398">
        <v>31520</v>
      </c>
      <c r="BE48" s="398">
        <v>32710</v>
      </c>
      <c r="BF48" s="398">
        <v>33780</v>
      </c>
    </row>
    <row r="49" spans="1:58" x14ac:dyDescent="0.2">
      <c r="A49" s="399" t="s">
        <v>59</v>
      </c>
      <c r="B49" s="247"/>
      <c r="C49" s="398">
        <v>22480</v>
      </c>
      <c r="D49" s="398">
        <v>22620</v>
      </c>
      <c r="E49" s="398">
        <v>23190</v>
      </c>
      <c r="F49" s="398">
        <v>23710</v>
      </c>
      <c r="G49" s="398">
        <v>24700</v>
      </c>
      <c r="H49" s="398">
        <v>25110</v>
      </c>
      <c r="I49" s="398">
        <v>25120</v>
      </c>
      <c r="J49" s="398">
        <v>26300</v>
      </c>
      <c r="K49" s="398">
        <v>26590</v>
      </c>
      <c r="L49" s="398">
        <v>27430</v>
      </c>
      <c r="M49" s="398">
        <v>27850</v>
      </c>
      <c r="N49" s="398">
        <v>27630</v>
      </c>
      <c r="O49" s="398">
        <v>27260</v>
      </c>
      <c r="P49" s="398">
        <v>26220</v>
      </c>
      <c r="Q49" s="398">
        <v>25850</v>
      </c>
      <c r="R49" s="398">
        <v>25420</v>
      </c>
      <c r="S49" s="398">
        <v>25520</v>
      </c>
      <c r="T49" s="398">
        <v>25860</v>
      </c>
      <c r="U49" s="398">
        <v>25500</v>
      </c>
      <c r="V49" s="398">
        <v>25920</v>
      </c>
      <c r="W49" s="398">
        <v>25540</v>
      </c>
      <c r="X49" s="398">
        <v>24360</v>
      </c>
      <c r="Y49" s="398">
        <v>23300</v>
      </c>
      <c r="Z49" s="398">
        <v>22560</v>
      </c>
      <c r="AA49" s="398">
        <v>21910</v>
      </c>
      <c r="AB49" s="398">
        <v>21870</v>
      </c>
      <c r="AC49" s="398">
        <v>21620</v>
      </c>
      <c r="AD49" s="398">
        <v>22350</v>
      </c>
      <c r="AE49" s="398">
        <v>23110</v>
      </c>
      <c r="AF49" s="398">
        <v>23940</v>
      </c>
      <c r="AG49" s="398">
        <v>24850</v>
      </c>
      <c r="AH49" s="398">
        <v>25980</v>
      </c>
      <c r="AI49" s="398">
        <v>26350</v>
      </c>
      <c r="AJ49" s="398">
        <v>26870</v>
      </c>
      <c r="AK49" s="398">
        <v>27650</v>
      </c>
      <c r="AL49" s="398">
        <v>28530</v>
      </c>
      <c r="AM49" s="398">
        <v>30010</v>
      </c>
      <c r="AN49" s="398">
        <v>31150</v>
      </c>
      <c r="AO49" s="398">
        <v>32420</v>
      </c>
      <c r="AP49" s="398">
        <v>33720</v>
      </c>
      <c r="AQ49" s="398">
        <v>33160</v>
      </c>
      <c r="AR49" s="398">
        <v>33080</v>
      </c>
      <c r="AS49" s="398">
        <v>32730</v>
      </c>
      <c r="AT49" s="398">
        <v>32810</v>
      </c>
      <c r="AU49" s="398">
        <v>32430</v>
      </c>
      <c r="AV49" s="398">
        <v>31350</v>
      </c>
      <c r="AW49" s="398">
        <v>31430</v>
      </c>
      <c r="AX49" s="398">
        <v>31070</v>
      </c>
      <c r="AY49" s="398">
        <v>31720</v>
      </c>
      <c r="AZ49" s="398">
        <v>31190</v>
      </c>
      <c r="BA49" s="398">
        <v>30000</v>
      </c>
      <c r="BB49" s="398">
        <v>30380</v>
      </c>
      <c r="BC49" s="398">
        <v>31000</v>
      </c>
      <c r="BD49" s="398">
        <v>30820</v>
      </c>
      <c r="BE49" s="398">
        <v>31300</v>
      </c>
      <c r="BF49" s="398">
        <v>32490</v>
      </c>
    </row>
    <row r="50" spans="1:58" x14ac:dyDescent="0.2">
      <c r="A50" s="399" t="s">
        <v>60</v>
      </c>
      <c r="B50" s="247"/>
      <c r="C50" s="398">
        <v>21500</v>
      </c>
      <c r="D50" s="398">
        <v>21910</v>
      </c>
      <c r="E50" s="398">
        <v>22020</v>
      </c>
      <c r="F50" s="398">
        <v>22670</v>
      </c>
      <c r="G50" s="398">
        <v>23160</v>
      </c>
      <c r="H50" s="398">
        <v>24080</v>
      </c>
      <c r="I50" s="398">
        <v>24520</v>
      </c>
      <c r="J50" s="398">
        <v>24550</v>
      </c>
      <c r="K50" s="398">
        <v>25740</v>
      </c>
      <c r="L50" s="398">
        <v>26050</v>
      </c>
      <c r="M50" s="398">
        <v>26880</v>
      </c>
      <c r="N50" s="398">
        <v>27310</v>
      </c>
      <c r="O50" s="398">
        <v>27110</v>
      </c>
      <c r="P50" s="398">
        <v>26760</v>
      </c>
      <c r="Q50" s="398">
        <v>25740</v>
      </c>
      <c r="R50" s="398">
        <v>25390</v>
      </c>
      <c r="S50" s="398">
        <v>24980</v>
      </c>
      <c r="T50" s="398">
        <v>25090</v>
      </c>
      <c r="U50" s="398">
        <v>25430</v>
      </c>
      <c r="V50" s="398">
        <v>25080</v>
      </c>
      <c r="W50" s="398">
        <v>25500</v>
      </c>
      <c r="X50" s="398">
        <v>25140</v>
      </c>
      <c r="Y50" s="398">
        <v>23980</v>
      </c>
      <c r="Z50" s="398">
        <v>22940</v>
      </c>
      <c r="AA50" s="398">
        <v>22220</v>
      </c>
      <c r="AB50" s="398">
        <v>21580</v>
      </c>
      <c r="AC50" s="398">
        <v>21540</v>
      </c>
      <c r="AD50" s="398">
        <v>21300</v>
      </c>
      <c r="AE50" s="398">
        <v>22020</v>
      </c>
      <c r="AF50" s="398">
        <v>22770</v>
      </c>
      <c r="AG50" s="398">
        <v>23590</v>
      </c>
      <c r="AH50" s="398">
        <v>24490</v>
      </c>
      <c r="AI50" s="398">
        <v>25600</v>
      </c>
      <c r="AJ50" s="398">
        <v>25970</v>
      </c>
      <c r="AK50" s="398">
        <v>26490</v>
      </c>
      <c r="AL50" s="398">
        <v>27260</v>
      </c>
      <c r="AM50" s="398">
        <v>28130</v>
      </c>
      <c r="AN50" s="398">
        <v>29600</v>
      </c>
      <c r="AO50" s="398">
        <v>30730</v>
      </c>
      <c r="AP50" s="398">
        <v>31980</v>
      </c>
      <c r="AQ50" s="398">
        <v>33270</v>
      </c>
      <c r="AR50" s="398">
        <v>32710</v>
      </c>
      <c r="AS50" s="398">
        <v>32630</v>
      </c>
      <c r="AT50" s="398">
        <v>32290</v>
      </c>
      <c r="AU50" s="398">
        <v>32370</v>
      </c>
      <c r="AV50" s="398">
        <v>32000</v>
      </c>
      <c r="AW50" s="398">
        <v>30930</v>
      </c>
      <c r="AX50" s="398">
        <v>31010</v>
      </c>
      <c r="AY50" s="398">
        <v>30650</v>
      </c>
      <c r="AZ50" s="398">
        <v>31300</v>
      </c>
      <c r="BA50" s="398">
        <v>30780</v>
      </c>
      <c r="BB50" s="398">
        <v>29600</v>
      </c>
      <c r="BC50" s="398">
        <v>29980</v>
      </c>
      <c r="BD50" s="398">
        <v>30590</v>
      </c>
      <c r="BE50" s="398">
        <v>30420</v>
      </c>
      <c r="BF50" s="398">
        <v>30890</v>
      </c>
    </row>
    <row r="51" spans="1:58" x14ac:dyDescent="0.2">
      <c r="A51" s="399" t="s">
        <v>61</v>
      </c>
      <c r="B51" s="247"/>
      <c r="C51" s="398">
        <v>21270</v>
      </c>
      <c r="D51" s="398">
        <v>21180</v>
      </c>
      <c r="E51" s="398">
        <v>21550</v>
      </c>
      <c r="F51" s="398">
        <v>21710</v>
      </c>
      <c r="G51" s="398">
        <v>22370</v>
      </c>
      <c r="H51" s="398">
        <v>22840</v>
      </c>
      <c r="I51" s="398">
        <v>23770</v>
      </c>
      <c r="J51" s="398">
        <v>24220</v>
      </c>
      <c r="K51" s="398">
        <v>24290</v>
      </c>
      <c r="L51" s="398">
        <v>25490</v>
      </c>
      <c r="M51" s="398">
        <v>25820</v>
      </c>
      <c r="N51" s="398">
        <v>26660</v>
      </c>
      <c r="O51" s="398">
        <v>27100</v>
      </c>
      <c r="P51" s="398">
        <v>26910</v>
      </c>
      <c r="Q51" s="398">
        <v>26580</v>
      </c>
      <c r="R51" s="398">
        <v>25580</v>
      </c>
      <c r="S51" s="398">
        <v>25240</v>
      </c>
      <c r="T51" s="398">
        <v>24840</v>
      </c>
      <c r="U51" s="398">
        <v>24960</v>
      </c>
      <c r="V51" s="398">
        <v>25310</v>
      </c>
      <c r="W51" s="398">
        <v>24970</v>
      </c>
      <c r="X51" s="398">
        <v>25390</v>
      </c>
      <c r="Y51" s="398">
        <v>25030</v>
      </c>
      <c r="Z51" s="398">
        <v>23890</v>
      </c>
      <c r="AA51" s="398">
        <v>22860</v>
      </c>
      <c r="AB51" s="398">
        <v>22140</v>
      </c>
      <c r="AC51" s="398">
        <v>21510</v>
      </c>
      <c r="AD51" s="398">
        <v>21470</v>
      </c>
      <c r="AE51" s="398">
        <v>21230</v>
      </c>
      <c r="AF51" s="398">
        <v>21950</v>
      </c>
      <c r="AG51" s="398">
        <v>22710</v>
      </c>
      <c r="AH51" s="398">
        <v>23530</v>
      </c>
      <c r="AI51" s="398">
        <v>24420</v>
      </c>
      <c r="AJ51" s="398">
        <v>25540</v>
      </c>
      <c r="AK51" s="398">
        <v>25910</v>
      </c>
      <c r="AL51" s="398">
        <v>26420</v>
      </c>
      <c r="AM51" s="398">
        <v>27190</v>
      </c>
      <c r="AN51" s="398">
        <v>28060</v>
      </c>
      <c r="AO51" s="398">
        <v>29530</v>
      </c>
      <c r="AP51" s="398">
        <v>30660</v>
      </c>
      <c r="AQ51" s="398">
        <v>31910</v>
      </c>
      <c r="AR51" s="398">
        <v>33190</v>
      </c>
      <c r="AS51" s="398">
        <v>32640</v>
      </c>
      <c r="AT51" s="398">
        <v>32570</v>
      </c>
      <c r="AU51" s="398">
        <v>32220</v>
      </c>
      <c r="AV51" s="398">
        <v>32300</v>
      </c>
      <c r="AW51" s="398">
        <v>31930</v>
      </c>
      <c r="AX51" s="398">
        <v>30870</v>
      </c>
      <c r="AY51" s="398">
        <v>30950</v>
      </c>
      <c r="AZ51" s="398">
        <v>30600</v>
      </c>
      <c r="BA51" s="398">
        <v>31240</v>
      </c>
      <c r="BB51" s="398">
        <v>30720</v>
      </c>
      <c r="BC51" s="398">
        <v>29550</v>
      </c>
      <c r="BD51" s="398">
        <v>29930</v>
      </c>
      <c r="BE51" s="398">
        <v>30540</v>
      </c>
      <c r="BF51" s="398">
        <v>30360</v>
      </c>
    </row>
    <row r="52" spans="1:58" x14ac:dyDescent="0.2">
      <c r="A52" s="399" t="s">
        <v>62</v>
      </c>
      <c r="B52" s="247"/>
      <c r="C52" s="398">
        <v>20730</v>
      </c>
      <c r="D52" s="398">
        <v>20930</v>
      </c>
      <c r="E52" s="398">
        <v>20860</v>
      </c>
      <c r="F52" s="398">
        <v>21250</v>
      </c>
      <c r="G52" s="398">
        <v>21450</v>
      </c>
      <c r="H52" s="398">
        <v>22080</v>
      </c>
      <c r="I52" s="398">
        <v>22560</v>
      </c>
      <c r="J52" s="398">
        <v>23510</v>
      </c>
      <c r="K52" s="398">
        <v>23980</v>
      </c>
      <c r="L52" s="398">
        <v>24080</v>
      </c>
      <c r="M52" s="398">
        <v>25280</v>
      </c>
      <c r="N52" s="398">
        <v>25620</v>
      </c>
      <c r="O52" s="398">
        <v>26470</v>
      </c>
      <c r="P52" s="398">
        <v>26920</v>
      </c>
      <c r="Q52" s="398">
        <v>26740</v>
      </c>
      <c r="R52" s="398">
        <v>26420</v>
      </c>
      <c r="S52" s="398">
        <v>25440</v>
      </c>
      <c r="T52" s="398">
        <v>25110</v>
      </c>
      <c r="U52" s="398">
        <v>24730</v>
      </c>
      <c r="V52" s="398">
        <v>24850</v>
      </c>
      <c r="W52" s="398">
        <v>25200</v>
      </c>
      <c r="X52" s="398">
        <v>24870</v>
      </c>
      <c r="Y52" s="398">
        <v>25310</v>
      </c>
      <c r="Z52" s="398">
        <v>24950</v>
      </c>
      <c r="AA52" s="398">
        <v>23810</v>
      </c>
      <c r="AB52" s="398">
        <v>22790</v>
      </c>
      <c r="AC52" s="398">
        <v>22080</v>
      </c>
      <c r="AD52" s="398">
        <v>21450</v>
      </c>
      <c r="AE52" s="398">
        <v>21420</v>
      </c>
      <c r="AF52" s="398">
        <v>21180</v>
      </c>
      <c r="AG52" s="398">
        <v>21900</v>
      </c>
      <c r="AH52" s="398">
        <v>22650</v>
      </c>
      <c r="AI52" s="398">
        <v>23470</v>
      </c>
      <c r="AJ52" s="398">
        <v>24370</v>
      </c>
      <c r="AK52" s="398">
        <v>25480</v>
      </c>
      <c r="AL52" s="398">
        <v>25850</v>
      </c>
      <c r="AM52" s="398">
        <v>26370</v>
      </c>
      <c r="AN52" s="398">
        <v>27140</v>
      </c>
      <c r="AO52" s="398">
        <v>28000</v>
      </c>
      <c r="AP52" s="398">
        <v>29470</v>
      </c>
      <c r="AQ52" s="398">
        <v>30600</v>
      </c>
      <c r="AR52" s="398">
        <v>31850</v>
      </c>
      <c r="AS52" s="398">
        <v>33130</v>
      </c>
      <c r="AT52" s="398">
        <v>32580</v>
      </c>
      <c r="AU52" s="398">
        <v>32510</v>
      </c>
      <c r="AV52" s="398">
        <v>32170</v>
      </c>
      <c r="AW52" s="398">
        <v>32250</v>
      </c>
      <c r="AX52" s="398">
        <v>31880</v>
      </c>
      <c r="AY52" s="398">
        <v>30820</v>
      </c>
      <c r="AZ52" s="398">
        <v>30900</v>
      </c>
      <c r="BA52" s="398">
        <v>30550</v>
      </c>
      <c r="BB52" s="398">
        <v>31200</v>
      </c>
      <c r="BC52" s="398">
        <v>30680</v>
      </c>
      <c r="BD52" s="398">
        <v>29510</v>
      </c>
      <c r="BE52" s="398">
        <v>29890</v>
      </c>
      <c r="BF52" s="398">
        <v>30500</v>
      </c>
    </row>
    <row r="53" spans="1:58" x14ac:dyDescent="0.2">
      <c r="A53" s="399" t="s">
        <v>63</v>
      </c>
      <c r="B53" s="247"/>
      <c r="C53" s="398">
        <v>20420</v>
      </c>
      <c r="D53" s="398">
        <v>20300</v>
      </c>
      <c r="E53" s="398">
        <v>20520</v>
      </c>
      <c r="F53" s="398">
        <v>20450</v>
      </c>
      <c r="G53" s="398">
        <v>20900</v>
      </c>
      <c r="H53" s="398">
        <v>21070</v>
      </c>
      <c r="I53" s="398">
        <v>21700</v>
      </c>
      <c r="J53" s="398">
        <v>22190</v>
      </c>
      <c r="K53" s="398">
        <v>23160</v>
      </c>
      <c r="L53" s="398">
        <v>23660</v>
      </c>
      <c r="M53" s="398">
        <v>23770</v>
      </c>
      <c r="N53" s="398">
        <v>24970</v>
      </c>
      <c r="O53" s="398">
        <v>25320</v>
      </c>
      <c r="P53" s="398">
        <v>26170</v>
      </c>
      <c r="Q53" s="398">
        <v>26630</v>
      </c>
      <c r="R53" s="398">
        <v>26470</v>
      </c>
      <c r="S53" s="398">
        <v>26170</v>
      </c>
      <c r="T53" s="398">
        <v>25200</v>
      </c>
      <c r="U53" s="398">
        <v>24890</v>
      </c>
      <c r="V53" s="398">
        <v>24520</v>
      </c>
      <c r="W53" s="398">
        <v>24650</v>
      </c>
      <c r="X53" s="398">
        <v>25000</v>
      </c>
      <c r="Y53" s="398">
        <v>24680</v>
      </c>
      <c r="Z53" s="398">
        <v>25120</v>
      </c>
      <c r="AA53" s="398">
        <v>24770</v>
      </c>
      <c r="AB53" s="398">
        <v>23640</v>
      </c>
      <c r="AC53" s="398">
        <v>22630</v>
      </c>
      <c r="AD53" s="398">
        <v>21930</v>
      </c>
      <c r="AE53" s="398">
        <v>21310</v>
      </c>
      <c r="AF53" s="398">
        <v>21270</v>
      </c>
      <c r="AG53" s="398">
        <v>21040</v>
      </c>
      <c r="AH53" s="398">
        <v>21750</v>
      </c>
      <c r="AI53" s="398">
        <v>22500</v>
      </c>
      <c r="AJ53" s="398">
        <v>23320</v>
      </c>
      <c r="AK53" s="398">
        <v>24210</v>
      </c>
      <c r="AL53" s="398">
        <v>25320</v>
      </c>
      <c r="AM53" s="398">
        <v>25690</v>
      </c>
      <c r="AN53" s="398">
        <v>26200</v>
      </c>
      <c r="AO53" s="398">
        <v>26970</v>
      </c>
      <c r="AP53" s="398">
        <v>27830</v>
      </c>
      <c r="AQ53" s="398">
        <v>29290</v>
      </c>
      <c r="AR53" s="398">
        <v>30410</v>
      </c>
      <c r="AS53" s="398">
        <v>31660</v>
      </c>
      <c r="AT53" s="398">
        <v>32940</v>
      </c>
      <c r="AU53" s="398">
        <v>32390</v>
      </c>
      <c r="AV53" s="398">
        <v>32320</v>
      </c>
      <c r="AW53" s="398">
        <v>31980</v>
      </c>
      <c r="AX53" s="398">
        <v>32060</v>
      </c>
      <c r="AY53" s="398">
        <v>31700</v>
      </c>
      <c r="AZ53" s="398">
        <v>30640</v>
      </c>
      <c r="BA53" s="398">
        <v>30730</v>
      </c>
      <c r="BB53" s="398">
        <v>30380</v>
      </c>
      <c r="BC53" s="398">
        <v>31020</v>
      </c>
      <c r="BD53" s="398">
        <v>30510</v>
      </c>
      <c r="BE53" s="398">
        <v>29350</v>
      </c>
      <c r="BF53" s="398">
        <v>29730</v>
      </c>
    </row>
    <row r="54" spans="1:58" x14ac:dyDescent="0.2">
      <c r="A54" s="399" t="s">
        <v>64</v>
      </c>
      <c r="B54" s="247"/>
      <c r="C54" s="398">
        <v>19900</v>
      </c>
      <c r="D54" s="398">
        <v>19780</v>
      </c>
      <c r="E54" s="398">
        <v>19660</v>
      </c>
      <c r="F54" s="398">
        <v>19890</v>
      </c>
      <c r="G54" s="398">
        <v>19880</v>
      </c>
      <c r="H54" s="398">
        <v>20300</v>
      </c>
      <c r="I54" s="398">
        <v>20500</v>
      </c>
      <c r="J54" s="398">
        <v>21140</v>
      </c>
      <c r="K54" s="398">
        <v>21660</v>
      </c>
      <c r="L54" s="398">
        <v>22630</v>
      </c>
      <c r="M54" s="398">
        <v>23140</v>
      </c>
      <c r="N54" s="398">
        <v>23260</v>
      </c>
      <c r="O54" s="398">
        <v>24460</v>
      </c>
      <c r="P54" s="398">
        <v>24820</v>
      </c>
      <c r="Q54" s="398">
        <v>25670</v>
      </c>
      <c r="R54" s="398">
        <v>26130</v>
      </c>
      <c r="S54" s="398">
        <v>25990</v>
      </c>
      <c r="T54" s="398">
        <v>25710</v>
      </c>
      <c r="U54" s="398">
        <v>24780</v>
      </c>
      <c r="V54" s="398">
        <v>24480</v>
      </c>
      <c r="W54" s="398">
        <v>24120</v>
      </c>
      <c r="X54" s="398">
        <v>24260</v>
      </c>
      <c r="Y54" s="398">
        <v>24620</v>
      </c>
      <c r="Z54" s="398">
        <v>24310</v>
      </c>
      <c r="AA54" s="398">
        <v>24750</v>
      </c>
      <c r="AB54" s="398">
        <v>24410</v>
      </c>
      <c r="AC54" s="398">
        <v>23310</v>
      </c>
      <c r="AD54" s="398">
        <v>22310</v>
      </c>
      <c r="AE54" s="398">
        <v>21620</v>
      </c>
      <c r="AF54" s="398">
        <v>21010</v>
      </c>
      <c r="AG54" s="398">
        <v>20980</v>
      </c>
      <c r="AH54" s="398">
        <v>20750</v>
      </c>
      <c r="AI54" s="398">
        <v>21450</v>
      </c>
      <c r="AJ54" s="398">
        <v>22190</v>
      </c>
      <c r="AK54" s="398">
        <v>23000</v>
      </c>
      <c r="AL54" s="398">
        <v>23880</v>
      </c>
      <c r="AM54" s="398">
        <v>24970</v>
      </c>
      <c r="AN54" s="398">
        <v>25330</v>
      </c>
      <c r="AO54" s="398">
        <v>25840</v>
      </c>
      <c r="AP54" s="398">
        <v>26600</v>
      </c>
      <c r="AQ54" s="398">
        <v>27450</v>
      </c>
      <c r="AR54" s="398">
        <v>28890</v>
      </c>
      <c r="AS54" s="398">
        <v>30000</v>
      </c>
      <c r="AT54" s="398">
        <v>31230</v>
      </c>
      <c r="AU54" s="398">
        <v>32490</v>
      </c>
      <c r="AV54" s="398">
        <v>31950</v>
      </c>
      <c r="AW54" s="398">
        <v>31890</v>
      </c>
      <c r="AX54" s="398">
        <v>31560</v>
      </c>
      <c r="AY54" s="398">
        <v>31640</v>
      </c>
      <c r="AZ54" s="398">
        <v>31280</v>
      </c>
      <c r="BA54" s="398">
        <v>30240</v>
      </c>
      <c r="BB54" s="398">
        <v>30320</v>
      </c>
      <c r="BC54" s="398">
        <v>29980</v>
      </c>
      <c r="BD54" s="398">
        <v>30620</v>
      </c>
      <c r="BE54" s="398">
        <v>30120</v>
      </c>
      <c r="BF54" s="398">
        <v>28970</v>
      </c>
    </row>
    <row r="55" spans="1:58" x14ac:dyDescent="0.2">
      <c r="A55" s="399" t="s">
        <v>65</v>
      </c>
      <c r="B55" s="247"/>
      <c r="C55" s="398">
        <v>16120</v>
      </c>
      <c r="D55" s="398">
        <v>19190</v>
      </c>
      <c r="E55" s="398">
        <v>19090</v>
      </c>
      <c r="F55" s="398">
        <v>19030</v>
      </c>
      <c r="G55" s="398">
        <v>19290</v>
      </c>
      <c r="H55" s="398">
        <v>19270</v>
      </c>
      <c r="I55" s="398">
        <v>19700</v>
      </c>
      <c r="J55" s="398">
        <v>19930</v>
      </c>
      <c r="K55" s="398">
        <v>20590</v>
      </c>
      <c r="L55" s="398">
        <v>21120</v>
      </c>
      <c r="M55" s="398">
        <v>22080</v>
      </c>
      <c r="N55" s="398">
        <v>22600</v>
      </c>
      <c r="O55" s="398">
        <v>22740</v>
      </c>
      <c r="P55" s="398">
        <v>23920</v>
      </c>
      <c r="Q55" s="398">
        <v>24290</v>
      </c>
      <c r="R55" s="398">
        <v>25140</v>
      </c>
      <c r="S55" s="398">
        <v>25610</v>
      </c>
      <c r="T55" s="398">
        <v>25480</v>
      </c>
      <c r="U55" s="398">
        <v>25220</v>
      </c>
      <c r="V55" s="398">
        <v>24320</v>
      </c>
      <c r="W55" s="398">
        <v>24040</v>
      </c>
      <c r="X55" s="398">
        <v>23700</v>
      </c>
      <c r="Y55" s="398">
        <v>23840</v>
      </c>
      <c r="Z55" s="398">
        <v>24200</v>
      </c>
      <c r="AA55" s="398">
        <v>23900</v>
      </c>
      <c r="AB55" s="398">
        <v>24340</v>
      </c>
      <c r="AC55" s="398">
        <v>24010</v>
      </c>
      <c r="AD55" s="398">
        <v>22930</v>
      </c>
      <c r="AE55" s="398">
        <v>21950</v>
      </c>
      <c r="AF55" s="398">
        <v>21280</v>
      </c>
      <c r="AG55" s="398">
        <v>20670</v>
      </c>
      <c r="AH55" s="398">
        <v>20640</v>
      </c>
      <c r="AI55" s="398">
        <v>20420</v>
      </c>
      <c r="AJ55" s="398">
        <v>21110</v>
      </c>
      <c r="AK55" s="398">
        <v>21840</v>
      </c>
      <c r="AL55" s="398">
        <v>22630</v>
      </c>
      <c r="AM55" s="398">
        <v>23500</v>
      </c>
      <c r="AN55" s="398">
        <v>24570</v>
      </c>
      <c r="AO55" s="398">
        <v>24940</v>
      </c>
      <c r="AP55" s="398">
        <v>25440</v>
      </c>
      <c r="AQ55" s="398">
        <v>26180</v>
      </c>
      <c r="AR55" s="398">
        <v>27020</v>
      </c>
      <c r="AS55" s="398">
        <v>28440</v>
      </c>
      <c r="AT55" s="398">
        <v>29530</v>
      </c>
      <c r="AU55" s="398">
        <v>30740</v>
      </c>
      <c r="AV55" s="398">
        <v>31980</v>
      </c>
      <c r="AW55" s="398">
        <v>31460</v>
      </c>
      <c r="AX55" s="398">
        <v>31390</v>
      </c>
      <c r="AY55" s="398">
        <v>31070</v>
      </c>
      <c r="AZ55" s="398">
        <v>31150</v>
      </c>
      <c r="BA55" s="398">
        <v>30800</v>
      </c>
      <c r="BB55" s="398">
        <v>29780</v>
      </c>
      <c r="BC55" s="398">
        <v>29860</v>
      </c>
      <c r="BD55" s="398">
        <v>29530</v>
      </c>
      <c r="BE55" s="398">
        <v>30160</v>
      </c>
      <c r="BF55" s="398">
        <v>29660</v>
      </c>
    </row>
    <row r="56" spans="1:58" x14ac:dyDescent="0.2">
      <c r="A56" s="399" t="s">
        <v>66</v>
      </c>
      <c r="B56" s="247"/>
      <c r="C56" s="398">
        <v>14710</v>
      </c>
      <c r="D56" s="398">
        <v>15500</v>
      </c>
      <c r="E56" s="398">
        <v>18470</v>
      </c>
      <c r="F56" s="398">
        <v>18380</v>
      </c>
      <c r="G56" s="398">
        <v>18380</v>
      </c>
      <c r="H56" s="398">
        <v>18640</v>
      </c>
      <c r="I56" s="398">
        <v>18650</v>
      </c>
      <c r="J56" s="398">
        <v>19100</v>
      </c>
      <c r="K56" s="398">
        <v>19340</v>
      </c>
      <c r="L56" s="398">
        <v>20010</v>
      </c>
      <c r="M56" s="398">
        <v>20540</v>
      </c>
      <c r="N56" s="398">
        <v>21500</v>
      </c>
      <c r="O56" s="398">
        <v>22020</v>
      </c>
      <c r="P56" s="398">
        <v>22170</v>
      </c>
      <c r="Q56" s="398">
        <v>23340</v>
      </c>
      <c r="R56" s="398">
        <v>23710</v>
      </c>
      <c r="S56" s="398">
        <v>24560</v>
      </c>
      <c r="T56" s="398">
        <v>25030</v>
      </c>
      <c r="U56" s="398">
        <v>24920</v>
      </c>
      <c r="V56" s="398">
        <v>24670</v>
      </c>
      <c r="W56" s="398">
        <v>23800</v>
      </c>
      <c r="X56" s="398">
        <v>23540</v>
      </c>
      <c r="Y56" s="398">
        <v>23210</v>
      </c>
      <c r="Z56" s="398">
        <v>23360</v>
      </c>
      <c r="AA56" s="398">
        <v>23720</v>
      </c>
      <c r="AB56" s="398">
        <v>23430</v>
      </c>
      <c r="AC56" s="398">
        <v>23850</v>
      </c>
      <c r="AD56" s="398">
        <v>23540</v>
      </c>
      <c r="AE56" s="398">
        <v>22480</v>
      </c>
      <c r="AF56" s="398">
        <v>21520</v>
      </c>
      <c r="AG56" s="398">
        <v>20860</v>
      </c>
      <c r="AH56" s="398">
        <v>20270</v>
      </c>
      <c r="AI56" s="398">
        <v>20240</v>
      </c>
      <c r="AJ56" s="398">
        <v>20020</v>
      </c>
      <c r="AK56" s="398">
        <v>20700</v>
      </c>
      <c r="AL56" s="398">
        <v>21420</v>
      </c>
      <c r="AM56" s="398">
        <v>22200</v>
      </c>
      <c r="AN56" s="398">
        <v>23050</v>
      </c>
      <c r="AO56" s="398">
        <v>24100</v>
      </c>
      <c r="AP56" s="398">
        <v>24460</v>
      </c>
      <c r="AQ56" s="398">
        <v>24950</v>
      </c>
      <c r="AR56" s="398">
        <v>25680</v>
      </c>
      <c r="AS56" s="398">
        <v>26510</v>
      </c>
      <c r="AT56" s="398">
        <v>27900</v>
      </c>
      <c r="AU56" s="398">
        <v>28970</v>
      </c>
      <c r="AV56" s="398">
        <v>30150</v>
      </c>
      <c r="AW56" s="398">
        <v>31370</v>
      </c>
      <c r="AX56" s="398">
        <v>30860</v>
      </c>
      <c r="AY56" s="398">
        <v>30800</v>
      </c>
      <c r="AZ56" s="398">
        <v>30480</v>
      </c>
      <c r="BA56" s="398">
        <v>30570</v>
      </c>
      <c r="BB56" s="398">
        <v>30230</v>
      </c>
      <c r="BC56" s="398">
        <v>29230</v>
      </c>
      <c r="BD56" s="398">
        <v>29310</v>
      </c>
      <c r="BE56" s="398">
        <v>28980</v>
      </c>
      <c r="BF56" s="398">
        <v>29600</v>
      </c>
    </row>
    <row r="57" spans="1:58" x14ac:dyDescent="0.2">
      <c r="A57" s="399" t="s">
        <v>67</v>
      </c>
      <c r="B57" s="247"/>
      <c r="C57" s="398">
        <v>13520</v>
      </c>
      <c r="D57" s="398">
        <v>14100</v>
      </c>
      <c r="E57" s="398">
        <v>14870</v>
      </c>
      <c r="F57" s="398">
        <v>17750</v>
      </c>
      <c r="G57" s="398">
        <v>17690</v>
      </c>
      <c r="H57" s="398">
        <v>17730</v>
      </c>
      <c r="I57" s="398">
        <v>18000</v>
      </c>
      <c r="J57" s="398">
        <v>18040</v>
      </c>
      <c r="K57" s="398">
        <v>18510</v>
      </c>
      <c r="L57" s="398">
        <v>18770</v>
      </c>
      <c r="M57" s="398">
        <v>19440</v>
      </c>
      <c r="N57" s="398">
        <v>19970</v>
      </c>
      <c r="O57" s="398">
        <v>20920</v>
      </c>
      <c r="P57" s="398">
        <v>21440</v>
      </c>
      <c r="Q57" s="398">
        <v>21610</v>
      </c>
      <c r="R57" s="398">
        <v>22760</v>
      </c>
      <c r="S57" s="398">
        <v>23140</v>
      </c>
      <c r="T57" s="398">
        <v>23980</v>
      </c>
      <c r="U57" s="398">
        <v>24460</v>
      </c>
      <c r="V57" s="398">
        <v>24360</v>
      </c>
      <c r="W57" s="398">
        <v>24130</v>
      </c>
      <c r="X57" s="398">
        <v>23290</v>
      </c>
      <c r="Y57" s="398">
        <v>23040</v>
      </c>
      <c r="Z57" s="398">
        <v>22730</v>
      </c>
      <c r="AA57" s="398">
        <v>22880</v>
      </c>
      <c r="AB57" s="398">
        <v>23230</v>
      </c>
      <c r="AC57" s="398">
        <v>22960</v>
      </c>
      <c r="AD57" s="398">
        <v>23370</v>
      </c>
      <c r="AE57" s="398">
        <v>23070</v>
      </c>
      <c r="AF57" s="398">
        <v>22030</v>
      </c>
      <c r="AG57" s="398">
        <v>21100</v>
      </c>
      <c r="AH57" s="398">
        <v>20450</v>
      </c>
      <c r="AI57" s="398">
        <v>19870</v>
      </c>
      <c r="AJ57" s="398">
        <v>19850</v>
      </c>
      <c r="AK57" s="398">
        <v>19630</v>
      </c>
      <c r="AL57" s="398">
        <v>20300</v>
      </c>
      <c r="AM57" s="398">
        <v>21000</v>
      </c>
      <c r="AN57" s="398">
        <v>21770</v>
      </c>
      <c r="AO57" s="398">
        <v>22600</v>
      </c>
      <c r="AP57" s="398">
        <v>23630</v>
      </c>
      <c r="AQ57" s="398">
        <v>23980</v>
      </c>
      <c r="AR57" s="398">
        <v>24470</v>
      </c>
      <c r="AS57" s="398">
        <v>25190</v>
      </c>
      <c r="AT57" s="398">
        <v>26000</v>
      </c>
      <c r="AU57" s="398">
        <v>27360</v>
      </c>
      <c r="AV57" s="398">
        <v>28410</v>
      </c>
      <c r="AW57" s="398">
        <v>29570</v>
      </c>
      <c r="AX57" s="398">
        <v>30770</v>
      </c>
      <c r="AY57" s="398">
        <v>30260</v>
      </c>
      <c r="AZ57" s="398">
        <v>30210</v>
      </c>
      <c r="BA57" s="398">
        <v>29900</v>
      </c>
      <c r="BB57" s="398">
        <v>29980</v>
      </c>
      <c r="BC57" s="398">
        <v>29650</v>
      </c>
      <c r="BD57" s="398">
        <v>28670</v>
      </c>
      <c r="BE57" s="398">
        <v>28760</v>
      </c>
      <c r="BF57" s="398">
        <v>28440</v>
      </c>
    </row>
    <row r="58" spans="1:58" x14ac:dyDescent="0.2">
      <c r="A58" s="399" t="s">
        <v>68</v>
      </c>
      <c r="B58" s="247"/>
      <c r="C58" s="398">
        <v>11360</v>
      </c>
      <c r="D58" s="398">
        <v>12890</v>
      </c>
      <c r="E58" s="398">
        <v>13480</v>
      </c>
      <c r="F58" s="398">
        <v>14230</v>
      </c>
      <c r="G58" s="398">
        <v>17030</v>
      </c>
      <c r="H58" s="398">
        <v>16990</v>
      </c>
      <c r="I58" s="398">
        <v>17070</v>
      </c>
      <c r="J58" s="398">
        <v>17370</v>
      </c>
      <c r="K58" s="398">
        <v>17440</v>
      </c>
      <c r="L58" s="398">
        <v>17920</v>
      </c>
      <c r="M58" s="398">
        <v>18200</v>
      </c>
      <c r="N58" s="398">
        <v>18870</v>
      </c>
      <c r="O58" s="398">
        <v>19410</v>
      </c>
      <c r="P58" s="398">
        <v>20350</v>
      </c>
      <c r="Q58" s="398">
        <v>20870</v>
      </c>
      <c r="R58" s="398">
        <v>21060</v>
      </c>
      <c r="S58" s="398">
        <v>22200</v>
      </c>
      <c r="T58" s="398">
        <v>22580</v>
      </c>
      <c r="U58" s="398">
        <v>23420</v>
      </c>
      <c r="V58" s="398">
        <v>23890</v>
      </c>
      <c r="W58" s="398">
        <v>23810</v>
      </c>
      <c r="X58" s="398">
        <v>23600</v>
      </c>
      <c r="Y58" s="398">
        <v>22790</v>
      </c>
      <c r="Z58" s="398">
        <v>22560</v>
      </c>
      <c r="AA58" s="398">
        <v>22260</v>
      </c>
      <c r="AB58" s="398">
        <v>22410</v>
      </c>
      <c r="AC58" s="398">
        <v>22760</v>
      </c>
      <c r="AD58" s="398">
        <v>22490</v>
      </c>
      <c r="AE58" s="398">
        <v>22900</v>
      </c>
      <c r="AF58" s="398">
        <v>22600</v>
      </c>
      <c r="AG58" s="398">
        <v>21580</v>
      </c>
      <c r="AH58" s="398">
        <v>20670</v>
      </c>
      <c r="AI58" s="398">
        <v>20040</v>
      </c>
      <c r="AJ58" s="398">
        <v>19480</v>
      </c>
      <c r="AK58" s="398">
        <v>19450</v>
      </c>
      <c r="AL58" s="398">
        <v>19250</v>
      </c>
      <c r="AM58" s="398">
        <v>19900</v>
      </c>
      <c r="AN58" s="398">
        <v>20590</v>
      </c>
      <c r="AO58" s="398">
        <v>21340</v>
      </c>
      <c r="AP58" s="398">
        <v>22160</v>
      </c>
      <c r="AQ58" s="398">
        <v>23170</v>
      </c>
      <c r="AR58" s="398">
        <v>23510</v>
      </c>
      <c r="AS58" s="398">
        <v>23990</v>
      </c>
      <c r="AT58" s="398">
        <v>24690</v>
      </c>
      <c r="AU58" s="398">
        <v>25490</v>
      </c>
      <c r="AV58" s="398">
        <v>26820</v>
      </c>
      <c r="AW58" s="398">
        <v>27850</v>
      </c>
      <c r="AX58" s="398">
        <v>28990</v>
      </c>
      <c r="AY58" s="398">
        <v>30160</v>
      </c>
      <c r="AZ58" s="398">
        <v>29670</v>
      </c>
      <c r="BA58" s="398">
        <v>29620</v>
      </c>
      <c r="BB58" s="398">
        <v>29320</v>
      </c>
      <c r="BC58" s="398">
        <v>29410</v>
      </c>
      <c r="BD58" s="398">
        <v>29080</v>
      </c>
      <c r="BE58" s="398">
        <v>28130</v>
      </c>
      <c r="BF58" s="398">
        <v>28210</v>
      </c>
    </row>
    <row r="59" spans="1:58" x14ac:dyDescent="0.2">
      <c r="A59" s="399" t="s">
        <v>69</v>
      </c>
      <c r="B59" s="247"/>
      <c r="C59" s="398">
        <v>11650</v>
      </c>
      <c r="D59" s="398">
        <v>10640</v>
      </c>
      <c r="E59" s="398">
        <v>12140</v>
      </c>
      <c r="F59" s="398">
        <v>12750</v>
      </c>
      <c r="G59" s="398">
        <v>13530</v>
      </c>
      <c r="H59" s="398">
        <v>16220</v>
      </c>
      <c r="I59" s="398">
        <v>16220</v>
      </c>
      <c r="J59" s="398">
        <v>16340</v>
      </c>
      <c r="K59" s="398">
        <v>16670</v>
      </c>
      <c r="L59" s="398">
        <v>16780</v>
      </c>
      <c r="M59" s="398">
        <v>17280</v>
      </c>
      <c r="N59" s="398">
        <v>17590</v>
      </c>
      <c r="O59" s="398">
        <v>18270</v>
      </c>
      <c r="P59" s="398">
        <v>18830</v>
      </c>
      <c r="Q59" s="398">
        <v>19770</v>
      </c>
      <c r="R59" s="398">
        <v>20310</v>
      </c>
      <c r="S59" s="398">
        <v>20510</v>
      </c>
      <c r="T59" s="398">
        <v>21650</v>
      </c>
      <c r="U59" s="398">
        <v>22050</v>
      </c>
      <c r="V59" s="398">
        <v>22880</v>
      </c>
      <c r="W59" s="398">
        <v>23370</v>
      </c>
      <c r="X59" s="398">
        <v>23310</v>
      </c>
      <c r="Y59" s="398">
        <v>23120</v>
      </c>
      <c r="Z59" s="398">
        <v>22350</v>
      </c>
      <c r="AA59" s="398">
        <v>22120</v>
      </c>
      <c r="AB59" s="398">
        <v>21840</v>
      </c>
      <c r="AC59" s="398">
        <v>22000</v>
      </c>
      <c r="AD59" s="398">
        <v>22340</v>
      </c>
      <c r="AE59" s="398">
        <v>22080</v>
      </c>
      <c r="AF59" s="398">
        <v>22480</v>
      </c>
      <c r="AG59" s="398">
        <v>22180</v>
      </c>
      <c r="AH59" s="398">
        <v>21180</v>
      </c>
      <c r="AI59" s="398">
        <v>20290</v>
      </c>
      <c r="AJ59" s="398">
        <v>19680</v>
      </c>
      <c r="AK59" s="398">
        <v>19130</v>
      </c>
      <c r="AL59" s="398">
        <v>19110</v>
      </c>
      <c r="AM59" s="398">
        <v>18910</v>
      </c>
      <c r="AN59" s="398">
        <v>19560</v>
      </c>
      <c r="AO59" s="398">
        <v>20230</v>
      </c>
      <c r="AP59" s="398">
        <v>20970</v>
      </c>
      <c r="AQ59" s="398">
        <v>21770</v>
      </c>
      <c r="AR59" s="398">
        <v>22760</v>
      </c>
      <c r="AS59" s="398">
        <v>23100</v>
      </c>
      <c r="AT59" s="398">
        <v>23570</v>
      </c>
      <c r="AU59" s="398">
        <v>24260</v>
      </c>
      <c r="AV59" s="398">
        <v>25050</v>
      </c>
      <c r="AW59" s="398">
        <v>26360</v>
      </c>
      <c r="AX59" s="398">
        <v>27360</v>
      </c>
      <c r="AY59" s="398">
        <v>28480</v>
      </c>
      <c r="AZ59" s="398">
        <v>29640</v>
      </c>
      <c r="BA59" s="398">
        <v>29160</v>
      </c>
      <c r="BB59" s="398">
        <v>29110</v>
      </c>
      <c r="BC59" s="398">
        <v>28820</v>
      </c>
      <c r="BD59" s="398">
        <v>28900</v>
      </c>
      <c r="BE59" s="398">
        <v>28590</v>
      </c>
      <c r="BF59" s="398">
        <v>27650</v>
      </c>
    </row>
    <row r="60" spans="1:58" x14ac:dyDescent="0.2">
      <c r="A60" s="399" t="s">
        <v>70</v>
      </c>
      <c r="B60" s="247"/>
      <c r="C60" s="398">
        <v>8480</v>
      </c>
      <c r="D60" s="398">
        <v>8830</v>
      </c>
      <c r="E60" s="398">
        <v>8200</v>
      </c>
      <c r="F60" s="398">
        <v>9500</v>
      </c>
      <c r="G60" s="398">
        <v>10120</v>
      </c>
      <c r="H60" s="398">
        <v>10910</v>
      </c>
      <c r="I60" s="398">
        <v>13220</v>
      </c>
      <c r="J60" s="398">
        <v>13370</v>
      </c>
      <c r="K60" s="398">
        <v>13610</v>
      </c>
      <c r="L60" s="398">
        <v>14030</v>
      </c>
      <c r="M60" s="398">
        <v>14240</v>
      </c>
      <c r="N60" s="398">
        <v>14790</v>
      </c>
      <c r="O60" s="398">
        <v>15160</v>
      </c>
      <c r="P60" s="398">
        <v>15860</v>
      </c>
      <c r="Q60" s="398">
        <v>16440</v>
      </c>
      <c r="R60" s="398">
        <v>17370</v>
      </c>
      <c r="S60" s="398">
        <v>17930</v>
      </c>
      <c r="T60" s="398">
        <v>18200</v>
      </c>
      <c r="U60" s="398">
        <v>19290</v>
      </c>
      <c r="V60" s="398">
        <v>19730</v>
      </c>
      <c r="W60" s="398">
        <v>20550</v>
      </c>
      <c r="X60" s="398">
        <v>21050</v>
      </c>
      <c r="Y60" s="398">
        <v>21060</v>
      </c>
      <c r="Z60" s="398">
        <v>20940</v>
      </c>
      <c r="AA60" s="398">
        <v>20280</v>
      </c>
      <c r="AB60" s="398">
        <v>20110</v>
      </c>
      <c r="AC60" s="398">
        <v>19880</v>
      </c>
      <c r="AD60" s="398">
        <v>20040</v>
      </c>
      <c r="AE60" s="398">
        <v>20370</v>
      </c>
      <c r="AF60" s="398">
        <v>20130</v>
      </c>
      <c r="AG60" s="398">
        <v>20490</v>
      </c>
      <c r="AH60" s="398">
        <v>20220</v>
      </c>
      <c r="AI60" s="398">
        <v>19320</v>
      </c>
      <c r="AJ60" s="398">
        <v>18510</v>
      </c>
      <c r="AK60" s="398">
        <v>17960</v>
      </c>
      <c r="AL60" s="398">
        <v>17460</v>
      </c>
      <c r="AM60" s="398">
        <v>17450</v>
      </c>
      <c r="AN60" s="398">
        <v>17270</v>
      </c>
      <c r="AO60" s="398">
        <v>17860</v>
      </c>
      <c r="AP60" s="398">
        <v>18470</v>
      </c>
      <c r="AQ60" s="398">
        <v>19140</v>
      </c>
      <c r="AR60" s="398">
        <v>19870</v>
      </c>
      <c r="AS60" s="398">
        <v>20780</v>
      </c>
      <c r="AT60" s="398">
        <v>21090</v>
      </c>
      <c r="AU60" s="398">
        <v>21520</v>
      </c>
      <c r="AV60" s="398">
        <v>22150</v>
      </c>
      <c r="AW60" s="398">
        <v>22870</v>
      </c>
      <c r="AX60" s="398">
        <v>24060</v>
      </c>
      <c r="AY60" s="398">
        <v>24980</v>
      </c>
      <c r="AZ60" s="398">
        <v>26010</v>
      </c>
      <c r="BA60" s="398">
        <v>27060</v>
      </c>
      <c r="BB60" s="398">
        <v>26620</v>
      </c>
      <c r="BC60" s="398">
        <v>26580</v>
      </c>
      <c r="BD60" s="398">
        <v>26320</v>
      </c>
      <c r="BE60" s="398">
        <v>26400</v>
      </c>
      <c r="BF60" s="398">
        <v>26110</v>
      </c>
    </row>
    <row r="61" spans="1:58" x14ac:dyDescent="0.2">
      <c r="A61" s="399" t="s">
        <v>71</v>
      </c>
      <c r="B61" s="247"/>
      <c r="C61" s="398">
        <v>6670</v>
      </c>
      <c r="D61" s="398">
        <v>7490</v>
      </c>
      <c r="E61" s="398">
        <v>7860</v>
      </c>
      <c r="F61" s="398">
        <v>7350</v>
      </c>
      <c r="G61" s="398">
        <v>8580</v>
      </c>
      <c r="H61" s="398">
        <v>9190</v>
      </c>
      <c r="I61" s="398">
        <v>9950</v>
      </c>
      <c r="J61" s="398">
        <v>12100</v>
      </c>
      <c r="K61" s="398">
        <v>12290</v>
      </c>
      <c r="L61" s="398">
        <v>12560</v>
      </c>
      <c r="M61" s="398">
        <v>12980</v>
      </c>
      <c r="N61" s="398">
        <v>13220</v>
      </c>
      <c r="O61" s="398">
        <v>13760</v>
      </c>
      <c r="P61" s="398">
        <v>14140</v>
      </c>
      <c r="Q61" s="398">
        <v>14820</v>
      </c>
      <c r="R61" s="398">
        <v>15400</v>
      </c>
      <c r="S61" s="398">
        <v>16280</v>
      </c>
      <c r="T61" s="398">
        <v>16840</v>
      </c>
      <c r="U61" s="398">
        <v>17120</v>
      </c>
      <c r="V61" s="398">
        <v>18160</v>
      </c>
      <c r="W61" s="398">
        <v>18590</v>
      </c>
      <c r="X61" s="398">
        <v>19370</v>
      </c>
      <c r="Y61" s="398">
        <v>19860</v>
      </c>
      <c r="Z61" s="398">
        <v>19870</v>
      </c>
      <c r="AA61" s="398">
        <v>19770</v>
      </c>
      <c r="AB61" s="398">
        <v>19150</v>
      </c>
      <c r="AC61" s="398">
        <v>18990</v>
      </c>
      <c r="AD61" s="398">
        <v>18780</v>
      </c>
      <c r="AE61" s="398">
        <v>18920</v>
      </c>
      <c r="AF61" s="398">
        <v>19220</v>
      </c>
      <c r="AG61" s="398">
        <v>18990</v>
      </c>
      <c r="AH61" s="398">
        <v>19330</v>
      </c>
      <c r="AI61" s="398">
        <v>19070</v>
      </c>
      <c r="AJ61" s="398">
        <v>18230</v>
      </c>
      <c r="AK61" s="398">
        <v>17470</v>
      </c>
      <c r="AL61" s="398">
        <v>16950</v>
      </c>
      <c r="AM61" s="398">
        <v>16490</v>
      </c>
      <c r="AN61" s="398">
        <v>16470</v>
      </c>
      <c r="AO61" s="398">
        <v>16310</v>
      </c>
      <c r="AP61" s="398">
        <v>16860</v>
      </c>
      <c r="AQ61" s="398">
        <v>17450</v>
      </c>
      <c r="AR61" s="398">
        <v>18080</v>
      </c>
      <c r="AS61" s="398">
        <v>18770</v>
      </c>
      <c r="AT61" s="398">
        <v>19630</v>
      </c>
      <c r="AU61" s="398">
        <v>19920</v>
      </c>
      <c r="AV61" s="398">
        <v>20330</v>
      </c>
      <c r="AW61" s="398">
        <v>20930</v>
      </c>
      <c r="AX61" s="398">
        <v>21600</v>
      </c>
      <c r="AY61" s="398">
        <v>22730</v>
      </c>
      <c r="AZ61" s="398">
        <v>23600</v>
      </c>
      <c r="BA61" s="398">
        <v>24570</v>
      </c>
      <c r="BB61" s="398">
        <v>25560</v>
      </c>
      <c r="BC61" s="398">
        <v>25160</v>
      </c>
      <c r="BD61" s="398">
        <v>25120</v>
      </c>
      <c r="BE61" s="398">
        <v>24870</v>
      </c>
      <c r="BF61" s="398">
        <v>24950</v>
      </c>
    </row>
    <row r="62" spans="1:58" x14ac:dyDescent="0.2">
      <c r="A62" s="399" t="s">
        <v>72</v>
      </c>
      <c r="B62" s="247"/>
      <c r="C62" s="398">
        <v>5070</v>
      </c>
      <c r="D62" s="398">
        <v>5950</v>
      </c>
      <c r="E62" s="398">
        <v>6700</v>
      </c>
      <c r="F62" s="398">
        <v>7070</v>
      </c>
      <c r="G62" s="398">
        <v>6630</v>
      </c>
      <c r="H62" s="398">
        <v>7790</v>
      </c>
      <c r="I62" s="398">
        <v>8350</v>
      </c>
      <c r="J62" s="398">
        <v>9070</v>
      </c>
      <c r="K62" s="398">
        <v>11060</v>
      </c>
      <c r="L62" s="398">
        <v>11250</v>
      </c>
      <c r="M62" s="398">
        <v>11530</v>
      </c>
      <c r="N62" s="398">
        <v>11940</v>
      </c>
      <c r="O62" s="398">
        <v>12180</v>
      </c>
      <c r="P62" s="398">
        <v>12690</v>
      </c>
      <c r="Q62" s="398">
        <v>13060</v>
      </c>
      <c r="R62" s="398">
        <v>13690</v>
      </c>
      <c r="S62" s="398">
        <v>14240</v>
      </c>
      <c r="T62" s="398">
        <v>15070</v>
      </c>
      <c r="U62" s="398">
        <v>15600</v>
      </c>
      <c r="V62" s="398">
        <v>15860</v>
      </c>
      <c r="W62" s="398">
        <v>16830</v>
      </c>
      <c r="X62" s="398">
        <v>17230</v>
      </c>
      <c r="Y62" s="398">
        <v>17960</v>
      </c>
      <c r="Z62" s="398">
        <v>18410</v>
      </c>
      <c r="AA62" s="398">
        <v>18420</v>
      </c>
      <c r="AB62" s="398">
        <v>18320</v>
      </c>
      <c r="AC62" s="398">
        <v>17750</v>
      </c>
      <c r="AD62" s="398">
        <v>17600</v>
      </c>
      <c r="AE62" s="398">
        <v>17390</v>
      </c>
      <c r="AF62" s="398">
        <v>17510</v>
      </c>
      <c r="AG62" s="398">
        <v>17780</v>
      </c>
      <c r="AH62" s="398">
        <v>17560</v>
      </c>
      <c r="AI62" s="398">
        <v>17870</v>
      </c>
      <c r="AJ62" s="398">
        <v>17640</v>
      </c>
      <c r="AK62" s="398">
        <v>16860</v>
      </c>
      <c r="AL62" s="398">
        <v>16170</v>
      </c>
      <c r="AM62" s="398">
        <v>15690</v>
      </c>
      <c r="AN62" s="398">
        <v>15270</v>
      </c>
      <c r="AO62" s="398">
        <v>15250</v>
      </c>
      <c r="AP62" s="398">
        <v>15100</v>
      </c>
      <c r="AQ62" s="398">
        <v>15620</v>
      </c>
      <c r="AR62" s="398">
        <v>16160</v>
      </c>
      <c r="AS62" s="398">
        <v>16750</v>
      </c>
      <c r="AT62" s="398">
        <v>17390</v>
      </c>
      <c r="AU62" s="398">
        <v>18180</v>
      </c>
      <c r="AV62" s="398">
        <v>18460</v>
      </c>
      <c r="AW62" s="398">
        <v>18840</v>
      </c>
      <c r="AX62" s="398">
        <v>19390</v>
      </c>
      <c r="AY62" s="398">
        <v>20020</v>
      </c>
      <c r="AZ62" s="398">
        <v>21060</v>
      </c>
      <c r="BA62" s="398">
        <v>21870</v>
      </c>
      <c r="BB62" s="398">
        <v>22770</v>
      </c>
      <c r="BC62" s="398">
        <v>23690</v>
      </c>
      <c r="BD62" s="398">
        <v>23320</v>
      </c>
      <c r="BE62" s="398">
        <v>23280</v>
      </c>
      <c r="BF62" s="398">
        <v>23060</v>
      </c>
    </row>
    <row r="63" spans="1:58" x14ac:dyDescent="0.2">
      <c r="A63" s="399" t="s">
        <v>73</v>
      </c>
      <c r="B63" s="247"/>
      <c r="C63" s="398">
        <v>4200</v>
      </c>
      <c r="D63" s="398">
        <v>4570</v>
      </c>
      <c r="E63" s="398">
        <v>5370</v>
      </c>
      <c r="F63" s="398">
        <v>6080</v>
      </c>
      <c r="G63" s="398">
        <v>6430</v>
      </c>
      <c r="H63" s="398">
        <v>6040</v>
      </c>
      <c r="I63" s="398">
        <v>7110</v>
      </c>
      <c r="J63" s="398">
        <v>7640</v>
      </c>
      <c r="K63" s="398">
        <v>8310</v>
      </c>
      <c r="L63" s="398">
        <v>10140</v>
      </c>
      <c r="M63" s="398">
        <v>10330</v>
      </c>
      <c r="N63" s="398">
        <v>10590</v>
      </c>
      <c r="O63" s="398">
        <v>10980</v>
      </c>
      <c r="P63" s="398">
        <v>11200</v>
      </c>
      <c r="Q63" s="398">
        <v>11680</v>
      </c>
      <c r="R63" s="398">
        <v>12030</v>
      </c>
      <c r="S63" s="398">
        <v>12620</v>
      </c>
      <c r="T63" s="398">
        <v>13120</v>
      </c>
      <c r="U63" s="398">
        <v>13890</v>
      </c>
      <c r="V63" s="398">
        <v>14380</v>
      </c>
      <c r="W63" s="398">
        <v>14620</v>
      </c>
      <c r="X63" s="398">
        <v>15520</v>
      </c>
      <c r="Y63" s="398">
        <v>15880</v>
      </c>
      <c r="Z63" s="398">
        <v>16550</v>
      </c>
      <c r="AA63" s="398">
        <v>16960</v>
      </c>
      <c r="AB63" s="398">
        <v>16970</v>
      </c>
      <c r="AC63" s="398">
        <v>16870</v>
      </c>
      <c r="AD63" s="398">
        <v>16330</v>
      </c>
      <c r="AE63" s="398">
        <v>16190</v>
      </c>
      <c r="AF63" s="398">
        <v>15980</v>
      </c>
      <c r="AG63" s="398">
        <v>16090</v>
      </c>
      <c r="AH63" s="398">
        <v>16320</v>
      </c>
      <c r="AI63" s="398">
        <v>16120</v>
      </c>
      <c r="AJ63" s="398">
        <v>16410</v>
      </c>
      <c r="AK63" s="398">
        <v>16200</v>
      </c>
      <c r="AL63" s="398">
        <v>15490</v>
      </c>
      <c r="AM63" s="398">
        <v>14860</v>
      </c>
      <c r="AN63" s="398">
        <v>14420</v>
      </c>
      <c r="AO63" s="398">
        <v>14040</v>
      </c>
      <c r="AP63" s="398">
        <v>14030</v>
      </c>
      <c r="AQ63" s="398">
        <v>13890</v>
      </c>
      <c r="AR63" s="398">
        <v>14370</v>
      </c>
      <c r="AS63" s="398">
        <v>14870</v>
      </c>
      <c r="AT63" s="398">
        <v>15410</v>
      </c>
      <c r="AU63" s="398">
        <v>16000</v>
      </c>
      <c r="AV63" s="398">
        <v>16730</v>
      </c>
      <c r="AW63" s="398">
        <v>16990</v>
      </c>
      <c r="AX63" s="398">
        <v>17330</v>
      </c>
      <c r="AY63" s="398">
        <v>17850</v>
      </c>
      <c r="AZ63" s="398">
        <v>18420</v>
      </c>
      <c r="BA63" s="398">
        <v>19390</v>
      </c>
      <c r="BB63" s="398">
        <v>20130</v>
      </c>
      <c r="BC63" s="398">
        <v>20960</v>
      </c>
      <c r="BD63" s="398">
        <v>21810</v>
      </c>
      <c r="BE63" s="398">
        <v>21470</v>
      </c>
      <c r="BF63" s="398">
        <v>21440</v>
      </c>
    </row>
    <row r="64" spans="1:58" x14ac:dyDescent="0.2">
      <c r="A64" s="399" t="s">
        <v>74</v>
      </c>
      <c r="B64" s="247"/>
      <c r="C64" s="398">
        <v>3430</v>
      </c>
      <c r="D64" s="398">
        <v>3850</v>
      </c>
      <c r="E64" s="398">
        <v>4180</v>
      </c>
      <c r="F64" s="398">
        <v>4920</v>
      </c>
      <c r="G64" s="398">
        <v>5570</v>
      </c>
      <c r="H64" s="398">
        <v>5900</v>
      </c>
      <c r="I64" s="398">
        <v>5550</v>
      </c>
      <c r="J64" s="398">
        <v>6520</v>
      </c>
      <c r="K64" s="398">
        <v>7010</v>
      </c>
      <c r="L64" s="398">
        <v>7630</v>
      </c>
      <c r="M64" s="398">
        <v>9300</v>
      </c>
      <c r="N64" s="398">
        <v>9480</v>
      </c>
      <c r="O64" s="398">
        <v>9720</v>
      </c>
      <c r="P64" s="398">
        <v>10080</v>
      </c>
      <c r="Q64" s="398">
        <v>10280</v>
      </c>
      <c r="R64" s="398">
        <v>10720</v>
      </c>
      <c r="S64" s="398">
        <v>11040</v>
      </c>
      <c r="T64" s="398">
        <v>11580</v>
      </c>
      <c r="U64" s="398">
        <v>12040</v>
      </c>
      <c r="V64" s="398">
        <v>12740</v>
      </c>
      <c r="W64" s="398">
        <v>13180</v>
      </c>
      <c r="X64" s="398">
        <v>13400</v>
      </c>
      <c r="Y64" s="398">
        <v>14210</v>
      </c>
      <c r="Z64" s="398">
        <v>14540</v>
      </c>
      <c r="AA64" s="398">
        <v>15140</v>
      </c>
      <c r="AB64" s="398">
        <v>15510</v>
      </c>
      <c r="AC64" s="398">
        <v>15500</v>
      </c>
      <c r="AD64" s="398">
        <v>15400</v>
      </c>
      <c r="AE64" s="398">
        <v>14900</v>
      </c>
      <c r="AF64" s="398">
        <v>14760</v>
      </c>
      <c r="AG64" s="398">
        <v>14560</v>
      </c>
      <c r="AH64" s="398">
        <v>14650</v>
      </c>
      <c r="AI64" s="398">
        <v>14860</v>
      </c>
      <c r="AJ64" s="398">
        <v>14690</v>
      </c>
      <c r="AK64" s="398">
        <v>14950</v>
      </c>
      <c r="AL64" s="398">
        <v>14770</v>
      </c>
      <c r="AM64" s="398">
        <v>14120</v>
      </c>
      <c r="AN64" s="398">
        <v>13550</v>
      </c>
      <c r="AO64" s="398">
        <v>13150</v>
      </c>
      <c r="AP64" s="398">
        <v>12800</v>
      </c>
      <c r="AQ64" s="398">
        <v>12800</v>
      </c>
      <c r="AR64" s="398">
        <v>12680</v>
      </c>
      <c r="AS64" s="398">
        <v>13110</v>
      </c>
      <c r="AT64" s="398">
        <v>13570</v>
      </c>
      <c r="AU64" s="398">
        <v>14060</v>
      </c>
      <c r="AV64" s="398">
        <v>14610</v>
      </c>
      <c r="AW64" s="398">
        <v>15270</v>
      </c>
      <c r="AX64" s="398">
        <v>15510</v>
      </c>
      <c r="AY64" s="398">
        <v>15830</v>
      </c>
      <c r="AZ64" s="398">
        <v>16300</v>
      </c>
      <c r="BA64" s="398">
        <v>16830</v>
      </c>
      <c r="BB64" s="398">
        <v>17710</v>
      </c>
      <c r="BC64" s="398">
        <v>18390</v>
      </c>
      <c r="BD64" s="398">
        <v>19150</v>
      </c>
      <c r="BE64" s="398">
        <v>19930</v>
      </c>
      <c r="BF64" s="398">
        <v>19620</v>
      </c>
    </row>
    <row r="65" spans="1:58" x14ac:dyDescent="0.2">
      <c r="A65" s="399" t="s">
        <v>75</v>
      </c>
      <c r="B65" s="247"/>
      <c r="C65" s="398">
        <v>2370</v>
      </c>
      <c r="D65" s="398">
        <v>2660</v>
      </c>
      <c r="E65" s="398">
        <v>2960</v>
      </c>
      <c r="F65" s="398">
        <v>3200</v>
      </c>
      <c r="G65" s="398">
        <v>3750</v>
      </c>
      <c r="H65" s="398">
        <v>4220</v>
      </c>
      <c r="I65" s="398">
        <v>4450</v>
      </c>
      <c r="J65" s="398">
        <v>4170</v>
      </c>
      <c r="K65" s="398">
        <v>4890</v>
      </c>
      <c r="L65" s="398">
        <v>5240</v>
      </c>
      <c r="M65" s="398">
        <v>5690</v>
      </c>
      <c r="N65" s="398">
        <v>6920</v>
      </c>
      <c r="O65" s="398">
        <v>7040</v>
      </c>
      <c r="P65" s="398">
        <v>7210</v>
      </c>
      <c r="Q65" s="398">
        <v>7470</v>
      </c>
      <c r="R65" s="398">
        <v>7620</v>
      </c>
      <c r="S65" s="398">
        <v>7940</v>
      </c>
      <c r="T65" s="398">
        <v>8180</v>
      </c>
      <c r="U65" s="398">
        <v>8580</v>
      </c>
      <c r="V65" s="398">
        <v>8930</v>
      </c>
      <c r="W65" s="398">
        <v>9460</v>
      </c>
      <c r="X65" s="398">
        <v>9800</v>
      </c>
      <c r="Y65" s="398">
        <v>9980</v>
      </c>
      <c r="Z65" s="398">
        <v>10610</v>
      </c>
      <c r="AA65" s="398">
        <v>10880</v>
      </c>
      <c r="AB65" s="398">
        <v>11370</v>
      </c>
      <c r="AC65" s="398">
        <v>11680</v>
      </c>
      <c r="AD65" s="398">
        <v>11730</v>
      </c>
      <c r="AE65" s="398">
        <v>11700</v>
      </c>
      <c r="AF65" s="398">
        <v>11380</v>
      </c>
      <c r="AG65" s="398">
        <v>11330</v>
      </c>
      <c r="AH65" s="398">
        <v>11250</v>
      </c>
      <c r="AI65" s="398">
        <v>11390</v>
      </c>
      <c r="AJ65" s="398">
        <v>11620</v>
      </c>
      <c r="AK65" s="398">
        <v>11550</v>
      </c>
      <c r="AL65" s="398">
        <v>11810</v>
      </c>
      <c r="AM65" s="398">
        <v>11710</v>
      </c>
      <c r="AN65" s="398">
        <v>11250</v>
      </c>
      <c r="AO65" s="398">
        <v>10830</v>
      </c>
      <c r="AP65" s="398">
        <v>10540</v>
      </c>
      <c r="AQ65" s="398">
        <v>10290</v>
      </c>
      <c r="AR65" s="398">
        <v>10310</v>
      </c>
      <c r="AS65" s="398">
        <v>10240</v>
      </c>
      <c r="AT65" s="398">
        <v>10610</v>
      </c>
      <c r="AU65" s="398">
        <v>10990</v>
      </c>
      <c r="AV65" s="398">
        <v>11410</v>
      </c>
      <c r="AW65" s="398">
        <v>11850</v>
      </c>
      <c r="AX65" s="398">
        <v>12390</v>
      </c>
      <c r="AY65" s="398">
        <v>12590</v>
      </c>
      <c r="AZ65" s="398">
        <v>12850</v>
      </c>
      <c r="BA65" s="398">
        <v>13230</v>
      </c>
      <c r="BB65" s="398">
        <v>13660</v>
      </c>
      <c r="BC65" s="398">
        <v>14380</v>
      </c>
      <c r="BD65" s="398">
        <v>14930</v>
      </c>
      <c r="BE65" s="398">
        <v>15550</v>
      </c>
      <c r="BF65" s="398">
        <v>16180</v>
      </c>
    </row>
    <row r="66" spans="1:58" x14ac:dyDescent="0.2">
      <c r="A66" s="399" t="s">
        <v>76</v>
      </c>
      <c r="B66" s="247"/>
      <c r="C66" s="398">
        <v>2080</v>
      </c>
      <c r="D66" s="398">
        <v>2270</v>
      </c>
      <c r="E66" s="398">
        <v>2540</v>
      </c>
      <c r="F66" s="398">
        <v>2820</v>
      </c>
      <c r="G66" s="398">
        <v>3060</v>
      </c>
      <c r="H66" s="398">
        <v>3560</v>
      </c>
      <c r="I66" s="398">
        <v>4010</v>
      </c>
      <c r="J66" s="398">
        <v>4220</v>
      </c>
      <c r="K66" s="398">
        <v>3950</v>
      </c>
      <c r="L66" s="398">
        <v>4620</v>
      </c>
      <c r="M66" s="398">
        <v>4950</v>
      </c>
      <c r="N66" s="398">
        <v>5360</v>
      </c>
      <c r="O66" s="398">
        <v>6520</v>
      </c>
      <c r="P66" s="398">
        <v>6630</v>
      </c>
      <c r="Q66" s="398">
        <v>6790</v>
      </c>
      <c r="R66" s="398">
        <v>7020</v>
      </c>
      <c r="S66" s="398">
        <v>7160</v>
      </c>
      <c r="T66" s="398">
        <v>7460</v>
      </c>
      <c r="U66" s="398">
        <v>7670</v>
      </c>
      <c r="V66" s="398">
        <v>8050</v>
      </c>
      <c r="W66" s="398">
        <v>8370</v>
      </c>
      <c r="X66" s="398">
        <v>8870</v>
      </c>
      <c r="Y66" s="398">
        <v>9180</v>
      </c>
      <c r="Z66" s="398">
        <v>9350</v>
      </c>
      <c r="AA66" s="398">
        <v>9930</v>
      </c>
      <c r="AB66" s="398">
        <v>10190</v>
      </c>
      <c r="AC66" s="398">
        <v>10640</v>
      </c>
      <c r="AD66" s="398">
        <v>10930</v>
      </c>
      <c r="AE66" s="398">
        <v>10970</v>
      </c>
      <c r="AF66" s="398">
        <v>10950</v>
      </c>
      <c r="AG66" s="398">
        <v>10650</v>
      </c>
      <c r="AH66" s="398">
        <v>10600</v>
      </c>
      <c r="AI66" s="398">
        <v>10520</v>
      </c>
      <c r="AJ66" s="398">
        <v>10650</v>
      </c>
      <c r="AK66" s="398">
        <v>10870</v>
      </c>
      <c r="AL66" s="398">
        <v>10790</v>
      </c>
      <c r="AM66" s="398">
        <v>11040</v>
      </c>
      <c r="AN66" s="398">
        <v>10950</v>
      </c>
      <c r="AO66" s="398">
        <v>10510</v>
      </c>
      <c r="AP66" s="398">
        <v>10120</v>
      </c>
      <c r="AQ66" s="398">
        <v>9850</v>
      </c>
      <c r="AR66" s="398">
        <v>9620</v>
      </c>
      <c r="AS66" s="398">
        <v>9640</v>
      </c>
      <c r="AT66" s="398">
        <v>9560</v>
      </c>
      <c r="AU66" s="398">
        <v>9910</v>
      </c>
      <c r="AV66" s="398">
        <v>10270</v>
      </c>
      <c r="AW66" s="398">
        <v>10650</v>
      </c>
      <c r="AX66" s="398">
        <v>11060</v>
      </c>
      <c r="AY66" s="398">
        <v>11570</v>
      </c>
      <c r="AZ66" s="398">
        <v>11750</v>
      </c>
      <c r="BA66" s="398">
        <v>12000</v>
      </c>
      <c r="BB66" s="398">
        <v>12360</v>
      </c>
      <c r="BC66" s="398">
        <v>12760</v>
      </c>
      <c r="BD66" s="398">
        <v>13430</v>
      </c>
      <c r="BE66" s="398">
        <v>13950</v>
      </c>
      <c r="BF66" s="398">
        <v>14530</v>
      </c>
    </row>
    <row r="67" spans="1:58" x14ac:dyDescent="0.2">
      <c r="A67" s="399" t="s">
        <v>77</v>
      </c>
      <c r="B67" s="247"/>
      <c r="C67" s="398">
        <v>1790</v>
      </c>
      <c r="D67" s="398">
        <v>1990</v>
      </c>
      <c r="E67" s="398">
        <v>2170</v>
      </c>
      <c r="F67" s="398">
        <v>2410</v>
      </c>
      <c r="G67" s="398">
        <v>2680</v>
      </c>
      <c r="H67" s="398">
        <v>2890</v>
      </c>
      <c r="I67" s="398">
        <v>3360</v>
      </c>
      <c r="J67" s="398">
        <v>3780</v>
      </c>
      <c r="K67" s="398">
        <v>3970</v>
      </c>
      <c r="L67" s="398">
        <v>3710</v>
      </c>
      <c r="M67" s="398">
        <v>4340</v>
      </c>
      <c r="N67" s="398">
        <v>4640</v>
      </c>
      <c r="O67" s="398">
        <v>5030</v>
      </c>
      <c r="P67" s="398">
        <v>6110</v>
      </c>
      <c r="Q67" s="398">
        <v>6210</v>
      </c>
      <c r="R67" s="398">
        <v>6350</v>
      </c>
      <c r="S67" s="398">
        <v>6570</v>
      </c>
      <c r="T67" s="398">
        <v>6700</v>
      </c>
      <c r="U67" s="398">
        <v>6970</v>
      </c>
      <c r="V67" s="398">
        <v>7170</v>
      </c>
      <c r="W67" s="398">
        <v>7520</v>
      </c>
      <c r="X67" s="398">
        <v>7820</v>
      </c>
      <c r="Y67" s="398">
        <v>8280</v>
      </c>
      <c r="Z67" s="398">
        <v>8570</v>
      </c>
      <c r="AA67" s="398">
        <v>8720</v>
      </c>
      <c r="AB67" s="398">
        <v>9270</v>
      </c>
      <c r="AC67" s="398">
        <v>9500</v>
      </c>
      <c r="AD67" s="398">
        <v>9920</v>
      </c>
      <c r="AE67" s="398">
        <v>10190</v>
      </c>
      <c r="AF67" s="398">
        <v>10230</v>
      </c>
      <c r="AG67" s="398">
        <v>10210</v>
      </c>
      <c r="AH67" s="398">
        <v>9920</v>
      </c>
      <c r="AI67" s="398">
        <v>9880</v>
      </c>
      <c r="AJ67" s="398">
        <v>9800</v>
      </c>
      <c r="AK67" s="398">
        <v>9920</v>
      </c>
      <c r="AL67" s="398">
        <v>10120</v>
      </c>
      <c r="AM67" s="398">
        <v>10050</v>
      </c>
      <c r="AN67" s="398">
        <v>10280</v>
      </c>
      <c r="AO67" s="398">
        <v>10200</v>
      </c>
      <c r="AP67" s="398">
        <v>9790</v>
      </c>
      <c r="AQ67" s="398">
        <v>9420</v>
      </c>
      <c r="AR67" s="398">
        <v>9180</v>
      </c>
      <c r="AS67" s="398">
        <v>8960</v>
      </c>
      <c r="AT67" s="398">
        <v>8980</v>
      </c>
      <c r="AU67" s="398">
        <v>8910</v>
      </c>
      <c r="AV67" s="398">
        <v>9230</v>
      </c>
      <c r="AW67" s="398">
        <v>9560</v>
      </c>
      <c r="AX67" s="398">
        <v>9910</v>
      </c>
      <c r="AY67" s="398">
        <v>10290</v>
      </c>
      <c r="AZ67" s="398">
        <v>10770</v>
      </c>
      <c r="BA67" s="398">
        <v>10940</v>
      </c>
      <c r="BB67" s="398">
        <v>11170</v>
      </c>
      <c r="BC67" s="398">
        <v>11510</v>
      </c>
      <c r="BD67" s="398">
        <v>11880</v>
      </c>
      <c r="BE67" s="398">
        <v>12510</v>
      </c>
      <c r="BF67" s="398">
        <v>13000</v>
      </c>
    </row>
    <row r="68" spans="1:58" x14ac:dyDescent="0.2">
      <c r="A68" s="399" t="s">
        <v>78</v>
      </c>
      <c r="B68" s="247"/>
      <c r="C68" s="398">
        <v>1540</v>
      </c>
      <c r="D68" s="398">
        <v>1700</v>
      </c>
      <c r="E68" s="398">
        <v>1890</v>
      </c>
      <c r="F68" s="398">
        <v>2040</v>
      </c>
      <c r="G68" s="398">
        <v>2280</v>
      </c>
      <c r="H68" s="398">
        <v>2520</v>
      </c>
      <c r="I68" s="398">
        <v>2710</v>
      </c>
      <c r="J68" s="398">
        <v>3150</v>
      </c>
      <c r="K68" s="398">
        <v>3540</v>
      </c>
      <c r="L68" s="398">
        <v>3720</v>
      </c>
      <c r="M68" s="398">
        <v>3470</v>
      </c>
      <c r="N68" s="398">
        <v>4060</v>
      </c>
      <c r="O68" s="398">
        <v>4340</v>
      </c>
      <c r="P68" s="398">
        <v>4700</v>
      </c>
      <c r="Q68" s="398">
        <v>5700</v>
      </c>
      <c r="R68" s="398">
        <v>5790</v>
      </c>
      <c r="S68" s="398">
        <v>5920</v>
      </c>
      <c r="T68" s="398">
        <v>6120</v>
      </c>
      <c r="U68" s="398">
        <v>6240</v>
      </c>
      <c r="V68" s="398">
        <v>6490</v>
      </c>
      <c r="W68" s="398">
        <v>6680</v>
      </c>
      <c r="X68" s="398">
        <v>7000</v>
      </c>
      <c r="Y68" s="398">
        <v>7270</v>
      </c>
      <c r="Z68" s="398">
        <v>7700</v>
      </c>
      <c r="AA68" s="398">
        <v>7970</v>
      </c>
      <c r="AB68" s="398">
        <v>8110</v>
      </c>
      <c r="AC68" s="398">
        <v>8610</v>
      </c>
      <c r="AD68" s="398">
        <v>8830</v>
      </c>
      <c r="AE68" s="398">
        <v>9220</v>
      </c>
      <c r="AF68" s="398">
        <v>9470</v>
      </c>
      <c r="AG68" s="398">
        <v>9500</v>
      </c>
      <c r="AH68" s="398">
        <v>9480</v>
      </c>
      <c r="AI68" s="398">
        <v>9220</v>
      </c>
      <c r="AJ68" s="398">
        <v>9170</v>
      </c>
      <c r="AK68" s="398">
        <v>9100</v>
      </c>
      <c r="AL68" s="398">
        <v>9210</v>
      </c>
      <c r="AM68" s="398">
        <v>9400</v>
      </c>
      <c r="AN68" s="398">
        <v>9340</v>
      </c>
      <c r="AO68" s="398">
        <v>9550</v>
      </c>
      <c r="AP68" s="398">
        <v>9470</v>
      </c>
      <c r="AQ68" s="398">
        <v>9090</v>
      </c>
      <c r="AR68" s="398">
        <v>8750</v>
      </c>
      <c r="AS68" s="398">
        <v>8520</v>
      </c>
      <c r="AT68" s="398">
        <v>8320</v>
      </c>
      <c r="AU68" s="398">
        <v>8330</v>
      </c>
      <c r="AV68" s="398">
        <v>8270</v>
      </c>
      <c r="AW68" s="398">
        <v>8560</v>
      </c>
      <c r="AX68" s="398">
        <v>8870</v>
      </c>
      <c r="AY68" s="398">
        <v>9200</v>
      </c>
      <c r="AZ68" s="398">
        <v>9550</v>
      </c>
      <c r="BA68" s="398">
        <v>10000</v>
      </c>
      <c r="BB68" s="398">
        <v>10160</v>
      </c>
      <c r="BC68" s="398">
        <v>10370</v>
      </c>
      <c r="BD68" s="398">
        <v>10690</v>
      </c>
      <c r="BE68" s="398">
        <v>11040</v>
      </c>
      <c r="BF68" s="398">
        <v>11620</v>
      </c>
    </row>
    <row r="69" spans="1:58" x14ac:dyDescent="0.2">
      <c r="A69" s="399" t="s">
        <v>79</v>
      </c>
      <c r="B69" s="247"/>
      <c r="C69" s="398">
        <v>1370</v>
      </c>
      <c r="D69" s="398">
        <v>1460</v>
      </c>
      <c r="E69" s="398">
        <v>1600</v>
      </c>
      <c r="F69" s="398">
        <v>1780</v>
      </c>
      <c r="G69" s="398">
        <v>1930</v>
      </c>
      <c r="H69" s="398">
        <v>2150</v>
      </c>
      <c r="I69" s="398">
        <v>2360</v>
      </c>
      <c r="J69" s="398">
        <v>2540</v>
      </c>
      <c r="K69" s="398">
        <v>2950</v>
      </c>
      <c r="L69" s="398">
        <v>3300</v>
      </c>
      <c r="M69" s="398">
        <v>3470</v>
      </c>
      <c r="N69" s="398">
        <v>3240</v>
      </c>
      <c r="O69" s="398">
        <v>3780</v>
      </c>
      <c r="P69" s="398">
        <v>4040</v>
      </c>
      <c r="Q69" s="398">
        <v>4370</v>
      </c>
      <c r="R69" s="398">
        <v>5300</v>
      </c>
      <c r="S69" s="398">
        <v>5380</v>
      </c>
      <c r="T69" s="398">
        <v>5500</v>
      </c>
      <c r="U69" s="398">
        <v>5680</v>
      </c>
      <c r="V69" s="398">
        <v>5780</v>
      </c>
      <c r="W69" s="398">
        <v>6020</v>
      </c>
      <c r="X69" s="398">
        <v>6190</v>
      </c>
      <c r="Y69" s="398">
        <v>6490</v>
      </c>
      <c r="Z69" s="398">
        <v>6740</v>
      </c>
      <c r="AA69" s="398">
        <v>7130</v>
      </c>
      <c r="AB69" s="398">
        <v>7380</v>
      </c>
      <c r="AC69" s="398">
        <v>7510</v>
      </c>
      <c r="AD69" s="398">
        <v>7980</v>
      </c>
      <c r="AE69" s="398">
        <v>8180</v>
      </c>
      <c r="AF69" s="398">
        <v>8530</v>
      </c>
      <c r="AG69" s="398">
        <v>8770</v>
      </c>
      <c r="AH69" s="398">
        <v>8790</v>
      </c>
      <c r="AI69" s="398">
        <v>8770</v>
      </c>
      <c r="AJ69" s="398">
        <v>8530</v>
      </c>
      <c r="AK69" s="398">
        <v>8490</v>
      </c>
      <c r="AL69" s="398">
        <v>8420</v>
      </c>
      <c r="AM69" s="398">
        <v>8520</v>
      </c>
      <c r="AN69" s="398">
        <v>8700</v>
      </c>
      <c r="AO69" s="398">
        <v>8640</v>
      </c>
      <c r="AP69" s="398">
        <v>8830</v>
      </c>
      <c r="AQ69" s="398">
        <v>8760</v>
      </c>
      <c r="AR69" s="398">
        <v>8410</v>
      </c>
      <c r="AS69" s="398">
        <v>8100</v>
      </c>
      <c r="AT69" s="398">
        <v>7880</v>
      </c>
      <c r="AU69" s="398">
        <v>7700</v>
      </c>
      <c r="AV69" s="398">
        <v>7710</v>
      </c>
      <c r="AW69" s="398">
        <v>7650</v>
      </c>
      <c r="AX69" s="398">
        <v>7920</v>
      </c>
      <c r="AY69" s="398">
        <v>8200</v>
      </c>
      <c r="AZ69" s="398">
        <v>8510</v>
      </c>
      <c r="BA69" s="398">
        <v>8840</v>
      </c>
      <c r="BB69" s="398">
        <v>9250</v>
      </c>
      <c r="BC69" s="398">
        <v>9400</v>
      </c>
      <c r="BD69" s="398">
        <v>9600</v>
      </c>
      <c r="BE69" s="398">
        <v>9900</v>
      </c>
      <c r="BF69" s="398">
        <v>10220</v>
      </c>
    </row>
    <row r="70" spans="1:58" x14ac:dyDescent="0.2">
      <c r="A70" s="399" t="s">
        <v>80</v>
      </c>
      <c r="B70" s="247"/>
      <c r="C70" s="398">
        <v>1210</v>
      </c>
      <c r="D70" s="398">
        <v>1300</v>
      </c>
      <c r="E70" s="398">
        <v>1380</v>
      </c>
      <c r="F70" s="398">
        <v>1500</v>
      </c>
      <c r="G70" s="398">
        <v>1660</v>
      </c>
      <c r="H70" s="398">
        <v>1800</v>
      </c>
      <c r="I70" s="398">
        <v>2000</v>
      </c>
      <c r="J70" s="398">
        <v>2200</v>
      </c>
      <c r="K70" s="398">
        <v>2360</v>
      </c>
      <c r="L70" s="398">
        <v>2740</v>
      </c>
      <c r="M70" s="398">
        <v>3060</v>
      </c>
      <c r="N70" s="398">
        <v>3210</v>
      </c>
      <c r="O70" s="398">
        <v>3000</v>
      </c>
      <c r="P70" s="398">
        <v>3500</v>
      </c>
      <c r="Q70" s="398">
        <v>3730</v>
      </c>
      <c r="R70" s="398">
        <v>4040</v>
      </c>
      <c r="S70" s="398">
        <v>4890</v>
      </c>
      <c r="T70" s="398">
        <v>4970</v>
      </c>
      <c r="U70" s="398">
        <v>5080</v>
      </c>
      <c r="V70" s="398">
        <v>5240</v>
      </c>
      <c r="W70" s="398">
        <v>5340</v>
      </c>
      <c r="X70" s="398">
        <v>5560</v>
      </c>
      <c r="Y70" s="398">
        <v>5710</v>
      </c>
      <c r="Z70" s="398">
        <v>5980</v>
      </c>
      <c r="AA70" s="398">
        <v>6220</v>
      </c>
      <c r="AB70" s="398">
        <v>6580</v>
      </c>
      <c r="AC70" s="398">
        <v>6810</v>
      </c>
      <c r="AD70" s="398">
        <v>6920</v>
      </c>
      <c r="AE70" s="398">
        <v>7350</v>
      </c>
      <c r="AF70" s="398">
        <v>7540</v>
      </c>
      <c r="AG70" s="398">
        <v>7870</v>
      </c>
      <c r="AH70" s="398">
        <v>8080</v>
      </c>
      <c r="AI70" s="398">
        <v>8100</v>
      </c>
      <c r="AJ70" s="398">
        <v>8080</v>
      </c>
      <c r="AK70" s="398">
        <v>7860</v>
      </c>
      <c r="AL70" s="398">
        <v>7820</v>
      </c>
      <c r="AM70" s="398">
        <v>7760</v>
      </c>
      <c r="AN70" s="398">
        <v>7860</v>
      </c>
      <c r="AO70" s="398">
        <v>8010</v>
      </c>
      <c r="AP70" s="398">
        <v>7960</v>
      </c>
      <c r="AQ70" s="398">
        <v>8140</v>
      </c>
      <c r="AR70" s="398">
        <v>8070</v>
      </c>
      <c r="AS70" s="398">
        <v>7750</v>
      </c>
      <c r="AT70" s="398">
        <v>7460</v>
      </c>
      <c r="AU70" s="398">
        <v>7270</v>
      </c>
      <c r="AV70" s="398">
        <v>7100</v>
      </c>
      <c r="AW70" s="398">
        <v>7100</v>
      </c>
      <c r="AX70" s="398">
        <v>7050</v>
      </c>
      <c r="AY70" s="398">
        <v>7300</v>
      </c>
      <c r="AZ70" s="398">
        <v>7560</v>
      </c>
      <c r="BA70" s="398">
        <v>7840</v>
      </c>
      <c r="BB70" s="398">
        <v>8150</v>
      </c>
      <c r="BC70" s="398">
        <v>8530</v>
      </c>
      <c r="BD70" s="398">
        <v>8670</v>
      </c>
      <c r="BE70" s="398">
        <v>8860</v>
      </c>
      <c r="BF70" s="398">
        <v>9130</v>
      </c>
    </row>
    <row r="71" spans="1:58" x14ac:dyDescent="0.2">
      <c r="A71" s="399" t="s">
        <v>81</v>
      </c>
      <c r="B71" s="247"/>
      <c r="C71" s="398">
        <v>1000</v>
      </c>
      <c r="D71" s="398">
        <v>1140</v>
      </c>
      <c r="E71" s="398">
        <v>1210</v>
      </c>
      <c r="F71" s="398">
        <v>1280</v>
      </c>
      <c r="G71" s="398">
        <v>1400</v>
      </c>
      <c r="H71" s="398">
        <v>1550</v>
      </c>
      <c r="I71" s="398">
        <v>1670</v>
      </c>
      <c r="J71" s="398">
        <v>1850</v>
      </c>
      <c r="K71" s="398">
        <v>2030</v>
      </c>
      <c r="L71" s="398">
        <v>2180</v>
      </c>
      <c r="M71" s="398">
        <v>2520</v>
      </c>
      <c r="N71" s="398">
        <v>2820</v>
      </c>
      <c r="O71" s="398">
        <v>2960</v>
      </c>
      <c r="P71" s="398">
        <v>2760</v>
      </c>
      <c r="Q71" s="398">
        <v>3220</v>
      </c>
      <c r="R71" s="398">
        <v>3430</v>
      </c>
      <c r="S71" s="398">
        <v>3710</v>
      </c>
      <c r="T71" s="398">
        <v>4500</v>
      </c>
      <c r="U71" s="398">
        <v>4560</v>
      </c>
      <c r="V71" s="398">
        <v>4660</v>
      </c>
      <c r="W71" s="398">
        <v>4820</v>
      </c>
      <c r="X71" s="398">
        <v>4900</v>
      </c>
      <c r="Y71" s="398">
        <v>5100</v>
      </c>
      <c r="Z71" s="398">
        <v>5240</v>
      </c>
      <c r="AA71" s="398">
        <v>5490</v>
      </c>
      <c r="AB71" s="398">
        <v>5700</v>
      </c>
      <c r="AC71" s="398">
        <v>6030</v>
      </c>
      <c r="AD71" s="398">
        <v>6240</v>
      </c>
      <c r="AE71" s="398">
        <v>6350</v>
      </c>
      <c r="AF71" s="398">
        <v>6740</v>
      </c>
      <c r="AG71" s="398">
        <v>6910</v>
      </c>
      <c r="AH71" s="398">
        <v>7210</v>
      </c>
      <c r="AI71" s="398">
        <v>7410</v>
      </c>
      <c r="AJ71" s="398">
        <v>7430</v>
      </c>
      <c r="AK71" s="398">
        <v>7420</v>
      </c>
      <c r="AL71" s="398">
        <v>7210</v>
      </c>
      <c r="AM71" s="398">
        <v>7180</v>
      </c>
      <c r="AN71" s="398">
        <v>7120</v>
      </c>
      <c r="AO71" s="398">
        <v>7210</v>
      </c>
      <c r="AP71" s="398">
        <v>7350</v>
      </c>
      <c r="AQ71" s="398">
        <v>7300</v>
      </c>
      <c r="AR71" s="398">
        <v>7470</v>
      </c>
      <c r="AS71" s="398">
        <v>7410</v>
      </c>
      <c r="AT71" s="398">
        <v>7110</v>
      </c>
      <c r="AU71" s="398">
        <v>6850</v>
      </c>
      <c r="AV71" s="398">
        <v>6670</v>
      </c>
      <c r="AW71" s="398">
        <v>6510</v>
      </c>
      <c r="AX71" s="398">
        <v>6520</v>
      </c>
      <c r="AY71" s="398">
        <v>6470</v>
      </c>
      <c r="AZ71" s="398">
        <v>6700</v>
      </c>
      <c r="BA71" s="398">
        <v>6940</v>
      </c>
      <c r="BB71" s="398">
        <v>7200</v>
      </c>
      <c r="BC71" s="398">
        <v>7490</v>
      </c>
      <c r="BD71" s="398">
        <v>7840</v>
      </c>
      <c r="BE71" s="398">
        <v>7970</v>
      </c>
      <c r="BF71" s="398">
        <v>8140</v>
      </c>
    </row>
    <row r="72" spans="1:58" x14ac:dyDescent="0.2">
      <c r="A72" s="399" t="s">
        <v>82</v>
      </c>
      <c r="B72" s="247"/>
      <c r="C72" s="398">
        <v>830</v>
      </c>
      <c r="D72" s="398">
        <v>940</v>
      </c>
      <c r="E72" s="398">
        <v>1080</v>
      </c>
      <c r="F72" s="398">
        <v>1140</v>
      </c>
      <c r="G72" s="398">
        <v>1200</v>
      </c>
      <c r="H72" s="398">
        <v>1300</v>
      </c>
      <c r="I72" s="398">
        <v>1430</v>
      </c>
      <c r="J72" s="398">
        <v>1550</v>
      </c>
      <c r="K72" s="398">
        <v>1710</v>
      </c>
      <c r="L72" s="398">
        <v>1870</v>
      </c>
      <c r="M72" s="398">
        <v>2010</v>
      </c>
      <c r="N72" s="398">
        <v>2320</v>
      </c>
      <c r="O72" s="398">
        <v>2590</v>
      </c>
      <c r="P72" s="398">
        <v>2710</v>
      </c>
      <c r="Q72" s="398">
        <v>2530</v>
      </c>
      <c r="R72" s="398">
        <v>2950</v>
      </c>
      <c r="S72" s="398">
        <v>3140</v>
      </c>
      <c r="T72" s="398">
        <v>3400</v>
      </c>
      <c r="U72" s="398">
        <v>4110</v>
      </c>
      <c r="V72" s="398">
        <v>4170</v>
      </c>
      <c r="W72" s="398">
        <v>4260</v>
      </c>
      <c r="X72" s="398">
        <v>4400</v>
      </c>
      <c r="Y72" s="398">
        <v>4480</v>
      </c>
      <c r="Z72" s="398">
        <v>4660</v>
      </c>
      <c r="AA72" s="398">
        <v>4790</v>
      </c>
      <c r="AB72" s="398">
        <v>5010</v>
      </c>
      <c r="AC72" s="398">
        <v>5210</v>
      </c>
      <c r="AD72" s="398">
        <v>5510</v>
      </c>
      <c r="AE72" s="398">
        <v>5700</v>
      </c>
      <c r="AF72" s="398">
        <v>5800</v>
      </c>
      <c r="AG72" s="398">
        <v>6160</v>
      </c>
      <c r="AH72" s="398">
        <v>6310</v>
      </c>
      <c r="AI72" s="398">
        <v>6590</v>
      </c>
      <c r="AJ72" s="398">
        <v>6760</v>
      </c>
      <c r="AK72" s="398">
        <v>6790</v>
      </c>
      <c r="AL72" s="398">
        <v>6770</v>
      </c>
      <c r="AM72" s="398">
        <v>6580</v>
      </c>
      <c r="AN72" s="398">
        <v>6550</v>
      </c>
      <c r="AO72" s="398">
        <v>6500</v>
      </c>
      <c r="AP72" s="398">
        <v>6580</v>
      </c>
      <c r="AQ72" s="398">
        <v>6710</v>
      </c>
      <c r="AR72" s="398">
        <v>6670</v>
      </c>
      <c r="AS72" s="398">
        <v>6820</v>
      </c>
      <c r="AT72" s="398">
        <v>6760</v>
      </c>
      <c r="AU72" s="398">
        <v>6500</v>
      </c>
      <c r="AV72" s="398">
        <v>6260</v>
      </c>
      <c r="AW72" s="398">
        <v>6090</v>
      </c>
      <c r="AX72" s="398">
        <v>5940</v>
      </c>
      <c r="AY72" s="398">
        <v>5950</v>
      </c>
      <c r="AZ72" s="398">
        <v>5910</v>
      </c>
      <c r="BA72" s="398">
        <v>6120</v>
      </c>
      <c r="BB72" s="398">
        <v>6340</v>
      </c>
      <c r="BC72" s="398">
        <v>6580</v>
      </c>
      <c r="BD72" s="398">
        <v>6850</v>
      </c>
      <c r="BE72" s="398">
        <v>7170</v>
      </c>
      <c r="BF72" s="398">
        <v>7290</v>
      </c>
    </row>
    <row r="73" spans="1:58" x14ac:dyDescent="0.2">
      <c r="A73" s="399" t="s">
        <v>83</v>
      </c>
      <c r="B73" s="247"/>
      <c r="C73" s="398">
        <v>700</v>
      </c>
      <c r="D73" s="398">
        <v>780</v>
      </c>
      <c r="E73" s="398">
        <v>880</v>
      </c>
      <c r="F73" s="398">
        <v>1000</v>
      </c>
      <c r="G73" s="398">
        <v>1060</v>
      </c>
      <c r="H73" s="398">
        <v>1100</v>
      </c>
      <c r="I73" s="398">
        <v>1200</v>
      </c>
      <c r="J73" s="398">
        <v>1310</v>
      </c>
      <c r="K73" s="398">
        <v>1410</v>
      </c>
      <c r="L73" s="398">
        <v>1560</v>
      </c>
      <c r="M73" s="398">
        <v>1710</v>
      </c>
      <c r="N73" s="398">
        <v>1830</v>
      </c>
      <c r="O73" s="398">
        <v>2110</v>
      </c>
      <c r="P73" s="398">
        <v>2360</v>
      </c>
      <c r="Q73" s="398">
        <v>2470</v>
      </c>
      <c r="R73" s="398">
        <v>2300</v>
      </c>
      <c r="S73" s="398">
        <v>2680</v>
      </c>
      <c r="T73" s="398">
        <v>2860</v>
      </c>
      <c r="U73" s="398">
        <v>3090</v>
      </c>
      <c r="V73" s="398">
        <v>3740</v>
      </c>
      <c r="W73" s="398">
        <v>3790</v>
      </c>
      <c r="X73" s="398">
        <v>3870</v>
      </c>
      <c r="Y73" s="398">
        <v>3990</v>
      </c>
      <c r="Z73" s="398">
        <v>4070</v>
      </c>
      <c r="AA73" s="398">
        <v>4230</v>
      </c>
      <c r="AB73" s="398">
        <v>4340</v>
      </c>
      <c r="AC73" s="398">
        <v>4550</v>
      </c>
      <c r="AD73" s="398">
        <v>4730</v>
      </c>
      <c r="AE73" s="398">
        <v>5000</v>
      </c>
      <c r="AF73" s="398">
        <v>5170</v>
      </c>
      <c r="AG73" s="398">
        <v>5260</v>
      </c>
      <c r="AH73" s="398">
        <v>5590</v>
      </c>
      <c r="AI73" s="398">
        <v>5730</v>
      </c>
      <c r="AJ73" s="398">
        <v>5980</v>
      </c>
      <c r="AK73" s="398">
        <v>6140</v>
      </c>
      <c r="AL73" s="398">
        <v>6160</v>
      </c>
      <c r="AM73" s="398">
        <v>6150</v>
      </c>
      <c r="AN73" s="398">
        <v>5970</v>
      </c>
      <c r="AO73" s="398">
        <v>5950</v>
      </c>
      <c r="AP73" s="398">
        <v>5900</v>
      </c>
      <c r="AQ73" s="398">
        <v>5980</v>
      </c>
      <c r="AR73" s="398">
        <v>6100</v>
      </c>
      <c r="AS73" s="398">
        <v>6060</v>
      </c>
      <c r="AT73" s="398">
        <v>6200</v>
      </c>
      <c r="AU73" s="398">
        <v>6150</v>
      </c>
      <c r="AV73" s="398">
        <v>5900</v>
      </c>
      <c r="AW73" s="398">
        <v>5680</v>
      </c>
      <c r="AX73" s="398">
        <v>5530</v>
      </c>
      <c r="AY73" s="398">
        <v>5400</v>
      </c>
      <c r="AZ73" s="398">
        <v>5410</v>
      </c>
      <c r="BA73" s="398">
        <v>5370</v>
      </c>
      <c r="BB73" s="398">
        <v>5570</v>
      </c>
      <c r="BC73" s="398">
        <v>5770</v>
      </c>
      <c r="BD73" s="398">
        <v>5990</v>
      </c>
      <c r="BE73" s="398">
        <v>6230</v>
      </c>
      <c r="BF73" s="398">
        <v>6530</v>
      </c>
    </row>
    <row r="74" spans="1:58" x14ac:dyDescent="0.2">
      <c r="A74" s="399" t="s">
        <v>84</v>
      </c>
      <c r="B74" s="247"/>
      <c r="C74" s="398">
        <v>540</v>
      </c>
      <c r="D74" s="398">
        <v>640</v>
      </c>
      <c r="E74" s="398">
        <v>720</v>
      </c>
      <c r="F74" s="398">
        <v>800</v>
      </c>
      <c r="G74" s="398">
        <v>910</v>
      </c>
      <c r="H74" s="398">
        <v>970</v>
      </c>
      <c r="I74" s="398">
        <v>1000</v>
      </c>
      <c r="J74" s="398">
        <v>1090</v>
      </c>
      <c r="K74" s="398">
        <v>1190</v>
      </c>
      <c r="L74" s="398">
        <v>1280</v>
      </c>
      <c r="M74" s="398">
        <v>1410</v>
      </c>
      <c r="N74" s="398">
        <v>1550</v>
      </c>
      <c r="O74" s="398">
        <v>1650</v>
      </c>
      <c r="P74" s="398">
        <v>1910</v>
      </c>
      <c r="Q74" s="398">
        <v>2130</v>
      </c>
      <c r="R74" s="398">
        <v>2230</v>
      </c>
      <c r="S74" s="398">
        <v>2080</v>
      </c>
      <c r="T74" s="398">
        <v>2420</v>
      </c>
      <c r="U74" s="398">
        <v>2570</v>
      </c>
      <c r="V74" s="398">
        <v>2780</v>
      </c>
      <c r="W74" s="398">
        <v>3370</v>
      </c>
      <c r="X74" s="398">
        <v>3410</v>
      </c>
      <c r="Y74" s="398">
        <v>3490</v>
      </c>
      <c r="Z74" s="398">
        <v>3600</v>
      </c>
      <c r="AA74" s="398">
        <v>3660</v>
      </c>
      <c r="AB74" s="398">
        <v>3810</v>
      </c>
      <c r="AC74" s="398">
        <v>3910</v>
      </c>
      <c r="AD74" s="398">
        <v>4100</v>
      </c>
      <c r="AE74" s="398">
        <v>4260</v>
      </c>
      <c r="AF74" s="398">
        <v>4500</v>
      </c>
      <c r="AG74" s="398">
        <v>4660</v>
      </c>
      <c r="AH74" s="398">
        <v>4740</v>
      </c>
      <c r="AI74" s="398">
        <v>5040</v>
      </c>
      <c r="AJ74" s="398">
        <v>5160</v>
      </c>
      <c r="AK74" s="398">
        <v>5390</v>
      </c>
      <c r="AL74" s="398">
        <v>5540</v>
      </c>
      <c r="AM74" s="398">
        <v>5550</v>
      </c>
      <c r="AN74" s="398">
        <v>5540</v>
      </c>
      <c r="AO74" s="398">
        <v>5390</v>
      </c>
      <c r="AP74" s="398">
        <v>5370</v>
      </c>
      <c r="AQ74" s="398">
        <v>5330</v>
      </c>
      <c r="AR74" s="398">
        <v>5390</v>
      </c>
      <c r="AS74" s="398">
        <v>5500</v>
      </c>
      <c r="AT74" s="398">
        <v>5470</v>
      </c>
      <c r="AU74" s="398">
        <v>5600</v>
      </c>
      <c r="AV74" s="398">
        <v>5550</v>
      </c>
      <c r="AW74" s="398">
        <v>5330</v>
      </c>
      <c r="AX74" s="398">
        <v>5130</v>
      </c>
      <c r="AY74" s="398">
        <v>4990</v>
      </c>
      <c r="AZ74" s="398">
        <v>4880</v>
      </c>
      <c r="BA74" s="398">
        <v>4890</v>
      </c>
      <c r="BB74" s="398">
        <v>4860</v>
      </c>
      <c r="BC74" s="398">
        <v>5030</v>
      </c>
      <c r="BD74" s="398">
        <v>5220</v>
      </c>
      <c r="BE74" s="398">
        <v>5420</v>
      </c>
      <c r="BF74" s="398">
        <v>5640</v>
      </c>
    </row>
    <row r="75" spans="1:58" x14ac:dyDescent="0.2">
      <c r="A75" s="399" t="s">
        <v>955</v>
      </c>
      <c r="B75" s="247"/>
      <c r="C75" s="398">
        <v>1500</v>
      </c>
      <c r="D75" s="398">
        <v>1900</v>
      </c>
      <c r="E75" s="398">
        <v>2300</v>
      </c>
      <c r="F75" s="398">
        <v>2720</v>
      </c>
      <c r="G75" s="398">
        <v>3150</v>
      </c>
      <c r="H75" s="398">
        <v>3600</v>
      </c>
      <c r="I75" s="398">
        <v>4020</v>
      </c>
      <c r="J75" s="398">
        <v>4390</v>
      </c>
      <c r="K75" s="398">
        <v>4760</v>
      </c>
      <c r="L75" s="398">
        <v>5170</v>
      </c>
      <c r="M75" s="398">
        <v>5580</v>
      </c>
      <c r="N75" s="398">
        <v>6040</v>
      </c>
      <c r="O75" s="398">
        <v>6540</v>
      </c>
      <c r="P75" s="398">
        <v>7060</v>
      </c>
      <c r="Q75" s="398">
        <v>7720</v>
      </c>
      <c r="R75" s="398">
        <v>8480</v>
      </c>
      <c r="S75" s="398">
        <v>9220</v>
      </c>
      <c r="T75" s="398">
        <v>9700</v>
      </c>
      <c r="U75" s="398">
        <v>10410</v>
      </c>
      <c r="V75" s="398">
        <v>11150</v>
      </c>
      <c r="W75" s="398">
        <v>11960</v>
      </c>
      <c r="X75" s="398">
        <v>13170</v>
      </c>
      <c r="Y75" s="398">
        <v>14250</v>
      </c>
      <c r="Z75" s="398">
        <v>15230</v>
      </c>
      <c r="AA75" s="398">
        <v>16170</v>
      </c>
      <c r="AB75" s="398">
        <v>17010</v>
      </c>
      <c r="AC75" s="398">
        <v>17850</v>
      </c>
      <c r="AD75" s="398">
        <v>18650</v>
      </c>
      <c r="AE75" s="398">
        <v>19480</v>
      </c>
      <c r="AF75" s="398">
        <v>20320</v>
      </c>
      <c r="AG75" s="398">
        <v>21240</v>
      </c>
      <c r="AH75" s="398">
        <v>22160</v>
      </c>
      <c r="AI75" s="398">
        <v>23020</v>
      </c>
      <c r="AJ75" s="398">
        <v>24000</v>
      </c>
      <c r="AK75" s="398">
        <v>24960</v>
      </c>
      <c r="AL75" s="398">
        <v>25970</v>
      </c>
      <c r="AM75" s="398">
        <v>26960</v>
      </c>
      <c r="AN75" s="398">
        <v>27830</v>
      </c>
      <c r="AO75" s="398">
        <v>28550</v>
      </c>
      <c r="AP75" s="398">
        <v>29020</v>
      </c>
      <c r="AQ75" s="398">
        <v>29380</v>
      </c>
      <c r="AR75" s="398">
        <v>29630</v>
      </c>
      <c r="AS75" s="398">
        <v>29890</v>
      </c>
      <c r="AT75" s="398">
        <v>30210</v>
      </c>
      <c r="AU75" s="398">
        <v>30430</v>
      </c>
      <c r="AV75" s="398">
        <v>30740</v>
      </c>
      <c r="AW75" s="398">
        <v>30920</v>
      </c>
      <c r="AX75" s="398">
        <v>30890</v>
      </c>
      <c r="AY75" s="398">
        <v>30680</v>
      </c>
      <c r="AZ75" s="398">
        <v>30390</v>
      </c>
      <c r="BA75" s="398">
        <v>30040</v>
      </c>
      <c r="BB75" s="398">
        <v>29750</v>
      </c>
      <c r="BC75" s="398">
        <v>29480</v>
      </c>
      <c r="BD75" s="398">
        <v>29420</v>
      </c>
      <c r="BE75" s="398">
        <v>29560</v>
      </c>
      <c r="BF75" s="398">
        <v>29880</v>
      </c>
    </row>
    <row r="76" spans="1:58" x14ac:dyDescent="0.2">
      <c r="A76" s="395" t="s">
        <v>813</v>
      </c>
      <c r="B76" s="247"/>
      <c r="C76" s="394">
        <f>SUM(C$10:C$75)/1000000</f>
        <v>1.20163</v>
      </c>
      <c r="D76" s="394">
        <f t="shared" ref="D76:BF76" si="2">SUM(D$10:D$75)/1000000</f>
        <v>1.21862</v>
      </c>
      <c r="E76" s="394">
        <f t="shared" si="2"/>
        <v>1.23447</v>
      </c>
      <c r="F76" s="394">
        <f t="shared" si="2"/>
        <v>1.2442500000000001</v>
      </c>
      <c r="G76" s="394">
        <f t="shared" si="2"/>
        <v>1.2581199999999999</v>
      </c>
      <c r="H76" s="394">
        <f t="shared" si="2"/>
        <v>1.27111</v>
      </c>
      <c r="I76" s="394">
        <f t="shared" si="2"/>
        <v>1.28328</v>
      </c>
      <c r="J76" s="394">
        <f t="shared" si="2"/>
        <v>1.2964</v>
      </c>
      <c r="K76" s="394">
        <f t="shared" si="2"/>
        <v>1.3114699999999999</v>
      </c>
      <c r="L76" s="394">
        <f t="shared" si="2"/>
        <v>1.3281700000000001</v>
      </c>
      <c r="M76" s="394">
        <f t="shared" si="2"/>
        <v>1.3448800000000001</v>
      </c>
      <c r="N76" s="394">
        <f t="shared" si="2"/>
        <v>1.36046</v>
      </c>
      <c r="O76" s="394">
        <f t="shared" si="2"/>
        <v>1.3753299999999999</v>
      </c>
      <c r="P76" s="394">
        <f t="shared" si="2"/>
        <v>1.38957</v>
      </c>
      <c r="Q76" s="394">
        <f t="shared" si="2"/>
        <v>1.4030199999999999</v>
      </c>
      <c r="R76" s="394">
        <f t="shared" si="2"/>
        <v>1.41594</v>
      </c>
      <c r="S76" s="394">
        <f t="shared" si="2"/>
        <v>1.4287399999999999</v>
      </c>
      <c r="T76" s="394">
        <f t="shared" si="2"/>
        <v>1.44167</v>
      </c>
      <c r="U76" s="394">
        <f t="shared" si="2"/>
        <v>1.4543900000000001</v>
      </c>
      <c r="V76" s="394">
        <f t="shared" si="2"/>
        <v>1.46688</v>
      </c>
      <c r="W76" s="394">
        <f t="shared" si="2"/>
        <v>1.4789300000000001</v>
      </c>
      <c r="X76" s="394">
        <f t="shared" si="2"/>
        <v>1.4902899999999999</v>
      </c>
      <c r="Y76" s="394">
        <f t="shared" si="2"/>
        <v>1.5012099999999999</v>
      </c>
      <c r="Z76" s="394">
        <f t="shared" si="2"/>
        <v>1.5116799999999999</v>
      </c>
      <c r="AA76" s="394">
        <f t="shared" si="2"/>
        <v>1.52179</v>
      </c>
      <c r="AB76" s="394">
        <f t="shared" si="2"/>
        <v>1.53166</v>
      </c>
      <c r="AC76" s="394">
        <f t="shared" si="2"/>
        <v>1.5413699999999999</v>
      </c>
      <c r="AD76" s="394">
        <f t="shared" si="2"/>
        <v>1.55101</v>
      </c>
      <c r="AE76" s="394">
        <f t="shared" si="2"/>
        <v>1.5605800000000001</v>
      </c>
      <c r="AF76" s="394">
        <f t="shared" si="2"/>
        <v>1.57013</v>
      </c>
      <c r="AG76" s="394">
        <f t="shared" si="2"/>
        <v>1.5796699999999999</v>
      </c>
      <c r="AH76" s="394">
        <f t="shared" si="2"/>
        <v>1.5891500000000001</v>
      </c>
      <c r="AI76" s="394">
        <f t="shared" si="2"/>
        <v>1.5987100000000001</v>
      </c>
      <c r="AJ76" s="394">
        <f t="shared" si="2"/>
        <v>1.6083700000000001</v>
      </c>
      <c r="AK76" s="394">
        <f t="shared" si="2"/>
        <v>1.6181399999999999</v>
      </c>
      <c r="AL76" s="394">
        <f t="shared" si="2"/>
        <v>1.62798</v>
      </c>
      <c r="AM76" s="394">
        <f t="shared" si="2"/>
        <v>1.63788</v>
      </c>
      <c r="AN76" s="394">
        <f t="shared" si="2"/>
        <v>1.64795</v>
      </c>
      <c r="AO76" s="394">
        <f t="shared" si="2"/>
        <v>1.65801</v>
      </c>
      <c r="AP76" s="394">
        <f t="shared" si="2"/>
        <v>1.66798</v>
      </c>
      <c r="AQ76" s="394">
        <f t="shared" si="2"/>
        <v>1.6777299999999999</v>
      </c>
      <c r="AR76" s="394">
        <f t="shared" si="2"/>
        <v>1.6872799999999999</v>
      </c>
      <c r="AS76" s="394">
        <f t="shared" si="2"/>
        <v>1.6966300000000001</v>
      </c>
      <c r="AT76" s="394">
        <f t="shared" si="2"/>
        <v>1.7055400000000001</v>
      </c>
      <c r="AU76" s="394">
        <f t="shared" si="2"/>
        <v>1.71408</v>
      </c>
      <c r="AV76" s="394">
        <f t="shared" si="2"/>
        <v>1.72224</v>
      </c>
      <c r="AW76" s="394">
        <f t="shared" si="2"/>
        <v>1.7298899999999999</v>
      </c>
      <c r="AX76" s="394">
        <f t="shared" si="2"/>
        <v>1.7371399999999999</v>
      </c>
      <c r="AY76" s="394">
        <f t="shared" si="2"/>
        <v>1.7440500000000001</v>
      </c>
      <c r="AZ76" s="394">
        <f t="shared" si="2"/>
        <v>1.75061</v>
      </c>
      <c r="BA76" s="394">
        <f t="shared" si="2"/>
        <v>1.75682</v>
      </c>
      <c r="BB76" s="394">
        <f t="shared" si="2"/>
        <v>1.7625999999999999</v>
      </c>
      <c r="BC76" s="394">
        <f t="shared" si="2"/>
        <v>1.7681</v>
      </c>
      <c r="BD76" s="394">
        <f t="shared" si="2"/>
        <v>1.7733399999999999</v>
      </c>
      <c r="BE76" s="394">
        <f t="shared" si="2"/>
        <v>1.77833</v>
      </c>
      <c r="BF76" s="394">
        <f t="shared" si="2"/>
        <v>1.78311</v>
      </c>
    </row>
    <row r="77" spans="1:58" x14ac:dyDescent="0.2">
      <c r="A77" s="400"/>
      <c r="B77" s="247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6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396"/>
      <c r="BB77" s="396"/>
      <c r="BC77" s="396"/>
      <c r="BD77" s="396"/>
      <c r="BE77" s="396"/>
      <c r="BF77" s="396"/>
    </row>
    <row r="78" spans="1:58" x14ac:dyDescent="0.2">
      <c r="A78" s="395" t="s">
        <v>276</v>
      </c>
      <c r="B78" s="247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6"/>
    </row>
    <row r="79" spans="1:58" x14ac:dyDescent="0.2">
      <c r="A79" s="397" t="s">
        <v>20</v>
      </c>
      <c r="B79" s="247"/>
      <c r="C79" s="398">
        <v>11960</v>
      </c>
      <c r="D79" s="398">
        <v>11630</v>
      </c>
      <c r="E79" s="398">
        <v>11540</v>
      </c>
      <c r="F79" s="398">
        <v>8450</v>
      </c>
      <c r="G79" s="398">
        <v>6730</v>
      </c>
      <c r="H79" s="398">
        <v>5910</v>
      </c>
      <c r="I79" s="398">
        <v>5820</v>
      </c>
      <c r="J79" s="398">
        <v>5870</v>
      </c>
      <c r="K79" s="398">
        <v>5930</v>
      </c>
      <c r="L79" s="398">
        <v>6420</v>
      </c>
      <c r="M79" s="398">
        <v>6710</v>
      </c>
      <c r="N79" s="398">
        <v>6850</v>
      </c>
      <c r="O79" s="398">
        <v>7090</v>
      </c>
      <c r="P79" s="398">
        <v>7550</v>
      </c>
      <c r="Q79" s="398">
        <v>7610</v>
      </c>
      <c r="R79" s="398">
        <v>7870</v>
      </c>
      <c r="S79" s="398">
        <v>8190</v>
      </c>
      <c r="T79" s="398">
        <v>8430</v>
      </c>
      <c r="U79" s="398">
        <v>8210</v>
      </c>
      <c r="V79" s="398">
        <v>8400</v>
      </c>
      <c r="W79" s="398">
        <v>8200</v>
      </c>
      <c r="X79" s="398">
        <v>7990</v>
      </c>
      <c r="Y79" s="398">
        <v>8000</v>
      </c>
      <c r="Z79" s="398">
        <v>8020</v>
      </c>
      <c r="AA79" s="398">
        <v>8060</v>
      </c>
      <c r="AB79" s="398">
        <v>8100</v>
      </c>
      <c r="AC79" s="398">
        <v>8150</v>
      </c>
      <c r="AD79" s="398">
        <v>8210</v>
      </c>
      <c r="AE79" s="398">
        <v>8250</v>
      </c>
      <c r="AF79" s="398">
        <v>8300</v>
      </c>
      <c r="AG79" s="398">
        <v>8340</v>
      </c>
      <c r="AH79" s="398">
        <v>8370</v>
      </c>
      <c r="AI79" s="398">
        <v>8390</v>
      </c>
      <c r="AJ79" s="398">
        <v>8410</v>
      </c>
      <c r="AK79" s="398">
        <v>8410</v>
      </c>
      <c r="AL79" s="398">
        <v>8410</v>
      </c>
      <c r="AM79" s="398">
        <v>8410</v>
      </c>
      <c r="AN79" s="398">
        <v>8390</v>
      </c>
      <c r="AO79" s="398">
        <v>8370</v>
      </c>
      <c r="AP79" s="398">
        <v>8350</v>
      </c>
      <c r="AQ79" s="398">
        <v>8330</v>
      </c>
      <c r="AR79" s="398">
        <v>8310</v>
      </c>
      <c r="AS79" s="398">
        <v>8290</v>
      </c>
      <c r="AT79" s="398">
        <v>8280</v>
      </c>
      <c r="AU79" s="398">
        <v>8280</v>
      </c>
      <c r="AV79" s="398">
        <v>8290</v>
      </c>
      <c r="AW79" s="398">
        <v>8310</v>
      </c>
      <c r="AX79" s="398">
        <v>8330</v>
      </c>
      <c r="AY79" s="398">
        <v>8350</v>
      </c>
      <c r="AZ79" s="398">
        <v>8380</v>
      </c>
      <c r="BA79" s="398">
        <v>8410</v>
      </c>
      <c r="BB79" s="398">
        <v>8430</v>
      </c>
      <c r="BC79" s="398">
        <v>8460</v>
      </c>
      <c r="BD79" s="398">
        <v>8480</v>
      </c>
      <c r="BE79" s="398">
        <v>8500</v>
      </c>
      <c r="BF79" s="398">
        <v>8510</v>
      </c>
    </row>
    <row r="80" spans="1:58" x14ac:dyDescent="0.2">
      <c r="A80" s="397" t="s">
        <v>21</v>
      </c>
      <c r="B80" s="247"/>
      <c r="C80" s="398">
        <v>16690</v>
      </c>
      <c r="D80" s="398">
        <v>16850</v>
      </c>
      <c r="E80" s="398">
        <v>16350</v>
      </c>
      <c r="F80" s="398">
        <v>13050</v>
      </c>
      <c r="G80" s="398">
        <v>10820</v>
      </c>
      <c r="H80" s="398">
        <v>10070</v>
      </c>
      <c r="I80" s="398">
        <v>9870</v>
      </c>
      <c r="J80" s="398">
        <v>9840</v>
      </c>
      <c r="K80" s="398">
        <v>10070</v>
      </c>
      <c r="L80" s="398">
        <v>10270</v>
      </c>
      <c r="M80" s="398">
        <v>11360</v>
      </c>
      <c r="N80" s="398">
        <v>11650</v>
      </c>
      <c r="O80" s="398">
        <v>11700</v>
      </c>
      <c r="P80" s="398">
        <v>11950</v>
      </c>
      <c r="Q80" s="398">
        <v>12570</v>
      </c>
      <c r="R80" s="398">
        <v>12530</v>
      </c>
      <c r="S80" s="398">
        <v>12870</v>
      </c>
      <c r="T80" s="398">
        <v>13380</v>
      </c>
      <c r="U80" s="398">
        <v>13770</v>
      </c>
      <c r="V80" s="398">
        <v>13430</v>
      </c>
      <c r="W80" s="398">
        <v>13730</v>
      </c>
      <c r="X80" s="398">
        <v>13410</v>
      </c>
      <c r="Y80" s="398">
        <v>13070</v>
      </c>
      <c r="Z80" s="398">
        <v>13080</v>
      </c>
      <c r="AA80" s="398">
        <v>13110</v>
      </c>
      <c r="AB80" s="398">
        <v>13170</v>
      </c>
      <c r="AC80" s="398">
        <v>13250</v>
      </c>
      <c r="AD80" s="398">
        <v>13330</v>
      </c>
      <c r="AE80" s="398">
        <v>13410</v>
      </c>
      <c r="AF80" s="398">
        <v>13490</v>
      </c>
      <c r="AG80" s="398">
        <v>13570</v>
      </c>
      <c r="AH80" s="398">
        <v>13630</v>
      </c>
      <c r="AI80" s="398">
        <v>13680</v>
      </c>
      <c r="AJ80" s="398">
        <v>13720</v>
      </c>
      <c r="AK80" s="398">
        <v>13740</v>
      </c>
      <c r="AL80" s="398">
        <v>13750</v>
      </c>
      <c r="AM80" s="398">
        <v>13750</v>
      </c>
      <c r="AN80" s="398">
        <v>13740</v>
      </c>
      <c r="AO80" s="398">
        <v>13720</v>
      </c>
      <c r="AP80" s="398">
        <v>13690</v>
      </c>
      <c r="AQ80" s="398">
        <v>13650</v>
      </c>
      <c r="AR80" s="398">
        <v>13620</v>
      </c>
      <c r="AS80" s="398">
        <v>13580</v>
      </c>
      <c r="AT80" s="398">
        <v>13560</v>
      </c>
      <c r="AU80" s="398">
        <v>13540</v>
      </c>
      <c r="AV80" s="398">
        <v>13540</v>
      </c>
      <c r="AW80" s="398">
        <v>13550</v>
      </c>
      <c r="AX80" s="398">
        <v>13580</v>
      </c>
      <c r="AY80" s="398">
        <v>13610</v>
      </c>
      <c r="AZ80" s="398">
        <v>13650</v>
      </c>
      <c r="BA80" s="398">
        <v>13700</v>
      </c>
      <c r="BB80" s="398">
        <v>13740</v>
      </c>
      <c r="BC80" s="398">
        <v>13780</v>
      </c>
      <c r="BD80" s="398">
        <v>13820</v>
      </c>
      <c r="BE80" s="398">
        <v>13850</v>
      </c>
      <c r="BF80" s="398">
        <v>13880</v>
      </c>
    </row>
    <row r="81" spans="1:58" x14ac:dyDescent="0.2">
      <c r="A81" s="397" t="s">
        <v>22</v>
      </c>
      <c r="B81" s="247"/>
      <c r="C81" s="398">
        <v>18780</v>
      </c>
      <c r="D81" s="398">
        <v>19600</v>
      </c>
      <c r="E81" s="398">
        <v>19750</v>
      </c>
      <c r="F81" s="398">
        <v>17040</v>
      </c>
      <c r="G81" s="398">
        <v>15630</v>
      </c>
      <c r="H81" s="398">
        <v>14750</v>
      </c>
      <c r="I81" s="398">
        <v>14730</v>
      </c>
      <c r="J81" s="398">
        <v>14480</v>
      </c>
      <c r="K81" s="398">
        <v>14410</v>
      </c>
      <c r="L81" s="398">
        <v>14570</v>
      </c>
      <c r="M81" s="398">
        <v>14690</v>
      </c>
      <c r="N81" s="398">
        <v>15570</v>
      </c>
      <c r="O81" s="398">
        <v>15460</v>
      </c>
      <c r="P81" s="398">
        <v>15150</v>
      </c>
      <c r="Q81" s="398">
        <v>15180</v>
      </c>
      <c r="R81" s="398">
        <v>15750</v>
      </c>
      <c r="S81" s="398">
        <v>15610</v>
      </c>
      <c r="T81" s="398">
        <v>16030</v>
      </c>
      <c r="U81" s="398">
        <v>16660</v>
      </c>
      <c r="V81" s="398">
        <v>17140</v>
      </c>
      <c r="W81" s="398">
        <v>16720</v>
      </c>
      <c r="X81" s="398">
        <v>17090</v>
      </c>
      <c r="Y81" s="398">
        <v>16690</v>
      </c>
      <c r="Z81" s="398">
        <v>16280</v>
      </c>
      <c r="AA81" s="398">
        <v>16290</v>
      </c>
      <c r="AB81" s="398">
        <v>16330</v>
      </c>
      <c r="AC81" s="398">
        <v>16410</v>
      </c>
      <c r="AD81" s="398">
        <v>16500</v>
      </c>
      <c r="AE81" s="398">
        <v>16600</v>
      </c>
      <c r="AF81" s="398">
        <v>16700</v>
      </c>
      <c r="AG81" s="398">
        <v>16800</v>
      </c>
      <c r="AH81" s="398">
        <v>16890</v>
      </c>
      <c r="AI81" s="398">
        <v>16970</v>
      </c>
      <c r="AJ81" s="398">
        <v>17030</v>
      </c>
      <c r="AK81" s="398">
        <v>17080</v>
      </c>
      <c r="AL81" s="398">
        <v>17110</v>
      </c>
      <c r="AM81" s="398">
        <v>17120</v>
      </c>
      <c r="AN81" s="398">
        <v>17120</v>
      </c>
      <c r="AO81" s="398">
        <v>17110</v>
      </c>
      <c r="AP81" s="398">
        <v>17080</v>
      </c>
      <c r="AQ81" s="398">
        <v>17040</v>
      </c>
      <c r="AR81" s="398">
        <v>17000</v>
      </c>
      <c r="AS81" s="398">
        <v>16960</v>
      </c>
      <c r="AT81" s="398">
        <v>16910</v>
      </c>
      <c r="AU81" s="398">
        <v>16880</v>
      </c>
      <c r="AV81" s="398">
        <v>16860</v>
      </c>
      <c r="AW81" s="398">
        <v>16860</v>
      </c>
      <c r="AX81" s="398">
        <v>16870</v>
      </c>
      <c r="AY81" s="398">
        <v>16910</v>
      </c>
      <c r="AZ81" s="398">
        <v>16950</v>
      </c>
      <c r="BA81" s="398">
        <v>17000</v>
      </c>
      <c r="BB81" s="398">
        <v>17060</v>
      </c>
      <c r="BC81" s="398">
        <v>17110</v>
      </c>
      <c r="BD81" s="398">
        <v>17160</v>
      </c>
      <c r="BE81" s="398">
        <v>17210</v>
      </c>
      <c r="BF81" s="398">
        <v>17250</v>
      </c>
    </row>
    <row r="82" spans="1:58" x14ac:dyDescent="0.2">
      <c r="A82" s="397" t="s">
        <v>23</v>
      </c>
      <c r="B82" s="247"/>
      <c r="C82" s="398">
        <v>19400</v>
      </c>
      <c r="D82" s="398">
        <v>19860</v>
      </c>
      <c r="E82" s="398">
        <v>20710</v>
      </c>
      <c r="F82" s="398">
        <v>20170</v>
      </c>
      <c r="G82" s="398">
        <v>19200</v>
      </c>
      <c r="H82" s="398">
        <v>18860</v>
      </c>
      <c r="I82" s="398">
        <v>18420</v>
      </c>
      <c r="J82" s="398">
        <v>18370</v>
      </c>
      <c r="K82" s="398">
        <v>17970</v>
      </c>
      <c r="L82" s="398">
        <v>17680</v>
      </c>
      <c r="M82" s="398">
        <v>17560</v>
      </c>
      <c r="N82" s="398">
        <v>17180</v>
      </c>
      <c r="O82" s="398">
        <v>17790</v>
      </c>
      <c r="P82" s="398">
        <v>17340</v>
      </c>
      <c r="Q82" s="398">
        <v>16780</v>
      </c>
      <c r="R82" s="398">
        <v>16690</v>
      </c>
      <c r="S82" s="398">
        <v>17260</v>
      </c>
      <c r="T82" s="398">
        <v>17100</v>
      </c>
      <c r="U82" s="398">
        <v>17560</v>
      </c>
      <c r="V82" s="398">
        <v>18250</v>
      </c>
      <c r="W82" s="398">
        <v>18780</v>
      </c>
      <c r="X82" s="398">
        <v>18320</v>
      </c>
      <c r="Y82" s="398">
        <v>18720</v>
      </c>
      <c r="Z82" s="398">
        <v>18290</v>
      </c>
      <c r="AA82" s="398">
        <v>17840</v>
      </c>
      <c r="AB82" s="398">
        <v>17850</v>
      </c>
      <c r="AC82" s="398">
        <v>17890</v>
      </c>
      <c r="AD82" s="398">
        <v>17970</v>
      </c>
      <c r="AE82" s="398">
        <v>18080</v>
      </c>
      <c r="AF82" s="398">
        <v>18190</v>
      </c>
      <c r="AG82" s="398">
        <v>18300</v>
      </c>
      <c r="AH82" s="398">
        <v>18410</v>
      </c>
      <c r="AI82" s="398">
        <v>18510</v>
      </c>
      <c r="AJ82" s="398">
        <v>18590</v>
      </c>
      <c r="AK82" s="398">
        <v>18660</v>
      </c>
      <c r="AL82" s="398">
        <v>18710</v>
      </c>
      <c r="AM82" s="398">
        <v>18740</v>
      </c>
      <c r="AN82" s="398">
        <v>18760</v>
      </c>
      <c r="AO82" s="398">
        <v>18750</v>
      </c>
      <c r="AP82" s="398">
        <v>18740</v>
      </c>
      <c r="AQ82" s="398">
        <v>18710</v>
      </c>
      <c r="AR82" s="398">
        <v>18670</v>
      </c>
      <c r="AS82" s="398">
        <v>18620</v>
      </c>
      <c r="AT82" s="398">
        <v>18570</v>
      </c>
      <c r="AU82" s="398">
        <v>18530</v>
      </c>
      <c r="AV82" s="398">
        <v>18490</v>
      </c>
      <c r="AW82" s="398">
        <v>18470</v>
      </c>
      <c r="AX82" s="398">
        <v>18470</v>
      </c>
      <c r="AY82" s="398">
        <v>18480</v>
      </c>
      <c r="AZ82" s="398">
        <v>18520</v>
      </c>
      <c r="BA82" s="398">
        <v>18570</v>
      </c>
      <c r="BB82" s="398">
        <v>18620</v>
      </c>
      <c r="BC82" s="398">
        <v>18680</v>
      </c>
      <c r="BD82" s="398">
        <v>18740</v>
      </c>
      <c r="BE82" s="398">
        <v>18800</v>
      </c>
      <c r="BF82" s="398">
        <v>18850</v>
      </c>
    </row>
    <row r="83" spans="1:58" x14ac:dyDescent="0.2">
      <c r="A83" s="397" t="s">
        <v>24</v>
      </c>
      <c r="B83" s="247"/>
      <c r="C83" s="398">
        <v>19340</v>
      </c>
      <c r="D83" s="398">
        <v>20050</v>
      </c>
      <c r="E83" s="398">
        <v>20460</v>
      </c>
      <c r="F83" s="398">
        <v>21380</v>
      </c>
      <c r="G83" s="398">
        <v>21680</v>
      </c>
      <c r="H83" s="398">
        <v>20920</v>
      </c>
      <c r="I83" s="398">
        <v>20680</v>
      </c>
      <c r="J83" s="398">
        <v>20190</v>
      </c>
      <c r="K83" s="398">
        <v>20160</v>
      </c>
      <c r="L83" s="398">
        <v>19730</v>
      </c>
      <c r="M83" s="398">
        <v>19370</v>
      </c>
      <c r="N83" s="398">
        <v>19220</v>
      </c>
      <c r="O83" s="398">
        <v>18780</v>
      </c>
      <c r="P83" s="398">
        <v>19410</v>
      </c>
      <c r="Q83" s="398">
        <v>18900</v>
      </c>
      <c r="R83" s="398">
        <v>18260</v>
      </c>
      <c r="S83" s="398">
        <v>18140</v>
      </c>
      <c r="T83" s="398">
        <v>18740</v>
      </c>
      <c r="U83" s="398">
        <v>18540</v>
      </c>
      <c r="V83" s="398">
        <v>19020</v>
      </c>
      <c r="W83" s="398">
        <v>19740</v>
      </c>
      <c r="X83" s="398">
        <v>20290</v>
      </c>
      <c r="Y83" s="398">
        <v>19780</v>
      </c>
      <c r="Z83" s="398">
        <v>20190</v>
      </c>
      <c r="AA83" s="398">
        <v>19720</v>
      </c>
      <c r="AB83" s="398">
        <v>19240</v>
      </c>
      <c r="AC83" s="398">
        <v>19240</v>
      </c>
      <c r="AD83" s="398">
        <v>19280</v>
      </c>
      <c r="AE83" s="398">
        <v>19360</v>
      </c>
      <c r="AF83" s="398">
        <v>19470</v>
      </c>
      <c r="AG83" s="398">
        <v>19590</v>
      </c>
      <c r="AH83" s="398">
        <v>19710</v>
      </c>
      <c r="AI83" s="398">
        <v>19820</v>
      </c>
      <c r="AJ83" s="398">
        <v>19930</v>
      </c>
      <c r="AK83" s="398">
        <v>20020</v>
      </c>
      <c r="AL83" s="398">
        <v>20090</v>
      </c>
      <c r="AM83" s="398">
        <v>20140</v>
      </c>
      <c r="AN83" s="398">
        <v>20180</v>
      </c>
      <c r="AO83" s="398">
        <v>20190</v>
      </c>
      <c r="AP83" s="398">
        <v>20190</v>
      </c>
      <c r="AQ83" s="398">
        <v>20180</v>
      </c>
      <c r="AR83" s="398">
        <v>20150</v>
      </c>
      <c r="AS83" s="398">
        <v>20100</v>
      </c>
      <c r="AT83" s="398">
        <v>20050</v>
      </c>
      <c r="AU83" s="398">
        <v>20000</v>
      </c>
      <c r="AV83" s="398">
        <v>19950</v>
      </c>
      <c r="AW83" s="398">
        <v>19910</v>
      </c>
      <c r="AX83" s="398">
        <v>19890</v>
      </c>
      <c r="AY83" s="398">
        <v>19890</v>
      </c>
      <c r="AZ83" s="398">
        <v>19900</v>
      </c>
      <c r="BA83" s="398">
        <v>19940</v>
      </c>
      <c r="BB83" s="398">
        <v>19990</v>
      </c>
      <c r="BC83" s="398">
        <v>20050</v>
      </c>
      <c r="BD83" s="398">
        <v>20120</v>
      </c>
      <c r="BE83" s="398">
        <v>20180</v>
      </c>
      <c r="BF83" s="398">
        <v>20240</v>
      </c>
    </row>
    <row r="84" spans="1:58" x14ac:dyDescent="0.2">
      <c r="A84" s="397" t="s">
        <v>25</v>
      </c>
      <c r="B84" s="247"/>
      <c r="C84" s="398">
        <v>20120</v>
      </c>
      <c r="D84" s="398">
        <v>19770</v>
      </c>
      <c r="E84" s="398">
        <v>20560</v>
      </c>
      <c r="F84" s="398">
        <v>21090</v>
      </c>
      <c r="G84" s="398">
        <v>22200</v>
      </c>
      <c r="H84" s="398">
        <v>22410</v>
      </c>
      <c r="I84" s="398">
        <v>21520</v>
      </c>
      <c r="J84" s="398">
        <v>21340</v>
      </c>
      <c r="K84" s="398">
        <v>20910</v>
      </c>
      <c r="L84" s="398">
        <v>20950</v>
      </c>
      <c r="M84" s="398">
        <v>20530</v>
      </c>
      <c r="N84" s="398">
        <v>20190</v>
      </c>
      <c r="O84" s="398">
        <v>20040</v>
      </c>
      <c r="P84" s="398">
        <v>19610</v>
      </c>
      <c r="Q84" s="398">
        <v>20270</v>
      </c>
      <c r="R84" s="398">
        <v>19760</v>
      </c>
      <c r="S84" s="398">
        <v>19120</v>
      </c>
      <c r="T84" s="398">
        <v>19010</v>
      </c>
      <c r="U84" s="398">
        <v>19640</v>
      </c>
      <c r="V84" s="398">
        <v>19450</v>
      </c>
      <c r="W84" s="398">
        <v>19960</v>
      </c>
      <c r="X84" s="398">
        <v>20710</v>
      </c>
      <c r="Y84" s="398">
        <v>21290</v>
      </c>
      <c r="Z84" s="398">
        <v>20770</v>
      </c>
      <c r="AA84" s="398">
        <v>21210</v>
      </c>
      <c r="AB84" s="398">
        <v>20730</v>
      </c>
      <c r="AC84" s="398">
        <v>20230</v>
      </c>
      <c r="AD84" s="398">
        <v>20230</v>
      </c>
      <c r="AE84" s="398">
        <v>20280</v>
      </c>
      <c r="AF84" s="398">
        <v>20370</v>
      </c>
      <c r="AG84" s="398">
        <v>20480</v>
      </c>
      <c r="AH84" s="398">
        <v>20610</v>
      </c>
      <c r="AI84" s="398">
        <v>20730</v>
      </c>
      <c r="AJ84" s="398">
        <v>20850</v>
      </c>
      <c r="AK84" s="398">
        <v>20960</v>
      </c>
      <c r="AL84" s="398">
        <v>21050</v>
      </c>
      <c r="AM84" s="398">
        <v>21130</v>
      </c>
      <c r="AN84" s="398">
        <v>21190</v>
      </c>
      <c r="AO84" s="398">
        <v>21220</v>
      </c>
      <c r="AP84" s="398">
        <v>21240</v>
      </c>
      <c r="AQ84" s="398">
        <v>21240</v>
      </c>
      <c r="AR84" s="398">
        <v>21220</v>
      </c>
      <c r="AS84" s="398">
        <v>21190</v>
      </c>
      <c r="AT84" s="398">
        <v>21140</v>
      </c>
      <c r="AU84" s="398">
        <v>21090</v>
      </c>
      <c r="AV84" s="398">
        <v>21040</v>
      </c>
      <c r="AW84" s="398">
        <v>20990</v>
      </c>
      <c r="AX84" s="398">
        <v>20950</v>
      </c>
      <c r="AY84" s="398">
        <v>20920</v>
      </c>
      <c r="AZ84" s="398">
        <v>20920</v>
      </c>
      <c r="BA84" s="398">
        <v>20940</v>
      </c>
      <c r="BB84" s="398">
        <v>20980</v>
      </c>
      <c r="BC84" s="398">
        <v>21030</v>
      </c>
      <c r="BD84" s="398">
        <v>21100</v>
      </c>
      <c r="BE84" s="398">
        <v>21160</v>
      </c>
      <c r="BF84" s="398">
        <v>21230</v>
      </c>
    </row>
    <row r="85" spans="1:58" x14ac:dyDescent="0.2">
      <c r="A85" s="397" t="s">
        <v>26</v>
      </c>
      <c r="B85" s="247"/>
      <c r="C85" s="398">
        <v>20380</v>
      </c>
      <c r="D85" s="398">
        <v>20380</v>
      </c>
      <c r="E85" s="398">
        <v>20050</v>
      </c>
      <c r="F85" s="398">
        <v>21020</v>
      </c>
      <c r="G85" s="398">
        <v>21710</v>
      </c>
      <c r="H85" s="398">
        <v>22710</v>
      </c>
      <c r="I85" s="398">
        <v>22810</v>
      </c>
      <c r="J85" s="398">
        <v>21960</v>
      </c>
      <c r="K85" s="398">
        <v>21870</v>
      </c>
      <c r="L85" s="398">
        <v>21510</v>
      </c>
      <c r="M85" s="398">
        <v>21570</v>
      </c>
      <c r="N85" s="398">
        <v>21150</v>
      </c>
      <c r="O85" s="398">
        <v>20810</v>
      </c>
      <c r="P85" s="398">
        <v>20680</v>
      </c>
      <c r="Q85" s="398">
        <v>20250</v>
      </c>
      <c r="R85" s="398">
        <v>20950</v>
      </c>
      <c r="S85" s="398">
        <v>20440</v>
      </c>
      <c r="T85" s="398">
        <v>19790</v>
      </c>
      <c r="U85" s="398">
        <v>19680</v>
      </c>
      <c r="V85" s="398">
        <v>20340</v>
      </c>
      <c r="W85" s="398">
        <v>20160</v>
      </c>
      <c r="X85" s="398">
        <v>20690</v>
      </c>
      <c r="Y85" s="398">
        <v>21480</v>
      </c>
      <c r="Z85" s="398">
        <v>22080</v>
      </c>
      <c r="AA85" s="398">
        <v>21550</v>
      </c>
      <c r="AB85" s="398">
        <v>22010</v>
      </c>
      <c r="AC85" s="398">
        <v>21520</v>
      </c>
      <c r="AD85" s="398">
        <v>21000</v>
      </c>
      <c r="AE85" s="398">
        <v>21010</v>
      </c>
      <c r="AF85" s="398">
        <v>21070</v>
      </c>
      <c r="AG85" s="398">
        <v>21160</v>
      </c>
      <c r="AH85" s="398">
        <v>21280</v>
      </c>
      <c r="AI85" s="398">
        <v>21400</v>
      </c>
      <c r="AJ85" s="398">
        <v>21530</v>
      </c>
      <c r="AK85" s="398">
        <v>21660</v>
      </c>
      <c r="AL85" s="398">
        <v>21770</v>
      </c>
      <c r="AM85" s="398">
        <v>21870</v>
      </c>
      <c r="AN85" s="398">
        <v>21940</v>
      </c>
      <c r="AO85" s="398">
        <v>22000</v>
      </c>
      <c r="AP85" s="398">
        <v>22040</v>
      </c>
      <c r="AQ85" s="398">
        <v>22060</v>
      </c>
      <c r="AR85" s="398">
        <v>22060</v>
      </c>
      <c r="AS85" s="398">
        <v>22040</v>
      </c>
      <c r="AT85" s="398">
        <v>22010</v>
      </c>
      <c r="AU85" s="398">
        <v>21960</v>
      </c>
      <c r="AV85" s="398">
        <v>21910</v>
      </c>
      <c r="AW85" s="398">
        <v>21850</v>
      </c>
      <c r="AX85" s="398">
        <v>21800</v>
      </c>
      <c r="AY85" s="398">
        <v>21760</v>
      </c>
      <c r="AZ85" s="398">
        <v>21730</v>
      </c>
      <c r="BA85" s="398">
        <v>21730</v>
      </c>
      <c r="BB85" s="398">
        <v>21750</v>
      </c>
      <c r="BC85" s="398">
        <v>21790</v>
      </c>
      <c r="BD85" s="398">
        <v>21850</v>
      </c>
      <c r="BE85" s="398">
        <v>21910</v>
      </c>
      <c r="BF85" s="398">
        <v>21980</v>
      </c>
    </row>
    <row r="86" spans="1:58" x14ac:dyDescent="0.2">
      <c r="A86" s="397" t="s">
        <v>27</v>
      </c>
      <c r="B86" s="247"/>
      <c r="C86" s="398">
        <v>20360</v>
      </c>
      <c r="D86" s="398">
        <v>20440</v>
      </c>
      <c r="E86" s="398">
        <v>20450</v>
      </c>
      <c r="F86" s="398">
        <v>20290</v>
      </c>
      <c r="G86" s="398">
        <v>21390</v>
      </c>
      <c r="H86" s="398">
        <v>21880</v>
      </c>
      <c r="I86" s="398">
        <v>22820</v>
      </c>
      <c r="J86" s="398">
        <v>22960</v>
      </c>
      <c r="K86" s="398">
        <v>22190</v>
      </c>
      <c r="L86" s="398">
        <v>22160</v>
      </c>
      <c r="M86" s="398">
        <v>21800</v>
      </c>
      <c r="N86" s="398">
        <v>21860</v>
      </c>
      <c r="O86" s="398">
        <v>21440</v>
      </c>
      <c r="P86" s="398">
        <v>21100</v>
      </c>
      <c r="Q86" s="398">
        <v>20970</v>
      </c>
      <c r="R86" s="398">
        <v>20530</v>
      </c>
      <c r="S86" s="398">
        <v>21240</v>
      </c>
      <c r="T86" s="398">
        <v>20720</v>
      </c>
      <c r="U86" s="398">
        <v>20070</v>
      </c>
      <c r="V86" s="398">
        <v>19960</v>
      </c>
      <c r="W86" s="398">
        <v>20630</v>
      </c>
      <c r="X86" s="398">
        <v>20440</v>
      </c>
      <c r="Y86" s="398">
        <v>20980</v>
      </c>
      <c r="Z86" s="398">
        <v>21790</v>
      </c>
      <c r="AA86" s="398">
        <v>22400</v>
      </c>
      <c r="AB86" s="398">
        <v>21860</v>
      </c>
      <c r="AC86" s="398">
        <v>22330</v>
      </c>
      <c r="AD86" s="398">
        <v>21830</v>
      </c>
      <c r="AE86" s="398">
        <v>21310</v>
      </c>
      <c r="AF86" s="398">
        <v>21320</v>
      </c>
      <c r="AG86" s="398">
        <v>21370</v>
      </c>
      <c r="AH86" s="398">
        <v>21470</v>
      </c>
      <c r="AI86" s="398">
        <v>21590</v>
      </c>
      <c r="AJ86" s="398">
        <v>21720</v>
      </c>
      <c r="AK86" s="398">
        <v>21850</v>
      </c>
      <c r="AL86" s="398">
        <v>21970</v>
      </c>
      <c r="AM86" s="398">
        <v>22090</v>
      </c>
      <c r="AN86" s="398">
        <v>22190</v>
      </c>
      <c r="AO86" s="398">
        <v>22270</v>
      </c>
      <c r="AP86" s="398">
        <v>22320</v>
      </c>
      <c r="AQ86" s="398">
        <v>22360</v>
      </c>
      <c r="AR86" s="398">
        <v>22380</v>
      </c>
      <c r="AS86" s="398">
        <v>22380</v>
      </c>
      <c r="AT86" s="398">
        <v>22360</v>
      </c>
      <c r="AU86" s="398">
        <v>22330</v>
      </c>
      <c r="AV86" s="398">
        <v>22280</v>
      </c>
      <c r="AW86" s="398">
        <v>22230</v>
      </c>
      <c r="AX86" s="398">
        <v>22170</v>
      </c>
      <c r="AY86" s="398">
        <v>22120</v>
      </c>
      <c r="AZ86" s="398">
        <v>22080</v>
      </c>
      <c r="BA86" s="398">
        <v>22050</v>
      </c>
      <c r="BB86" s="398">
        <v>22050</v>
      </c>
      <c r="BC86" s="398">
        <v>22070</v>
      </c>
      <c r="BD86" s="398">
        <v>22110</v>
      </c>
      <c r="BE86" s="398">
        <v>22170</v>
      </c>
      <c r="BF86" s="398">
        <v>22230</v>
      </c>
    </row>
    <row r="87" spans="1:58" x14ac:dyDescent="0.2">
      <c r="A87" s="397" t="s">
        <v>28</v>
      </c>
      <c r="B87" s="247"/>
      <c r="C87" s="398">
        <v>20330</v>
      </c>
      <c r="D87" s="398">
        <v>20390</v>
      </c>
      <c r="E87" s="398">
        <v>20510</v>
      </c>
      <c r="F87" s="398">
        <v>20640</v>
      </c>
      <c r="G87" s="398">
        <v>20620</v>
      </c>
      <c r="H87" s="398">
        <v>21550</v>
      </c>
      <c r="I87" s="398">
        <v>21990</v>
      </c>
      <c r="J87" s="398">
        <v>22990</v>
      </c>
      <c r="K87" s="398">
        <v>23240</v>
      </c>
      <c r="L87" s="398">
        <v>22540</v>
      </c>
      <c r="M87" s="398">
        <v>22520</v>
      </c>
      <c r="N87" s="398">
        <v>22160</v>
      </c>
      <c r="O87" s="398">
        <v>22220</v>
      </c>
      <c r="P87" s="398">
        <v>21810</v>
      </c>
      <c r="Q87" s="398">
        <v>21470</v>
      </c>
      <c r="R87" s="398">
        <v>21330</v>
      </c>
      <c r="S87" s="398">
        <v>20900</v>
      </c>
      <c r="T87" s="398">
        <v>21620</v>
      </c>
      <c r="U87" s="398">
        <v>21100</v>
      </c>
      <c r="V87" s="398">
        <v>20440</v>
      </c>
      <c r="W87" s="398">
        <v>20330</v>
      </c>
      <c r="X87" s="398">
        <v>21010</v>
      </c>
      <c r="Y87" s="398">
        <v>20830</v>
      </c>
      <c r="Z87" s="398">
        <v>21380</v>
      </c>
      <c r="AA87" s="398">
        <v>22200</v>
      </c>
      <c r="AB87" s="398">
        <v>22820</v>
      </c>
      <c r="AC87" s="398">
        <v>22280</v>
      </c>
      <c r="AD87" s="398">
        <v>22750</v>
      </c>
      <c r="AE87" s="398">
        <v>22250</v>
      </c>
      <c r="AF87" s="398">
        <v>21720</v>
      </c>
      <c r="AG87" s="398">
        <v>21730</v>
      </c>
      <c r="AH87" s="398">
        <v>21780</v>
      </c>
      <c r="AI87" s="398">
        <v>21880</v>
      </c>
      <c r="AJ87" s="398">
        <v>22000</v>
      </c>
      <c r="AK87" s="398">
        <v>22130</v>
      </c>
      <c r="AL87" s="398">
        <v>22260</v>
      </c>
      <c r="AM87" s="398">
        <v>22390</v>
      </c>
      <c r="AN87" s="398">
        <v>22510</v>
      </c>
      <c r="AO87" s="398">
        <v>22610</v>
      </c>
      <c r="AP87" s="398">
        <v>22690</v>
      </c>
      <c r="AQ87" s="398">
        <v>22750</v>
      </c>
      <c r="AR87" s="398">
        <v>22790</v>
      </c>
      <c r="AS87" s="398">
        <v>22810</v>
      </c>
      <c r="AT87" s="398">
        <v>22810</v>
      </c>
      <c r="AU87" s="398">
        <v>22790</v>
      </c>
      <c r="AV87" s="398">
        <v>22760</v>
      </c>
      <c r="AW87" s="398">
        <v>22710</v>
      </c>
      <c r="AX87" s="398">
        <v>22650</v>
      </c>
      <c r="AY87" s="398">
        <v>22600</v>
      </c>
      <c r="AZ87" s="398">
        <v>22540</v>
      </c>
      <c r="BA87" s="398">
        <v>22500</v>
      </c>
      <c r="BB87" s="398">
        <v>22470</v>
      </c>
      <c r="BC87" s="398">
        <v>22470</v>
      </c>
      <c r="BD87" s="398">
        <v>22490</v>
      </c>
      <c r="BE87" s="398">
        <v>22530</v>
      </c>
      <c r="BF87" s="398">
        <v>22590</v>
      </c>
    </row>
    <row r="88" spans="1:58" x14ac:dyDescent="0.2">
      <c r="A88" s="397" t="s">
        <v>29</v>
      </c>
      <c r="B88" s="247"/>
      <c r="C88" s="398">
        <v>19790</v>
      </c>
      <c r="D88" s="398">
        <v>20410</v>
      </c>
      <c r="E88" s="398">
        <v>20480</v>
      </c>
      <c r="F88" s="398">
        <v>20760</v>
      </c>
      <c r="G88" s="398">
        <v>20980</v>
      </c>
      <c r="H88" s="398">
        <v>20850</v>
      </c>
      <c r="I88" s="398">
        <v>21710</v>
      </c>
      <c r="J88" s="398">
        <v>22210</v>
      </c>
      <c r="K88" s="398">
        <v>23330</v>
      </c>
      <c r="L88" s="398">
        <v>23670</v>
      </c>
      <c r="M88" s="398">
        <v>22970</v>
      </c>
      <c r="N88" s="398">
        <v>22950</v>
      </c>
      <c r="O88" s="398">
        <v>22600</v>
      </c>
      <c r="P88" s="398">
        <v>22670</v>
      </c>
      <c r="Q88" s="398">
        <v>22250</v>
      </c>
      <c r="R88" s="398">
        <v>21910</v>
      </c>
      <c r="S88" s="398">
        <v>21790</v>
      </c>
      <c r="T88" s="398">
        <v>21350</v>
      </c>
      <c r="U88" s="398">
        <v>22080</v>
      </c>
      <c r="V88" s="398">
        <v>21560</v>
      </c>
      <c r="W88" s="398">
        <v>20890</v>
      </c>
      <c r="X88" s="398">
        <v>20790</v>
      </c>
      <c r="Y88" s="398">
        <v>21480</v>
      </c>
      <c r="Z88" s="398">
        <v>21300</v>
      </c>
      <c r="AA88" s="398">
        <v>21860</v>
      </c>
      <c r="AB88" s="398">
        <v>22690</v>
      </c>
      <c r="AC88" s="398">
        <v>23330</v>
      </c>
      <c r="AD88" s="398">
        <v>22780</v>
      </c>
      <c r="AE88" s="398">
        <v>23260</v>
      </c>
      <c r="AF88" s="398">
        <v>22750</v>
      </c>
      <c r="AG88" s="398">
        <v>22210</v>
      </c>
      <c r="AH88" s="398">
        <v>22220</v>
      </c>
      <c r="AI88" s="398">
        <v>22270</v>
      </c>
      <c r="AJ88" s="398">
        <v>22370</v>
      </c>
      <c r="AK88" s="398">
        <v>22500</v>
      </c>
      <c r="AL88" s="398">
        <v>22630</v>
      </c>
      <c r="AM88" s="398">
        <v>22760</v>
      </c>
      <c r="AN88" s="398">
        <v>22900</v>
      </c>
      <c r="AO88" s="398">
        <v>23010</v>
      </c>
      <c r="AP88" s="398">
        <v>23120</v>
      </c>
      <c r="AQ88" s="398">
        <v>23200</v>
      </c>
      <c r="AR88" s="398">
        <v>23260</v>
      </c>
      <c r="AS88" s="398">
        <v>23300</v>
      </c>
      <c r="AT88" s="398">
        <v>23320</v>
      </c>
      <c r="AU88" s="398">
        <v>23320</v>
      </c>
      <c r="AV88" s="398">
        <v>23300</v>
      </c>
      <c r="AW88" s="398">
        <v>23270</v>
      </c>
      <c r="AX88" s="398">
        <v>23220</v>
      </c>
      <c r="AY88" s="398">
        <v>23160</v>
      </c>
      <c r="AZ88" s="398">
        <v>23100</v>
      </c>
      <c r="BA88" s="398">
        <v>23050</v>
      </c>
      <c r="BB88" s="398">
        <v>23000</v>
      </c>
      <c r="BC88" s="398">
        <v>22980</v>
      </c>
      <c r="BD88" s="398">
        <v>22970</v>
      </c>
      <c r="BE88" s="398">
        <v>23000</v>
      </c>
      <c r="BF88" s="398">
        <v>23040</v>
      </c>
    </row>
    <row r="89" spans="1:58" x14ac:dyDescent="0.2">
      <c r="A89" s="399" t="s">
        <v>30</v>
      </c>
      <c r="B89" s="247"/>
      <c r="C89" s="398">
        <v>19440</v>
      </c>
      <c r="D89" s="398">
        <v>20010</v>
      </c>
      <c r="E89" s="398">
        <v>20570</v>
      </c>
      <c r="F89" s="398">
        <v>20850</v>
      </c>
      <c r="G89" s="398">
        <v>21180</v>
      </c>
      <c r="H89" s="398">
        <v>21320</v>
      </c>
      <c r="I89" s="398">
        <v>21150</v>
      </c>
      <c r="J89" s="398">
        <v>22080</v>
      </c>
      <c r="K89" s="398">
        <v>22700</v>
      </c>
      <c r="L89" s="398">
        <v>23930</v>
      </c>
      <c r="M89" s="398">
        <v>24280</v>
      </c>
      <c r="N89" s="398">
        <v>23580</v>
      </c>
      <c r="O89" s="398">
        <v>23570</v>
      </c>
      <c r="P89" s="398">
        <v>23210</v>
      </c>
      <c r="Q89" s="398">
        <v>23300</v>
      </c>
      <c r="R89" s="398">
        <v>22880</v>
      </c>
      <c r="S89" s="398">
        <v>22540</v>
      </c>
      <c r="T89" s="398">
        <v>22420</v>
      </c>
      <c r="U89" s="398">
        <v>21980</v>
      </c>
      <c r="V89" s="398">
        <v>22730</v>
      </c>
      <c r="W89" s="398">
        <v>22200</v>
      </c>
      <c r="X89" s="398">
        <v>21520</v>
      </c>
      <c r="Y89" s="398">
        <v>21420</v>
      </c>
      <c r="Z89" s="398">
        <v>22130</v>
      </c>
      <c r="AA89" s="398">
        <v>21950</v>
      </c>
      <c r="AB89" s="398">
        <v>22520</v>
      </c>
      <c r="AC89" s="398">
        <v>23370</v>
      </c>
      <c r="AD89" s="398">
        <v>24010</v>
      </c>
      <c r="AE89" s="398">
        <v>23460</v>
      </c>
      <c r="AF89" s="398">
        <v>23950</v>
      </c>
      <c r="AG89" s="398">
        <v>23420</v>
      </c>
      <c r="AH89" s="398">
        <v>22880</v>
      </c>
      <c r="AI89" s="398">
        <v>22890</v>
      </c>
      <c r="AJ89" s="398">
        <v>22940</v>
      </c>
      <c r="AK89" s="398">
        <v>23040</v>
      </c>
      <c r="AL89" s="398">
        <v>23170</v>
      </c>
      <c r="AM89" s="398">
        <v>23310</v>
      </c>
      <c r="AN89" s="398">
        <v>23440</v>
      </c>
      <c r="AO89" s="398">
        <v>23580</v>
      </c>
      <c r="AP89" s="398">
        <v>23700</v>
      </c>
      <c r="AQ89" s="398">
        <v>23800</v>
      </c>
      <c r="AR89" s="398">
        <v>23890</v>
      </c>
      <c r="AS89" s="398">
        <v>23950</v>
      </c>
      <c r="AT89" s="398">
        <v>23990</v>
      </c>
      <c r="AU89" s="398">
        <v>24010</v>
      </c>
      <c r="AV89" s="398">
        <v>24010</v>
      </c>
      <c r="AW89" s="398">
        <v>23990</v>
      </c>
      <c r="AX89" s="398">
        <v>23950</v>
      </c>
      <c r="AY89" s="398">
        <v>23910</v>
      </c>
      <c r="AZ89" s="398">
        <v>23850</v>
      </c>
      <c r="BA89" s="398">
        <v>23790</v>
      </c>
      <c r="BB89" s="398">
        <v>23730</v>
      </c>
      <c r="BC89" s="398">
        <v>23690</v>
      </c>
      <c r="BD89" s="398">
        <v>23660</v>
      </c>
      <c r="BE89" s="398">
        <v>23660</v>
      </c>
      <c r="BF89" s="398">
        <v>23680</v>
      </c>
    </row>
    <row r="90" spans="1:58" x14ac:dyDescent="0.2">
      <c r="A90" s="399" t="s">
        <v>31</v>
      </c>
      <c r="B90" s="247"/>
      <c r="C90" s="398">
        <v>19370</v>
      </c>
      <c r="D90" s="398">
        <v>19770</v>
      </c>
      <c r="E90" s="398">
        <v>20240</v>
      </c>
      <c r="F90" s="398">
        <v>20980</v>
      </c>
      <c r="G90" s="398">
        <v>21380</v>
      </c>
      <c r="H90" s="398">
        <v>21490</v>
      </c>
      <c r="I90" s="398">
        <v>21720</v>
      </c>
      <c r="J90" s="398">
        <v>21600</v>
      </c>
      <c r="K90" s="398">
        <v>22650</v>
      </c>
      <c r="L90" s="398">
        <v>23350</v>
      </c>
      <c r="M90" s="398">
        <v>24600</v>
      </c>
      <c r="N90" s="398">
        <v>24970</v>
      </c>
      <c r="O90" s="398">
        <v>24260</v>
      </c>
      <c r="P90" s="398">
        <v>24250</v>
      </c>
      <c r="Q90" s="398">
        <v>23900</v>
      </c>
      <c r="R90" s="398">
        <v>23990</v>
      </c>
      <c r="S90" s="398">
        <v>23570</v>
      </c>
      <c r="T90" s="398">
        <v>23220</v>
      </c>
      <c r="U90" s="398">
        <v>23100</v>
      </c>
      <c r="V90" s="398">
        <v>22660</v>
      </c>
      <c r="W90" s="398">
        <v>23420</v>
      </c>
      <c r="X90" s="398">
        <v>22890</v>
      </c>
      <c r="Y90" s="398">
        <v>22200</v>
      </c>
      <c r="Z90" s="398">
        <v>22100</v>
      </c>
      <c r="AA90" s="398">
        <v>22820</v>
      </c>
      <c r="AB90" s="398">
        <v>22630</v>
      </c>
      <c r="AC90" s="398">
        <v>23210</v>
      </c>
      <c r="AD90" s="398">
        <v>24070</v>
      </c>
      <c r="AE90" s="398">
        <v>24730</v>
      </c>
      <c r="AF90" s="398">
        <v>24160</v>
      </c>
      <c r="AG90" s="398">
        <v>24660</v>
      </c>
      <c r="AH90" s="398">
        <v>24130</v>
      </c>
      <c r="AI90" s="398">
        <v>23570</v>
      </c>
      <c r="AJ90" s="398">
        <v>23580</v>
      </c>
      <c r="AK90" s="398">
        <v>23640</v>
      </c>
      <c r="AL90" s="398">
        <v>23740</v>
      </c>
      <c r="AM90" s="398">
        <v>23870</v>
      </c>
      <c r="AN90" s="398">
        <v>24010</v>
      </c>
      <c r="AO90" s="398">
        <v>24150</v>
      </c>
      <c r="AP90" s="398">
        <v>24280</v>
      </c>
      <c r="AQ90" s="398">
        <v>24410</v>
      </c>
      <c r="AR90" s="398">
        <v>24510</v>
      </c>
      <c r="AS90" s="398">
        <v>24600</v>
      </c>
      <c r="AT90" s="398">
        <v>24660</v>
      </c>
      <c r="AU90" s="398">
        <v>24700</v>
      </c>
      <c r="AV90" s="398">
        <v>24720</v>
      </c>
      <c r="AW90" s="398">
        <v>24720</v>
      </c>
      <c r="AX90" s="398">
        <v>24700</v>
      </c>
      <c r="AY90" s="398">
        <v>24670</v>
      </c>
      <c r="AZ90" s="398">
        <v>24620</v>
      </c>
      <c r="BA90" s="398">
        <v>24560</v>
      </c>
      <c r="BB90" s="398">
        <v>24500</v>
      </c>
      <c r="BC90" s="398">
        <v>24440</v>
      </c>
      <c r="BD90" s="398">
        <v>24400</v>
      </c>
      <c r="BE90" s="398">
        <v>24370</v>
      </c>
      <c r="BF90" s="398">
        <v>24370</v>
      </c>
    </row>
    <row r="91" spans="1:58" x14ac:dyDescent="0.2">
      <c r="A91" s="399" t="s">
        <v>32</v>
      </c>
      <c r="B91" s="247"/>
      <c r="C91" s="398">
        <v>19510</v>
      </c>
      <c r="D91" s="398">
        <v>19750</v>
      </c>
      <c r="E91" s="398">
        <v>20120</v>
      </c>
      <c r="F91" s="398">
        <v>20730</v>
      </c>
      <c r="G91" s="398">
        <v>21470</v>
      </c>
      <c r="H91" s="398">
        <v>21670</v>
      </c>
      <c r="I91" s="398">
        <v>21850</v>
      </c>
      <c r="J91" s="398">
        <v>22130</v>
      </c>
      <c r="K91" s="398">
        <v>22100</v>
      </c>
      <c r="L91" s="398">
        <v>23220</v>
      </c>
      <c r="M91" s="398">
        <v>23930</v>
      </c>
      <c r="N91" s="398">
        <v>25180</v>
      </c>
      <c r="O91" s="398">
        <v>25540</v>
      </c>
      <c r="P91" s="398">
        <v>24830</v>
      </c>
      <c r="Q91" s="398">
        <v>24820</v>
      </c>
      <c r="R91" s="398">
        <v>24460</v>
      </c>
      <c r="S91" s="398">
        <v>24540</v>
      </c>
      <c r="T91" s="398">
        <v>24110</v>
      </c>
      <c r="U91" s="398">
        <v>23770</v>
      </c>
      <c r="V91" s="398">
        <v>23640</v>
      </c>
      <c r="W91" s="398">
        <v>23190</v>
      </c>
      <c r="X91" s="398">
        <v>23960</v>
      </c>
      <c r="Y91" s="398">
        <v>23420</v>
      </c>
      <c r="Z91" s="398">
        <v>22730</v>
      </c>
      <c r="AA91" s="398">
        <v>22620</v>
      </c>
      <c r="AB91" s="398">
        <v>23340</v>
      </c>
      <c r="AC91" s="398">
        <v>23150</v>
      </c>
      <c r="AD91" s="398">
        <v>23740</v>
      </c>
      <c r="AE91" s="398">
        <v>24600</v>
      </c>
      <c r="AF91" s="398">
        <v>25250</v>
      </c>
      <c r="AG91" s="398">
        <v>24680</v>
      </c>
      <c r="AH91" s="398">
        <v>25180</v>
      </c>
      <c r="AI91" s="398">
        <v>24650</v>
      </c>
      <c r="AJ91" s="398">
        <v>24090</v>
      </c>
      <c r="AK91" s="398">
        <v>24100</v>
      </c>
      <c r="AL91" s="398">
        <v>24160</v>
      </c>
      <c r="AM91" s="398">
        <v>24260</v>
      </c>
      <c r="AN91" s="398">
        <v>24390</v>
      </c>
      <c r="AO91" s="398">
        <v>24530</v>
      </c>
      <c r="AP91" s="398">
        <v>24670</v>
      </c>
      <c r="AQ91" s="398">
        <v>24800</v>
      </c>
      <c r="AR91" s="398">
        <v>24930</v>
      </c>
      <c r="AS91" s="398">
        <v>25030</v>
      </c>
      <c r="AT91" s="398">
        <v>25120</v>
      </c>
      <c r="AU91" s="398">
        <v>25180</v>
      </c>
      <c r="AV91" s="398">
        <v>25220</v>
      </c>
      <c r="AW91" s="398">
        <v>25240</v>
      </c>
      <c r="AX91" s="398">
        <v>25240</v>
      </c>
      <c r="AY91" s="398">
        <v>25230</v>
      </c>
      <c r="AZ91" s="398">
        <v>25190</v>
      </c>
      <c r="BA91" s="398">
        <v>25140</v>
      </c>
      <c r="BB91" s="398">
        <v>25080</v>
      </c>
      <c r="BC91" s="398">
        <v>25020</v>
      </c>
      <c r="BD91" s="398">
        <v>24960</v>
      </c>
      <c r="BE91" s="398">
        <v>24920</v>
      </c>
      <c r="BF91" s="398">
        <v>24890</v>
      </c>
    </row>
    <row r="92" spans="1:58" x14ac:dyDescent="0.2">
      <c r="A92" s="399" t="s">
        <v>33</v>
      </c>
      <c r="B92" s="247"/>
      <c r="C92" s="398">
        <v>19080</v>
      </c>
      <c r="D92" s="398">
        <v>19930</v>
      </c>
      <c r="E92" s="398">
        <v>20130</v>
      </c>
      <c r="F92" s="398">
        <v>20590</v>
      </c>
      <c r="G92" s="398">
        <v>21200</v>
      </c>
      <c r="H92" s="398">
        <v>21870</v>
      </c>
      <c r="I92" s="398">
        <v>22020</v>
      </c>
      <c r="J92" s="398">
        <v>22250</v>
      </c>
      <c r="K92" s="398">
        <v>22610</v>
      </c>
      <c r="L92" s="398">
        <v>22650</v>
      </c>
      <c r="M92" s="398">
        <v>23770</v>
      </c>
      <c r="N92" s="398">
        <v>24480</v>
      </c>
      <c r="O92" s="398">
        <v>25740</v>
      </c>
      <c r="P92" s="398">
        <v>26100</v>
      </c>
      <c r="Q92" s="398">
        <v>25380</v>
      </c>
      <c r="R92" s="398">
        <v>25370</v>
      </c>
      <c r="S92" s="398">
        <v>25000</v>
      </c>
      <c r="T92" s="398">
        <v>25090</v>
      </c>
      <c r="U92" s="398">
        <v>24660</v>
      </c>
      <c r="V92" s="398">
        <v>24310</v>
      </c>
      <c r="W92" s="398">
        <v>24180</v>
      </c>
      <c r="X92" s="398">
        <v>23720</v>
      </c>
      <c r="Y92" s="398">
        <v>24490</v>
      </c>
      <c r="Z92" s="398">
        <v>23950</v>
      </c>
      <c r="AA92" s="398">
        <v>23250</v>
      </c>
      <c r="AB92" s="398">
        <v>23150</v>
      </c>
      <c r="AC92" s="398">
        <v>23870</v>
      </c>
      <c r="AD92" s="398">
        <v>23680</v>
      </c>
      <c r="AE92" s="398">
        <v>24260</v>
      </c>
      <c r="AF92" s="398">
        <v>25120</v>
      </c>
      <c r="AG92" s="398">
        <v>25780</v>
      </c>
      <c r="AH92" s="398">
        <v>25210</v>
      </c>
      <c r="AI92" s="398">
        <v>25710</v>
      </c>
      <c r="AJ92" s="398">
        <v>25170</v>
      </c>
      <c r="AK92" s="398">
        <v>24610</v>
      </c>
      <c r="AL92" s="398">
        <v>24620</v>
      </c>
      <c r="AM92" s="398">
        <v>24680</v>
      </c>
      <c r="AN92" s="398">
        <v>24780</v>
      </c>
      <c r="AO92" s="398">
        <v>24910</v>
      </c>
      <c r="AP92" s="398">
        <v>25050</v>
      </c>
      <c r="AQ92" s="398">
        <v>25190</v>
      </c>
      <c r="AR92" s="398">
        <v>25330</v>
      </c>
      <c r="AS92" s="398">
        <v>25460</v>
      </c>
      <c r="AT92" s="398">
        <v>25560</v>
      </c>
      <c r="AU92" s="398">
        <v>25650</v>
      </c>
      <c r="AV92" s="398">
        <v>25710</v>
      </c>
      <c r="AW92" s="398">
        <v>25750</v>
      </c>
      <c r="AX92" s="398">
        <v>25770</v>
      </c>
      <c r="AY92" s="398">
        <v>25770</v>
      </c>
      <c r="AZ92" s="398">
        <v>25760</v>
      </c>
      <c r="BA92" s="398">
        <v>25720</v>
      </c>
      <c r="BB92" s="398">
        <v>25670</v>
      </c>
      <c r="BC92" s="398">
        <v>25610</v>
      </c>
      <c r="BD92" s="398">
        <v>25550</v>
      </c>
      <c r="BE92" s="398">
        <v>25490</v>
      </c>
      <c r="BF92" s="398">
        <v>25450</v>
      </c>
    </row>
    <row r="93" spans="1:58" x14ac:dyDescent="0.2">
      <c r="A93" s="399" t="s">
        <v>34</v>
      </c>
      <c r="B93" s="247"/>
      <c r="C93" s="398">
        <v>19630</v>
      </c>
      <c r="D93" s="398">
        <v>19430</v>
      </c>
      <c r="E93" s="398">
        <v>20220</v>
      </c>
      <c r="F93" s="398">
        <v>20490</v>
      </c>
      <c r="G93" s="398">
        <v>20930</v>
      </c>
      <c r="H93" s="398">
        <v>21470</v>
      </c>
      <c r="I93" s="398">
        <v>22080</v>
      </c>
      <c r="J93" s="398">
        <v>22260</v>
      </c>
      <c r="K93" s="398">
        <v>22560</v>
      </c>
      <c r="L93" s="398">
        <v>22980</v>
      </c>
      <c r="M93" s="398">
        <v>23000</v>
      </c>
      <c r="N93" s="398">
        <v>24120</v>
      </c>
      <c r="O93" s="398">
        <v>24820</v>
      </c>
      <c r="P93" s="398">
        <v>26070</v>
      </c>
      <c r="Q93" s="398">
        <v>26430</v>
      </c>
      <c r="R93" s="398">
        <v>25700</v>
      </c>
      <c r="S93" s="398">
        <v>25690</v>
      </c>
      <c r="T93" s="398">
        <v>25320</v>
      </c>
      <c r="U93" s="398">
        <v>25390</v>
      </c>
      <c r="V93" s="398">
        <v>24960</v>
      </c>
      <c r="W93" s="398">
        <v>24610</v>
      </c>
      <c r="X93" s="398">
        <v>24480</v>
      </c>
      <c r="Y93" s="398">
        <v>24020</v>
      </c>
      <c r="Z93" s="398">
        <v>24790</v>
      </c>
      <c r="AA93" s="398">
        <v>24240</v>
      </c>
      <c r="AB93" s="398">
        <v>23550</v>
      </c>
      <c r="AC93" s="398">
        <v>23440</v>
      </c>
      <c r="AD93" s="398">
        <v>24160</v>
      </c>
      <c r="AE93" s="398">
        <v>23960</v>
      </c>
      <c r="AF93" s="398">
        <v>24540</v>
      </c>
      <c r="AG93" s="398">
        <v>25400</v>
      </c>
      <c r="AH93" s="398">
        <v>26050</v>
      </c>
      <c r="AI93" s="398">
        <v>25480</v>
      </c>
      <c r="AJ93" s="398">
        <v>25980</v>
      </c>
      <c r="AK93" s="398">
        <v>25450</v>
      </c>
      <c r="AL93" s="398">
        <v>24890</v>
      </c>
      <c r="AM93" s="398">
        <v>24900</v>
      </c>
      <c r="AN93" s="398">
        <v>24960</v>
      </c>
      <c r="AO93" s="398">
        <v>25060</v>
      </c>
      <c r="AP93" s="398">
        <v>25190</v>
      </c>
      <c r="AQ93" s="398">
        <v>25330</v>
      </c>
      <c r="AR93" s="398">
        <v>25470</v>
      </c>
      <c r="AS93" s="398">
        <v>25600</v>
      </c>
      <c r="AT93" s="398">
        <v>25730</v>
      </c>
      <c r="AU93" s="398">
        <v>25830</v>
      </c>
      <c r="AV93" s="398">
        <v>25920</v>
      </c>
      <c r="AW93" s="398">
        <v>25980</v>
      </c>
      <c r="AX93" s="398">
        <v>26020</v>
      </c>
      <c r="AY93" s="398">
        <v>26040</v>
      </c>
      <c r="AZ93" s="398">
        <v>26050</v>
      </c>
      <c r="BA93" s="398">
        <v>26030</v>
      </c>
      <c r="BB93" s="398">
        <v>25990</v>
      </c>
      <c r="BC93" s="398">
        <v>25940</v>
      </c>
      <c r="BD93" s="398">
        <v>25880</v>
      </c>
      <c r="BE93" s="398">
        <v>25820</v>
      </c>
      <c r="BF93" s="398">
        <v>25770</v>
      </c>
    </row>
    <row r="94" spans="1:58" x14ac:dyDescent="0.2">
      <c r="A94" s="399" t="s">
        <v>35</v>
      </c>
      <c r="B94" s="247"/>
      <c r="C94" s="398">
        <v>19760</v>
      </c>
      <c r="D94" s="398">
        <v>19920</v>
      </c>
      <c r="E94" s="398">
        <v>19690</v>
      </c>
      <c r="F94" s="398">
        <v>20540</v>
      </c>
      <c r="G94" s="398">
        <v>20830</v>
      </c>
      <c r="H94" s="398">
        <v>21140</v>
      </c>
      <c r="I94" s="398">
        <v>21660</v>
      </c>
      <c r="J94" s="398">
        <v>22290</v>
      </c>
      <c r="K94" s="398">
        <v>22550</v>
      </c>
      <c r="L94" s="398">
        <v>22890</v>
      </c>
      <c r="M94" s="398">
        <v>23300</v>
      </c>
      <c r="N94" s="398">
        <v>23330</v>
      </c>
      <c r="O94" s="398">
        <v>24440</v>
      </c>
      <c r="P94" s="398">
        <v>25140</v>
      </c>
      <c r="Q94" s="398">
        <v>26380</v>
      </c>
      <c r="R94" s="398">
        <v>26730</v>
      </c>
      <c r="S94" s="398">
        <v>26010</v>
      </c>
      <c r="T94" s="398">
        <v>25990</v>
      </c>
      <c r="U94" s="398">
        <v>25620</v>
      </c>
      <c r="V94" s="398">
        <v>25700</v>
      </c>
      <c r="W94" s="398">
        <v>25270</v>
      </c>
      <c r="X94" s="398">
        <v>24910</v>
      </c>
      <c r="Y94" s="398">
        <v>24780</v>
      </c>
      <c r="Z94" s="398">
        <v>24330</v>
      </c>
      <c r="AA94" s="398">
        <v>25080</v>
      </c>
      <c r="AB94" s="398">
        <v>24540</v>
      </c>
      <c r="AC94" s="398">
        <v>23850</v>
      </c>
      <c r="AD94" s="398">
        <v>23740</v>
      </c>
      <c r="AE94" s="398">
        <v>24450</v>
      </c>
      <c r="AF94" s="398">
        <v>24260</v>
      </c>
      <c r="AG94" s="398">
        <v>24830</v>
      </c>
      <c r="AH94" s="398">
        <v>25690</v>
      </c>
      <c r="AI94" s="398">
        <v>26340</v>
      </c>
      <c r="AJ94" s="398">
        <v>25770</v>
      </c>
      <c r="AK94" s="398">
        <v>26260</v>
      </c>
      <c r="AL94" s="398">
        <v>25730</v>
      </c>
      <c r="AM94" s="398">
        <v>25180</v>
      </c>
      <c r="AN94" s="398">
        <v>25190</v>
      </c>
      <c r="AO94" s="398">
        <v>25250</v>
      </c>
      <c r="AP94" s="398">
        <v>25350</v>
      </c>
      <c r="AQ94" s="398">
        <v>25480</v>
      </c>
      <c r="AR94" s="398">
        <v>25620</v>
      </c>
      <c r="AS94" s="398">
        <v>25760</v>
      </c>
      <c r="AT94" s="398">
        <v>25890</v>
      </c>
      <c r="AU94" s="398">
        <v>26020</v>
      </c>
      <c r="AV94" s="398">
        <v>26120</v>
      </c>
      <c r="AW94" s="398">
        <v>26210</v>
      </c>
      <c r="AX94" s="398">
        <v>26270</v>
      </c>
      <c r="AY94" s="398">
        <v>26310</v>
      </c>
      <c r="AZ94" s="398">
        <v>26330</v>
      </c>
      <c r="BA94" s="398">
        <v>26330</v>
      </c>
      <c r="BB94" s="398">
        <v>26310</v>
      </c>
      <c r="BC94" s="398">
        <v>26280</v>
      </c>
      <c r="BD94" s="398">
        <v>26230</v>
      </c>
      <c r="BE94" s="398">
        <v>26170</v>
      </c>
      <c r="BF94" s="398">
        <v>26110</v>
      </c>
    </row>
    <row r="95" spans="1:58" x14ac:dyDescent="0.2">
      <c r="A95" s="399" t="s">
        <v>36</v>
      </c>
      <c r="B95" s="247"/>
      <c r="C95" s="398">
        <v>20840</v>
      </c>
      <c r="D95" s="398">
        <v>20010</v>
      </c>
      <c r="E95" s="398">
        <v>20070</v>
      </c>
      <c r="F95" s="398">
        <v>19930</v>
      </c>
      <c r="G95" s="398">
        <v>20740</v>
      </c>
      <c r="H95" s="398">
        <v>20950</v>
      </c>
      <c r="I95" s="398">
        <v>21260</v>
      </c>
      <c r="J95" s="398">
        <v>21810</v>
      </c>
      <c r="K95" s="398">
        <v>22500</v>
      </c>
      <c r="L95" s="398">
        <v>22790</v>
      </c>
      <c r="M95" s="398">
        <v>23130</v>
      </c>
      <c r="N95" s="398">
        <v>23540</v>
      </c>
      <c r="O95" s="398">
        <v>23570</v>
      </c>
      <c r="P95" s="398">
        <v>24670</v>
      </c>
      <c r="Q95" s="398">
        <v>25370</v>
      </c>
      <c r="R95" s="398">
        <v>26610</v>
      </c>
      <c r="S95" s="398">
        <v>26960</v>
      </c>
      <c r="T95" s="398">
        <v>26230</v>
      </c>
      <c r="U95" s="398">
        <v>26220</v>
      </c>
      <c r="V95" s="398">
        <v>25850</v>
      </c>
      <c r="W95" s="398">
        <v>25920</v>
      </c>
      <c r="X95" s="398">
        <v>25490</v>
      </c>
      <c r="Y95" s="398">
        <v>25140</v>
      </c>
      <c r="Z95" s="398">
        <v>25010</v>
      </c>
      <c r="AA95" s="398">
        <v>24550</v>
      </c>
      <c r="AB95" s="398">
        <v>25310</v>
      </c>
      <c r="AC95" s="398">
        <v>24770</v>
      </c>
      <c r="AD95" s="398">
        <v>24080</v>
      </c>
      <c r="AE95" s="398">
        <v>23970</v>
      </c>
      <c r="AF95" s="398">
        <v>24670</v>
      </c>
      <c r="AG95" s="398">
        <v>24480</v>
      </c>
      <c r="AH95" s="398">
        <v>25050</v>
      </c>
      <c r="AI95" s="398">
        <v>25900</v>
      </c>
      <c r="AJ95" s="398">
        <v>26550</v>
      </c>
      <c r="AK95" s="398">
        <v>25990</v>
      </c>
      <c r="AL95" s="398">
        <v>26480</v>
      </c>
      <c r="AM95" s="398">
        <v>25950</v>
      </c>
      <c r="AN95" s="398">
        <v>25400</v>
      </c>
      <c r="AO95" s="398">
        <v>25410</v>
      </c>
      <c r="AP95" s="398">
        <v>25470</v>
      </c>
      <c r="AQ95" s="398">
        <v>25570</v>
      </c>
      <c r="AR95" s="398">
        <v>25700</v>
      </c>
      <c r="AS95" s="398">
        <v>25840</v>
      </c>
      <c r="AT95" s="398">
        <v>25980</v>
      </c>
      <c r="AU95" s="398">
        <v>26110</v>
      </c>
      <c r="AV95" s="398">
        <v>26230</v>
      </c>
      <c r="AW95" s="398">
        <v>26340</v>
      </c>
      <c r="AX95" s="398">
        <v>26420</v>
      </c>
      <c r="AY95" s="398">
        <v>26490</v>
      </c>
      <c r="AZ95" s="398">
        <v>26530</v>
      </c>
      <c r="BA95" s="398">
        <v>26550</v>
      </c>
      <c r="BB95" s="398">
        <v>26550</v>
      </c>
      <c r="BC95" s="398">
        <v>26530</v>
      </c>
      <c r="BD95" s="398">
        <v>26500</v>
      </c>
      <c r="BE95" s="398">
        <v>26450</v>
      </c>
      <c r="BF95" s="398">
        <v>26390</v>
      </c>
    </row>
    <row r="96" spans="1:58" x14ac:dyDescent="0.2">
      <c r="A96" s="399" t="s">
        <v>37</v>
      </c>
      <c r="B96" s="247"/>
      <c r="C96" s="398">
        <v>21690</v>
      </c>
      <c r="D96" s="398">
        <v>20960</v>
      </c>
      <c r="E96" s="398">
        <v>20060</v>
      </c>
      <c r="F96" s="398">
        <v>20160</v>
      </c>
      <c r="G96" s="398">
        <v>19990</v>
      </c>
      <c r="H96" s="398">
        <v>20740</v>
      </c>
      <c r="I96" s="398">
        <v>20950</v>
      </c>
      <c r="J96" s="398">
        <v>21280</v>
      </c>
      <c r="K96" s="398">
        <v>21880</v>
      </c>
      <c r="L96" s="398">
        <v>22600</v>
      </c>
      <c r="M96" s="398">
        <v>22890</v>
      </c>
      <c r="N96" s="398">
        <v>23230</v>
      </c>
      <c r="O96" s="398">
        <v>23640</v>
      </c>
      <c r="P96" s="398">
        <v>23660</v>
      </c>
      <c r="Q96" s="398">
        <v>24760</v>
      </c>
      <c r="R96" s="398">
        <v>25460</v>
      </c>
      <c r="S96" s="398">
        <v>26690</v>
      </c>
      <c r="T96" s="398">
        <v>27040</v>
      </c>
      <c r="U96" s="398">
        <v>26320</v>
      </c>
      <c r="V96" s="398">
        <v>26300</v>
      </c>
      <c r="W96" s="398">
        <v>25930</v>
      </c>
      <c r="X96" s="398">
        <v>26000</v>
      </c>
      <c r="Y96" s="398">
        <v>25570</v>
      </c>
      <c r="Z96" s="398">
        <v>25220</v>
      </c>
      <c r="AA96" s="398">
        <v>25090</v>
      </c>
      <c r="AB96" s="398">
        <v>24640</v>
      </c>
      <c r="AC96" s="398">
        <v>25390</v>
      </c>
      <c r="AD96" s="398">
        <v>24840</v>
      </c>
      <c r="AE96" s="398">
        <v>24160</v>
      </c>
      <c r="AF96" s="398">
        <v>24050</v>
      </c>
      <c r="AG96" s="398">
        <v>24750</v>
      </c>
      <c r="AH96" s="398">
        <v>24560</v>
      </c>
      <c r="AI96" s="398">
        <v>25130</v>
      </c>
      <c r="AJ96" s="398">
        <v>25970</v>
      </c>
      <c r="AK96" s="398">
        <v>26620</v>
      </c>
      <c r="AL96" s="398">
        <v>26060</v>
      </c>
      <c r="AM96" s="398">
        <v>26550</v>
      </c>
      <c r="AN96" s="398">
        <v>26020</v>
      </c>
      <c r="AO96" s="398">
        <v>25470</v>
      </c>
      <c r="AP96" s="398">
        <v>25480</v>
      </c>
      <c r="AQ96" s="398">
        <v>25540</v>
      </c>
      <c r="AR96" s="398">
        <v>25640</v>
      </c>
      <c r="AS96" s="398">
        <v>25770</v>
      </c>
      <c r="AT96" s="398">
        <v>25910</v>
      </c>
      <c r="AU96" s="398">
        <v>26050</v>
      </c>
      <c r="AV96" s="398">
        <v>26180</v>
      </c>
      <c r="AW96" s="398">
        <v>26300</v>
      </c>
      <c r="AX96" s="398">
        <v>26410</v>
      </c>
      <c r="AY96" s="398">
        <v>26490</v>
      </c>
      <c r="AZ96" s="398">
        <v>26560</v>
      </c>
      <c r="BA96" s="398">
        <v>26600</v>
      </c>
      <c r="BB96" s="398">
        <v>26620</v>
      </c>
      <c r="BC96" s="398">
        <v>26620</v>
      </c>
      <c r="BD96" s="398">
        <v>26600</v>
      </c>
      <c r="BE96" s="398">
        <v>26570</v>
      </c>
      <c r="BF96" s="398">
        <v>26520</v>
      </c>
    </row>
    <row r="97" spans="1:58" x14ac:dyDescent="0.2">
      <c r="A97" s="399" t="s">
        <v>38</v>
      </c>
      <c r="B97" s="247"/>
      <c r="C97" s="398">
        <v>22530</v>
      </c>
      <c r="D97" s="398">
        <v>21800</v>
      </c>
      <c r="E97" s="398">
        <v>20980</v>
      </c>
      <c r="F97" s="398">
        <v>20080</v>
      </c>
      <c r="G97" s="398">
        <v>20190</v>
      </c>
      <c r="H97" s="398">
        <v>19980</v>
      </c>
      <c r="I97" s="398">
        <v>20680</v>
      </c>
      <c r="J97" s="398">
        <v>20910</v>
      </c>
      <c r="K97" s="398">
        <v>21280</v>
      </c>
      <c r="L97" s="398">
        <v>21900</v>
      </c>
      <c r="M97" s="398">
        <v>22620</v>
      </c>
      <c r="N97" s="398">
        <v>22910</v>
      </c>
      <c r="O97" s="398">
        <v>23250</v>
      </c>
      <c r="P97" s="398">
        <v>23660</v>
      </c>
      <c r="Q97" s="398">
        <v>23680</v>
      </c>
      <c r="R97" s="398">
        <v>24780</v>
      </c>
      <c r="S97" s="398">
        <v>25470</v>
      </c>
      <c r="T97" s="398">
        <v>26690</v>
      </c>
      <c r="U97" s="398">
        <v>27040</v>
      </c>
      <c r="V97" s="398">
        <v>26320</v>
      </c>
      <c r="W97" s="398">
        <v>26300</v>
      </c>
      <c r="X97" s="398">
        <v>25930</v>
      </c>
      <c r="Y97" s="398">
        <v>26000</v>
      </c>
      <c r="Z97" s="398">
        <v>25580</v>
      </c>
      <c r="AA97" s="398">
        <v>25220</v>
      </c>
      <c r="AB97" s="398">
        <v>25090</v>
      </c>
      <c r="AC97" s="398">
        <v>24640</v>
      </c>
      <c r="AD97" s="398">
        <v>25380</v>
      </c>
      <c r="AE97" s="398">
        <v>24840</v>
      </c>
      <c r="AF97" s="398">
        <v>24160</v>
      </c>
      <c r="AG97" s="398">
        <v>24050</v>
      </c>
      <c r="AH97" s="398">
        <v>24750</v>
      </c>
      <c r="AI97" s="398">
        <v>24560</v>
      </c>
      <c r="AJ97" s="398">
        <v>25120</v>
      </c>
      <c r="AK97" s="398">
        <v>25970</v>
      </c>
      <c r="AL97" s="398">
        <v>26610</v>
      </c>
      <c r="AM97" s="398">
        <v>26050</v>
      </c>
      <c r="AN97" s="398">
        <v>26540</v>
      </c>
      <c r="AO97" s="398">
        <v>26010</v>
      </c>
      <c r="AP97" s="398">
        <v>25470</v>
      </c>
      <c r="AQ97" s="398">
        <v>25480</v>
      </c>
      <c r="AR97" s="398">
        <v>25540</v>
      </c>
      <c r="AS97" s="398">
        <v>25640</v>
      </c>
      <c r="AT97" s="398">
        <v>25770</v>
      </c>
      <c r="AU97" s="398">
        <v>25900</v>
      </c>
      <c r="AV97" s="398">
        <v>26040</v>
      </c>
      <c r="AW97" s="398">
        <v>26180</v>
      </c>
      <c r="AX97" s="398">
        <v>26300</v>
      </c>
      <c r="AY97" s="398">
        <v>26400</v>
      </c>
      <c r="AZ97" s="398">
        <v>26490</v>
      </c>
      <c r="BA97" s="398">
        <v>26550</v>
      </c>
      <c r="BB97" s="398">
        <v>26590</v>
      </c>
      <c r="BC97" s="398">
        <v>26610</v>
      </c>
      <c r="BD97" s="398">
        <v>26610</v>
      </c>
      <c r="BE97" s="398">
        <v>26590</v>
      </c>
      <c r="BF97" s="398">
        <v>26560</v>
      </c>
    </row>
    <row r="98" spans="1:58" x14ac:dyDescent="0.2">
      <c r="A98" s="399" t="s">
        <v>39</v>
      </c>
      <c r="B98" s="247"/>
      <c r="C98" s="398">
        <v>23540</v>
      </c>
      <c r="D98" s="398">
        <v>22620</v>
      </c>
      <c r="E98" s="398">
        <v>21850</v>
      </c>
      <c r="F98" s="398">
        <v>21010</v>
      </c>
      <c r="G98" s="398">
        <v>20150</v>
      </c>
      <c r="H98" s="398">
        <v>20150</v>
      </c>
      <c r="I98" s="398">
        <v>19910</v>
      </c>
      <c r="J98" s="398">
        <v>20620</v>
      </c>
      <c r="K98" s="398">
        <v>20890</v>
      </c>
      <c r="L98" s="398">
        <v>21280</v>
      </c>
      <c r="M98" s="398">
        <v>21900</v>
      </c>
      <c r="N98" s="398">
        <v>22620</v>
      </c>
      <c r="O98" s="398">
        <v>22900</v>
      </c>
      <c r="P98" s="398">
        <v>23240</v>
      </c>
      <c r="Q98" s="398">
        <v>23640</v>
      </c>
      <c r="R98" s="398">
        <v>23660</v>
      </c>
      <c r="S98" s="398">
        <v>24750</v>
      </c>
      <c r="T98" s="398">
        <v>25440</v>
      </c>
      <c r="U98" s="398">
        <v>26660</v>
      </c>
      <c r="V98" s="398">
        <v>27000</v>
      </c>
      <c r="W98" s="398">
        <v>26280</v>
      </c>
      <c r="X98" s="398">
        <v>26260</v>
      </c>
      <c r="Y98" s="398">
        <v>25890</v>
      </c>
      <c r="Z98" s="398">
        <v>25960</v>
      </c>
      <c r="AA98" s="398">
        <v>25530</v>
      </c>
      <c r="AB98" s="398">
        <v>25180</v>
      </c>
      <c r="AC98" s="398">
        <v>25050</v>
      </c>
      <c r="AD98" s="398">
        <v>24600</v>
      </c>
      <c r="AE98" s="398">
        <v>25340</v>
      </c>
      <c r="AF98" s="398">
        <v>24800</v>
      </c>
      <c r="AG98" s="398">
        <v>24120</v>
      </c>
      <c r="AH98" s="398">
        <v>24010</v>
      </c>
      <c r="AI98" s="398">
        <v>24710</v>
      </c>
      <c r="AJ98" s="398">
        <v>24510</v>
      </c>
      <c r="AK98" s="398">
        <v>25080</v>
      </c>
      <c r="AL98" s="398">
        <v>25920</v>
      </c>
      <c r="AM98" s="398">
        <v>26560</v>
      </c>
      <c r="AN98" s="398">
        <v>26000</v>
      </c>
      <c r="AO98" s="398">
        <v>26490</v>
      </c>
      <c r="AP98" s="398">
        <v>25970</v>
      </c>
      <c r="AQ98" s="398">
        <v>25420</v>
      </c>
      <c r="AR98" s="398">
        <v>25430</v>
      </c>
      <c r="AS98" s="398">
        <v>25490</v>
      </c>
      <c r="AT98" s="398">
        <v>25590</v>
      </c>
      <c r="AU98" s="398">
        <v>25720</v>
      </c>
      <c r="AV98" s="398">
        <v>25860</v>
      </c>
      <c r="AW98" s="398">
        <v>25990</v>
      </c>
      <c r="AX98" s="398">
        <v>26130</v>
      </c>
      <c r="AY98" s="398">
        <v>26250</v>
      </c>
      <c r="AZ98" s="398">
        <v>26350</v>
      </c>
      <c r="BA98" s="398">
        <v>26440</v>
      </c>
      <c r="BB98" s="398">
        <v>26500</v>
      </c>
      <c r="BC98" s="398">
        <v>26540</v>
      </c>
      <c r="BD98" s="398">
        <v>26560</v>
      </c>
      <c r="BE98" s="398">
        <v>26560</v>
      </c>
      <c r="BF98" s="398">
        <v>26540</v>
      </c>
    </row>
    <row r="99" spans="1:58" x14ac:dyDescent="0.2">
      <c r="A99" s="399" t="s">
        <v>40</v>
      </c>
      <c r="B99" s="247"/>
      <c r="C99" s="398">
        <v>23960</v>
      </c>
      <c r="D99" s="398">
        <v>23670</v>
      </c>
      <c r="E99" s="398">
        <v>22670</v>
      </c>
      <c r="F99" s="398">
        <v>21960</v>
      </c>
      <c r="G99" s="398">
        <v>21100</v>
      </c>
      <c r="H99" s="398">
        <v>20160</v>
      </c>
      <c r="I99" s="398">
        <v>20100</v>
      </c>
      <c r="J99" s="398">
        <v>19880</v>
      </c>
      <c r="K99" s="398">
        <v>20620</v>
      </c>
      <c r="L99" s="398">
        <v>20910</v>
      </c>
      <c r="M99" s="398">
        <v>21310</v>
      </c>
      <c r="N99" s="398">
        <v>21930</v>
      </c>
      <c r="O99" s="398">
        <v>22630</v>
      </c>
      <c r="P99" s="398">
        <v>22920</v>
      </c>
      <c r="Q99" s="398">
        <v>23250</v>
      </c>
      <c r="R99" s="398">
        <v>23650</v>
      </c>
      <c r="S99" s="398">
        <v>23670</v>
      </c>
      <c r="T99" s="398">
        <v>24760</v>
      </c>
      <c r="U99" s="398">
        <v>25440</v>
      </c>
      <c r="V99" s="398">
        <v>26650</v>
      </c>
      <c r="W99" s="398">
        <v>26990</v>
      </c>
      <c r="X99" s="398">
        <v>26270</v>
      </c>
      <c r="Y99" s="398">
        <v>26250</v>
      </c>
      <c r="Z99" s="398">
        <v>25880</v>
      </c>
      <c r="AA99" s="398">
        <v>25950</v>
      </c>
      <c r="AB99" s="398">
        <v>25520</v>
      </c>
      <c r="AC99" s="398">
        <v>25170</v>
      </c>
      <c r="AD99" s="398">
        <v>25040</v>
      </c>
      <c r="AE99" s="398">
        <v>24590</v>
      </c>
      <c r="AF99" s="398">
        <v>25320</v>
      </c>
      <c r="AG99" s="398">
        <v>24790</v>
      </c>
      <c r="AH99" s="398">
        <v>24100</v>
      </c>
      <c r="AI99" s="398">
        <v>23990</v>
      </c>
      <c r="AJ99" s="398">
        <v>24690</v>
      </c>
      <c r="AK99" s="398">
        <v>24500</v>
      </c>
      <c r="AL99" s="398">
        <v>25060</v>
      </c>
      <c r="AM99" s="398">
        <v>25900</v>
      </c>
      <c r="AN99" s="398">
        <v>26540</v>
      </c>
      <c r="AO99" s="398">
        <v>25980</v>
      </c>
      <c r="AP99" s="398">
        <v>26470</v>
      </c>
      <c r="AQ99" s="398">
        <v>25950</v>
      </c>
      <c r="AR99" s="398">
        <v>25410</v>
      </c>
      <c r="AS99" s="398">
        <v>25420</v>
      </c>
      <c r="AT99" s="398">
        <v>25480</v>
      </c>
      <c r="AU99" s="398">
        <v>25580</v>
      </c>
      <c r="AV99" s="398">
        <v>25700</v>
      </c>
      <c r="AW99" s="398">
        <v>25840</v>
      </c>
      <c r="AX99" s="398">
        <v>25980</v>
      </c>
      <c r="AY99" s="398">
        <v>26110</v>
      </c>
      <c r="AZ99" s="398">
        <v>26230</v>
      </c>
      <c r="BA99" s="398">
        <v>26330</v>
      </c>
      <c r="BB99" s="398">
        <v>26420</v>
      </c>
      <c r="BC99" s="398">
        <v>26480</v>
      </c>
      <c r="BD99" s="398">
        <v>26520</v>
      </c>
      <c r="BE99" s="398">
        <v>26540</v>
      </c>
      <c r="BF99" s="398">
        <v>26540</v>
      </c>
    </row>
    <row r="100" spans="1:58" x14ac:dyDescent="0.2">
      <c r="A100" s="399" t="s">
        <v>41</v>
      </c>
      <c r="B100" s="247"/>
      <c r="C100" s="398">
        <v>23420</v>
      </c>
      <c r="D100" s="398">
        <v>24180</v>
      </c>
      <c r="E100" s="398">
        <v>23810</v>
      </c>
      <c r="F100" s="398">
        <v>22840</v>
      </c>
      <c r="G100" s="398">
        <v>22060</v>
      </c>
      <c r="H100" s="398">
        <v>21130</v>
      </c>
      <c r="I100" s="398">
        <v>20150</v>
      </c>
      <c r="J100" s="398">
        <v>20100</v>
      </c>
      <c r="K100" s="398">
        <v>19910</v>
      </c>
      <c r="L100" s="398">
        <v>20670</v>
      </c>
      <c r="M100" s="398">
        <v>20960</v>
      </c>
      <c r="N100" s="398">
        <v>21340</v>
      </c>
      <c r="O100" s="398">
        <v>21960</v>
      </c>
      <c r="P100" s="398">
        <v>22660</v>
      </c>
      <c r="Q100" s="398">
        <v>22940</v>
      </c>
      <c r="R100" s="398">
        <v>23270</v>
      </c>
      <c r="S100" s="398">
        <v>23660</v>
      </c>
      <c r="T100" s="398">
        <v>23680</v>
      </c>
      <c r="U100" s="398">
        <v>24750</v>
      </c>
      <c r="V100" s="398">
        <v>25430</v>
      </c>
      <c r="W100" s="398">
        <v>26640</v>
      </c>
      <c r="X100" s="398">
        <v>26970</v>
      </c>
      <c r="Y100" s="398">
        <v>26250</v>
      </c>
      <c r="Z100" s="398">
        <v>26230</v>
      </c>
      <c r="AA100" s="398">
        <v>25860</v>
      </c>
      <c r="AB100" s="398">
        <v>25920</v>
      </c>
      <c r="AC100" s="398">
        <v>25490</v>
      </c>
      <c r="AD100" s="398">
        <v>25140</v>
      </c>
      <c r="AE100" s="398">
        <v>25000</v>
      </c>
      <c r="AF100" s="398">
        <v>24550</v>
      </c>
      <c r="AG100" s="398">
        <v>25290</v>
      </c>
      <c r="AH100" s="398">
        <v>24750</v>
      </c>
      <c r="AI100" s="398">
        <v>24070</v>
      </c>
      <c r="AJ100" s="398">
        <v>23960</v>
      </c>
      <c r="AK100" s="398">
        <v>24660</v>
      </c>
      <c r="AL100" s="398">
        <v>24470</v>
      </c>
      <c r="AM100" s="398">
        <v>25030</v>
      </c>
      <c r="AN100" s="398">
        <v>25860</v>
      </c>
      <c r="AO100" s="398">
        <v>26500</v>
      </c>
      <c r="AP100" s="398">
        <v>25940</v>
      </c>
      <c r="AQ100" s="398">
        <v>26430</v>
      </c>
      <c r="AR100" s="398">
        <v>25910</v>
      </c>
      <c r="AS100" s="398">
        <v>25370</v>
      </c>
      <c r="AT100" s="398">
        <v>25380</v>
      </c>
      <c r="AU100" s="398">
        <v>25440</v>
      </c>
      <c r="AV100" s="398">
        <v>25540</v>
      </c>
      <c r="AW100" s="398">
        <v>25670</v>
      </c>
      <c r="AX100" s="398">
        <v>25800</v>
      </c>
      <c r="AY100" s="398">
        <v>25940</v>
      </c>
      <c r="AZ100" s="398">
        <v>26070</v>
      </c>
      <c r="BA100" s="398">
        <v>26190</v>
      </c>
      <c r="BB100" s="398">
        <v>26300</v>
      </c>
      <c r="BC100" s="398">
        <v>26380</v>
      </c>
      <c r="BD100" s="398">
        <v>26440</v>
      </c>
      <c r="BE100" s="398">
        <v>26490</v>
      </c>
      <c r="BF100" s="398">
        <v>26510</v>
      </c>
    </row>
    <row r="101" spans="1:58" x14ac:dyDescent="0.2">
      <c r="A101" s="399" t="s">
        <v>42</v>
      </c>
      <c r="B101" s="247"/>
      <c r="C101" s="398">
        <v>23850</v>
      </c>
      <c r="D101" s="398">
        <v>23710</v>
      </c>
      <c r="E101" s="398">
        <v>24410</v>
      </c>
      <c r="F101" s="398">
        <v>24040</v>
      </c>
      <c r="G101" s="398">
        <v>23060</v>
      </c>
      <c r="H101" s="398">
        <v>22160</v>
      </c>
      <c r="I101" s="398">
        <v>21230</v>
      </c>
      <c r="J101" s="398">
        <v>20250</v>
      </c>
      <c r="K101" s="398">
        <v>20240</v>
      </c>
      <c r="L101" s="398">
        <v>20070</v>
      </c>
      <c r="M101" s="398">
        <v>20830</v>
      </c>
      <c r="N101" s="398">
        <v>21120</v>
      </c>
      <c r="O101" s="398">
        <v>21510</v>
      </c>
      <c r="P101" s="398">
        <v>22120</v>
      </c>
      <c r="Q101" s="398">
        <v>22830</v>
      </c>
      <c r="R101" s="398">
        <v>23110</v>
      </c>
      <c r="S101" s="398">
        <v>23430</v>
      </c>
      <c r="T101" s="398">
        <v>23830</v>
      </c>
      <c r="U101" s="398">
        <v>23840</v>
      </c>
      <c r="V101" s="398">
        <v>24920</v>
      </c>
      <c r="W101" s="398">
        <v>25600</v>
      </c>
      <c r="X101" s="398">
        <v>26820</v>
      </c>
      <c r="Y101" s="398">
        <v>27150</v>
      </c>
      <c r="Z101" s="398">
        <v>26420</v>
      </c>
      <c r="AA101" s="398">
        <v>26400</v>
      </c>
      <c r="AB101" s="398">
        <v>26020</v>
      </c>
      <c r="AC101" s="398">
        <v>26090</v>
      </c>
      <c r="AD101" s="398">
        <v>25660</v>
      </c>
      <c r="AE101" s="398">
        <v>25300</v>
      </c>
      <c r="AF101" s="398">
        <v>25160</v>
      </c>
      <c r="AG101" s="398">
        <v>24710</v>
      </c>
      <c r="AH101" s="398">
        <v>25450</v>
      </c>
      <c r="AI101" s="398">
        <v>24910</v>
      </c>
      <c r="AJ101" s="398">
        <v>24230</v>
      </c>
      <c r="AK101" s="398">
        <v>24120</v>
      </c>
      <c r="AL101" s="398">
        <v>24820</v>
      </c>
      <c r="AM101" s="398">
        <v>24620</v>
      </c>
      <c r="AN101" s="398">
        <v>25190</v>
      </c>
      <c r="AO101" s="398">
        <v>26030</v>
      </c>
      <c r="AP101" s="398">
        <v>26670</v>
      </c>
      <c r="AQ101" s="398">
        <v>26110</v>
      </c>
      <c r="AR101" s="398">
        <v>26600</v>
      </c>
      <c r="AS101" s="398">
        <v>26080</v>
      </c>
      <c r="AT101" s="398">
        <v>25540</v>
      </c>
      <c r="AU101" s="398">
        <v>25550</v>
      </c>
      <c r="AV101" s="398">
        <v>25610</v>
      </c>
      <c r="AW101" s="398">
        <v>25710</v>
      </c>
      <c r="AX101" s="398">
        <v>25830</v>
      </c>
      <c r="AY101" s="398">
        <v>25970</v>
      </c>
      <c r="AZ101" s="398">
        <v>26110</v>
      </c>
      <c r="BA101" s="398">
        <v>26240</v>
      </c>
      <c r="BB101" s="398">
        <v>26360</v>
      </c>
      <c r="BC101" s="398">
        <v>26470</v>
      </c>
      <c r="BD101" s="398">
        <v>26550</v>
      </c>
      <c r="BE101" s="398">
        <v>26620</v>
      </c>
      <c r="BF101" s="398">
        <v>26660</v>
      </c>
    </row>
    <row r="102" spans="1:58" x14ac:dyDescent="0.2">
      <c r="A102" s="399" t="s">
        <v>43</v>
      </c>
      <c r="B102" s="247"/>
      <c r="C102" s="398">
        <v>23850</v>
      </c>
      <c r="D102" s="398">
        <v>24240</v>
      </c>
      <c r="E102" s="398">
        <v>24020</v>
      </c>
      <c r="F102" s="398">
        <v>24770</v>
      </c>
      <c r="G102" s="398">
        <v>24380</v>
      </c>
      <c r="H102" s="398">
        <v>23300</v>
      </c>
      <c r="I102" s="398">
        <v>22370</v>
      </c>
      <c r="J102" s="398">
        <v>21440</v>
      </c>
      <c r="K102" s="398">
        <v>20480</v>
      </c>
      <c r="L102" s="398">
        <v>20490</v>
      </c>
      <c r="M102" s="398">
        <v>20310</v>
      </c>
      <c r="N102" s="398">
        <v>21080</v>
      </c>
      <c r="O102" s="398">
        <v>21370</v>
      </c>
      <c r="P102" s="398">
        <v>21750</v>
      </c>
      <c r="Q102" s="398">
        <v>22370</v>
      </c>
      <c r="R102" s="398">
        <v>23080</v>
      </c>
      <c r="S102" s="398">
        <v>23360</v>
      </c>
      <c r="T102" s="398">
        <v>23690</v>
      </c>
      <c r="U102" s="398">
        <v>24080</v>
      </c>
      <c r="V102" s="398">
        <v>24100</v>
      </c>
      <c r="W102" s="398">
        <v>25190</v>
      </c>
      <c r="X102" s="398">
        <v>25870</v>
      </c>
      <c r="Y102" s="398">
        <v>27090</v>
      </c>
      <c r="Z102" s="398">
        <v>27430</v>
      </c>
      <c r="AA102" s="398">
        <v>26690</v>
      </c>
      <c r="AB102" s="398">
        <v>26660</v>
      </c>
      <c r="AC102" s="398">
        <v>26290</v>
      </c>
      <c r="AD102" s="398">
        <v>26350</v>
      </c>
      <c r="AE102" s="398">
        <v>25910</v>
      </c>
      <c r="AF102" s="398">
        <v>25550</v>
      </c>
      <c r="AG102" s="398">
        <v>25410</v>
      </c>
      <c r="AH102" s="398">
        <v>24960</v>
      </c>
      <c r="AI102" s="398">
        <v>25700</v>
      </c>
      <c r="AJ102" s="398">
        <v>25160</v>
      </c>
      <c r="AK102" s="398">
        <v>24470</v>
      </c>
      <c r="AL102" s="398">
        <v>24360</v>
      </c>
      <c r="AM102" s="398">
        <v>25060</v>
      </c>
      <c r="AN102" s="398">
        <v>24870</v>
      </c>
      <c r="AO102" s="398">
        <v>25440</v>
      </c>
      <c r="AP102" s="398">
        <v>26290</v>
      </c>
      <c r="AQ102" s="398">
        <v>26930</v>
      </c>
      <c r="AR102" s="398">
        <v>26370</v>
      </c>
      <c r="AS102" s="398">
        <v>26860</v>
      </c>
      <c r="AT102" s="398">
        <v>26340</v>
      </c>
      <c r="AU102" s="398">
        <v>25790</v>
      </c>
      <c r="AV102" s="398">
        <v>25800</v>
      </c>
      <c r="AW102" s="398">
        <v>25860</v>
      </c>
      <c r="AX102" s="398">
        <v>25960</v>
      </c>
      <c r="AY102" s="398">
        <v>26090</v>
      </c>
      <c r="AZ102" s="398">
        <v>26230</v>
      </c>
      <c r="BA102" s="398">
        <v>26370</v>
      </c>
      <c r="BB102" s="398">
        <v>26510</v>
      </c>
      <c r="BC102" s="398">
        <v>26630</v>
      </c>
      <c r="BD102" s="398">
        <v>26730</v>
      </c>
      <c r="BE102" s="398">
        <v>26820</v>
      </c>
      <c r="BF102" s="398">
        <v>26880</v>
      </c>
    </row>
    <row r="103" spans="1:58" x14ac:dyDescent="0.2">
      <c r="A103" s="399" t="s">
        <v>44</v>
      </c>
      <c r="B103" s="247"/>
      <c r="C103" s="398">
        <v>24140</v>
      </c>
      <c r="D103" s="398">
        <v>24370</v>
      </c>
      <c r="E103" s="398">
        <v>24720</v>
      </c>
      <c r="F103" s="398">
        <v>24500</v>
      </c>
      <c r="G103" s="398">
        <v>25270</v>
      </c>
      <c r="H103" s="398">
        <v>24790</v>
      </c>
      <c r="I103" s="398">
        <v>23650</v>
      </c>
      <c r="J103" s="398">
        <v>22710</v>
      </c>
      <c r="K103" s="398">
        <v>21800</v>
      </c>
      <c r="L103" s="398">
        <v>20840</v>
      </c>
      <c r="M103" s="398">
        <v>20850</v>
      </c>
      <c r="N103" s="398">
        <v>20670</v>
      </c>
      <c r="O103" s="398">
        <v>21450</v>
      </c>
      <c r="P103" s="398">
        <v>21740</v>
      </c>
      <c r="Q103" s="398">
        <v>22130</v>
      </c>
      <c r="R103" s="398">
        <v>22750</v>
      </c>
      <c r="S103" s="398">
        <v>23470</v>
      </c>
      <c r="T103" s="398">
        <v>23760</v>
      </c>
      <c r="U103" s="398">
        <v>24080</v>
      </c>
      <c r="V103" s="398">
        <v>24490</v>
      </c>
      <c r="W103" s="398">
        <v>24500</v>
      </c>
      <c r="X103" s="398">
        <v>25600</v>
      </c>
      <c r="Y103" s="398">
        <v>26290</v>
      </c>
      <c r="Z103" s="398">
        <v>27530</v>
      </c>
      <c r="AA103" s="398">
        <v>27880</v>
      </c>
      <c r="AB103" s="398">
        <v>27130</v>
      </c>
      <c r="AC103" s="398">
        <v>27100</v>
      </c>
      <c r="AD103" s="398">
        <v>26710</v>
      </c>
      <c r="AE103" s="398">
        <v>26780</v>
      </c>
      <c r="AF103" s="398">
        <v>26330</v>
      </c>
      <c r="AG103" s="398">
        <v>25970</v>
      </c>
      <c r="AH103" s="398">
        <v>25830</v>
      </c>
      <c r="AI103" s="398">
        <v>25360</v>
      </c>
      <c r="AJ103" s="398">
        <v>26120</v>
      </c>
      <c r="AK103" s="398">
        <v>25570</v>
      </c>
      <c r="AL103" s="398">
        <v>24870</v>
      </c>
      <c r="AM103" s="398">
        <v>24760</v>
      </c>
      <c r="AN103" s="398">
        <v>25470</v>
      </c>
      <c r="AO103" s="398">
        <v>25280</v>
      </c>
      <c r="AP103" s="398">
        <v>25860</v>
      </c>
      <c r="AQ103" s="398">
        <v>26720</v>
      </c>
      <c r="AR103" s="398">
        <v>27370</v>
      </c>
      <c r="AS103" s="398">
        <v>26800</v>
      </c>
      <c r="AT103" s="398">
        <v>27300</v>
      </c>
      <c r="AU103" s="398">
        <v>26770</v>
      </c>
      <c r="AV103" s="398">
        <v>26210</v>
      </c>
      <c r="AW103" s="398">
        <v>26220</v>
      </c>
      <c r="AX103" s="398">
        <v>26290</v>
      </c>
      <c r="AY103" s="398">
        <v>26390</v>
      </c>
      <c r="AZ103" s="398">
        <v>26520</v>
      </c>
      <c r="BA103" s="398">
        <v>26660</v>
      </c>
      <c r="BB103" s="398">
        <v>26800</v>
      </c>
      <c r="BC103" s="398">
        <v>26940</v>
      </c>
      <c r="BD103" s="398">
        <v>27060</v>
      </c>
      <c r="BE103" s="398">
        <v>27170</v>
      </c>
      <c r="BF103" s="398">
        <v>27260</v>
      </c>
    </row>
    <row r="104" spans="1:58" x14ac:dyDescent="0.2">
      <c r="A104" s="399" t="s">
        <v>45</v>
      </c>
      <c r="B104" s="247"/>
      <c r="C104" s="398">
        <v>24650</v>
      </c>
      <c r="D104" s="398">
        <v>24840</v>
      </c>
      <c r="E104" s="398">
        <v>25050</v>
      </c>
      <c r="F104" s="398">
        <v>25400</v>
      </c>
      <c r="G104" s="398">
        <v>25180</v>
      </c>
      <c r="H104" s="398">
        <v>25880</v>
      </c>
      <c r="I104" s="398">
        <v>25350</v>
      </c>
      <c r="J104" s="398">
        <v>24200</v>
      </c>
      <c r="K104" s="398">
        <v>23260</v>
      </c>
      <c r="L104" s="398">
        <v>22350</v>
      </c>
      <c r="M104" s="398">
        <v>21360</v>
      </c>
      <c r="N104" s="398">
        <v>21370</v>
      </c>
      <c r="O104" s="398">
        <v>21180</v>
      </c>
      <c r="P104" s="398">
        <v>21980</v>
      </c>
      <c r="Q104" s="398">
        <v>22270</v>
      </c>
      <c r="R104" s="398">
        <v>22670</v>
      </c>
      <c r="S104" s="398">
        <v>23300</v>
      </c>
      <c r="T104" s="398">
        <v>24040</v>
      </c>
      <c r="U104" s="398">
        <v>24320</v>
      </c>
      <c r="V104" s="398">
        <v>24660</v>
      </c>
      <c r="W104" s="398">
        <v>25070</v>
      </c>
      <c r="X104" s="398">
        <v>25080</v>
      </c>
      <c r="Y104" s="398">
        <v>26210</v>
      </c>
      <c r="Z104" s="398">
        <v>26910</v>
      </c>
      <c r="AA104" s="398">
        <v>28180</v>
      </c>
      <c r="AB104" s="398">
        <v>28530</v>
      </c>
      <c r="AC104" s="398">
        <v>27760</v>
      </c>
      <c r="AD104" s="398">
        <v>27730</v>
      </c>
      <c r="AE104" s="398">
        <v>27340</v>
      </c>
      <c r="AF104" s="398">
        <v>27400</v>
      </c>
      <c r="AG104" s="398">
        <v>26950</v>
      </c>
      <c r="AH104" s="398">
        <v>26570</v>
      </c>
      <c r="AI104" s="398">
        <v>26430</v>
      </c>
      <c r="AJ104" s="398">
        <v>25960</v>
      </c>
      <c r="AK104" s="398">
        <v>26730</v>
      </c>
      <c r="AL104" s="398">
        <v>26170</v>
      </c>
      <c r="AM104" s="398">
        <v>25450</v>
      </c>
      <c r="AN104" s="398">
        <v>25330</v>
      </c>
      <c r="AO104" s="398">
        <v>26070</v>
      </c>
      <c r="AP104" s="398">
        <v>25870</v>
      </c>
      <c r="AQ104" s="398">
        <v>26460</v>
      </c>
      <c r="AR104" s="398">
        <v>27340</v>
      </c>
      <c r="AS104" s="398">
        <v>28010</v>
      </c>
      <c r="AT104" s="398">
        <v>27430</v>
      </c>
      <c r="AU104" s="398">
        <v>27940</v>
      </c>
      <c r="AV104" s="398">
        <v>27400</v>
      </c>
      <c r="AW104" s="398">
        <v>26830</v>
      </c>
      <c r="AX104" s="398">
        <v>26840</v>
      </c>
      <c r="AY104" s="398">
        <v>26900</v>
      </c>
      <c r="AZ104" s="398">
        <v>27010</v>
      </c>
      <c r="BA104" s="398">
        <v>27140</v>
      </c>
      <c r="BB104" s="398">
        <v>27290</v>
      </c>
      <c r="BC104" s="398">
        <v>27430</v>
      </c>
      <c r="BD104" s="398">
        <v>27570</v>
      </c>
      <c r="BE104" s="398">
        <v>27700</v>
      </c>
      <c r="BF104" s="398">
        <v>27810</v>
      </c>
    </row>
    <row r="105" spans="1:58" x14ac:dyDescent="0.2">
      <c r="A105" s="399" t="s">
        <v>46</v>
      </c>
      <c r="B105" s="247"/>
      <c r="C105" s="398">
        <v>25700</v>
      </c>
      <c r="D105" s="398">
        <v>25440</v>
      </c>
      <c r="E105" s="398">
        <v>25570</v>
      </c>
      <c r="F105" s="398">
        <v>25770</v>
      </c>
      <c r="G105" s="398">
        <v>26130</v>
      </c>
      <c r="H105" s="398">
        <v>25860</v>
      </c>
      <c r="I105" s="398">
        <v>26540</v>
      </c>
      <c r="J105" s="398">
        <v>26020</v>
      </c>
      <c r="K105" s="398">
        <v>24860</v>
      </c>
      <c r="L105" s="398">
        <v>23930</v>
      </c>
      <c r="M105" s="398">
        <v>22980</v>
      </c>
      <c r="N105" s="398">
        <v>21970</v>
      </c>
      <c r="O105" s="398">
        <v>21980</v>
      </c>
      <c r="P105" s="398">
        <v>21780</v>
      </c>
      <c r="Q105" s="398">
        <v>22600</v>
      </c>
      <c r="R105" s="398">
        <v>22900</v>
      </c>
      <c r="S105" s="398">
        <v>23310</v>
      </c>
      <c r="T105" s="398">
        <v>23970</v>
      </c>
      <c r="U105" s="398">
        <v>24720</v>
      </c>
      <c r="V105" s="398">
        <v>25020</v>
      </c>
      <c r="W105" s="398">
        <v>25370</v>
      </c>
      <c r="X105" s="398">
        <v>25790</v>
      </c>
      <c r="Y105" s="398">
        <v>25790</v>
      </c>
      <c r="Z105" s="398">
        <v>26960</v>
      </c>
      <c r="AA105" s="398">
        <v>27690</v>
      </c>
      <c r="AB105" s="398">
        <v>28990</v>
      </c>
      <c r="AC105" s="398">
        <v>29350</v>
      </c>
      <c r="AD105" s="398">
        <v>28560</v>
      </c>
      <c r="AE105" s="398">
        <v>28530</v>
      </c>
      <c r="AF105" s="398">
        <v>28120</v>
      </c>
      <c r="AG105" s="398">
        <v>28190</v>
      </c>
      <c r="AH105" s="398">
        <v>27720</v>
      </c>
      <c r="AI105" s="398">
        <v>27340</v>
      </c>
      <c r="AJ105" s="398">
        <v>27190</v>
      </c>
      <c r="AK105" s="398">
        <v>26700</v>
      </c>
      <c r="AL105" s="398">
        <v>27500</v>
      </c>
      <c r="AM105" s="398">
        <v>26920</v>
      </c>
      <c r="AN105" s="398">
        <v>26180</v>
      </c>
      <c r="AO105" s="398">
        <v>26070</v>
      </c>
      <c r="AP105" s="398">
        <v>26820</v>
      </c>
      <c r="AQ105" s="398">
        <v>26610</v>
      </c>
      <c r="AR105" s="398">
        <v>27230</v>
      </c>
      <c r="AS105" s="398">
        <v>28130</v>
      </c>
      <c r="AT105" s="398">
        <v>28820</v>
      </c>
      <c r="AU105" s="398">
        <v>28220</v>
      </c>
      <c r="AV105" s="398">
        <v>28750</v>
      </c>
      <c r="AW105" s="398">
        <v>28190</v>
      </c>
      <c r="AX105" s="398">
        <v>27600</v>
      </c>
      <c r="AY105" s="398">
        <v>27620</v>
      </c>
      <c r="AZ105" s="398">
        <v>27680</v>
      </c>
      <c r="BA105" s="398">
        <v>27790</v>
      </c>
      <c r="BB105" s="398">
        <v>27930</v>
      </c>
      <c r="BC105" s="398">
        <v>28080</v>
      </c>
      <c r="BD105" s="398">
        <v>28230</v>
      </c>
      <c r="BE105" s="398">
        <v>28370</v>
      </c>
      <c r="BF105" s="398">
        <v>28500</v>
      </c>
    </row>
    <row r="106" spans="1:58" x14ac:dyDescent="0.2">
      <c r="A106" s="399" t="s">
        <v>47</v>
      </c>
      <c r="B106" s="247"/>
      <c r="C106" s="398">
        <v>27140</v>
      </c>
      <c r="D106" s="398">
        <v>26320</v>
      </c>
      <c r="E106" s="398">
        <v>25990</v>
      </c>
      <c r="F106" s="398">
        <v>26080</v>
      </c>
      <c r="G106" s="398">
        <v>26320</v>
      </c>
      <c r="H106" s="398">
        <v>26630</v>
      </c>
      <c r="I106" s="398">
        <v>26320</v>
      </c>
      <c r="J106" s="398">
        <v>27030</v>
      </c>
      <c r="K106" s="398">
        <v>26520</v>
      </c>
      <c r="L106" s="398">
        <v>25370</v>
      </c>
      <c r="M106" s="398">
        <v>24410</v>
      </c>
      <c r="N106" s="398">
        <v>23450</v>
      </c>
      <c r="O106" s="398">
        <v>22420</v>
      </c>
      <c r="P106" s="398">
        <v>22420</v>
      </c>
      <c r="Q106" s="398">
        <v>22220</v>
      </c>
      <c r="R106" s="398">
        <v>23060</v>
      </c>
      <c r="S106" s="398">
        <v>23370</v>
      </c>
      <c r="T106" s="398">
        <v>23790</v>
      </c>
      <c r="U106" s="398">
        <v>24460</v>
      </c>
      <c r="V106" s="398">
        <v>25230</v>
      </c>
      <c r="W106" s="398">
        <v>25530</v>
      </c>
      <c r="X106" s="398">
        <v>25880</v>
      </c>
      <c r="Y106" s="398">
        <v>26310</v>
      </c>
      <c r="Z106" s="398">
        <v>26320</v>
      </c>
      <c r="AA106" s="398">
        <v>27510</v>
      </c>
      <c r="AB106" s="398">
        <v>28250</v>
      </c>
      <c r="AC106" s="398">
        <v>29590</v>
      </c>
      <c r="AD106" s="398">
        <v>29950</v>
      </c>
      <c r="AE106" s="398">
        <v>29150</v>
      </c>
      <c r="AF106" s="398">
        <v>29120</v>
      </c>
      <c r="AG106" s="398">
        <v>28700</v>
      </c>
      <c r="AH106" s="398">
        <v>28770</v>
      </c>
      <c r="AI106" s="398">
        <v>28300</v>
      </c>
      <c r="AJ106" s="398">
        <v>27900</v>
      </c>
      <c r="AK106" s="398">
        <v>27750</v>
      </c>
      <c r="AL106" s="398">
        <v>27260</v>
      </c>
      <c r="AM106" s="398">
        <v>28070</v>
      </c>
      <c r="AN106" s="398">
        <v>27480</v>
      </c>
      <c r="AO106" s="398">
        <v>26730</v>
      </c>
      <c r="AP106" s="398">
        <v>26610</v>
      </c>
      <c r="AQ106" s="398">
        <v>27380</v>
      </c>
      <c r="AR106" s="398">
        <v>27170</v>
      </c>
      <c r="AS106" s="398">
        <v>27790</v>
      </c>
      <c r="AT106" s="398">
        <v>28720</v>
      </c>
      <c r="AU106" s="398">
        <v>29420</v>
      </c>
      <c r="AV106" s="398">
        <v>28810</v>
      </c>
      <c r="AW106" s="398">
        <v>29350</v>
      </c>
      <c r="AX106" s="398">
        <v>28780</v>
      </c>
      <c r="AY106" s="398">
        <v>28180</v>
      </c>
      <c r="AZ106" s="398">
        <v>28190</v>
      </c>
      <c r="BA106" s="398">
        <v>28260</v>
      </c>
      <c r="BB106" s="398">
        <v>28370</v>
      </c>
      <c r="BC106" s="398">
        <v>28510</v>
      </c>
      <c r="BD106" s="398">
        <v>28660</v>
      </c>
      <c r="BE106" s="398">
        <v>28820</v>
      </c>
      <c r="BF106" s="398">
        <v>28960</v>
      </c>
    </row>
    <row r="107" spans="1:58" x14ac:dyDescent="0.2">
      <c r="A107" s="399" t="s">
        <v>48</v>
      </c>
      <c r="B107" s="247"/>
      <c r="C107" s="398">
        <v>28150</v>
      </c>
      <c r="D107" s="398">
        <v>27420</v>
      </c>
      <c r="E107" s="398">
        <v>26510</v>
      </c>
      <c r="F107" s="398">
        <v>26200</v>
      </c>
      <c r="G107" s="398">
        <v>26330</v>
      </c>
      <c r="H107" s="398">
        <v>26460</v>
      </c>
      <c r="I107" s="398">
        <v>26770</v>
      </c>
      <c r="J107" s="398">
        <v>26460</v>
      </c>
      <c r="K107" s="398">
        <v>27210</v>
      </c>
      <c r="L107" s="398">
        <v>26720</v>
      </c>
      <c r="M107" s="398">
        <v>25560</v>
      </c>
      <c r="N107" s="398">
        <v>24590</v>
      </c>
      <c r="O107" s="398">
        <v>23620</v>
      </c>
      <c r="P107" s="398">
        <v>22580</v>
      </c>
      <c r="Q107" s="398">
        <v>22590</v>
      </c>
      <c r="R107" s="398">
        <v>22390</v>
      </c>
      <c r="S107" s="398">
        <v>23240</v>
      </c>
      <c r="T107" s="398">
        <v>23550</v>
      </c>
      <c r="U107" s="398">
        <v>23970</v>
      </c>
      <c r="V107" s="398">
        <v>24650</v>
      </c>
      <c r="W107" s="398">
        <v>25420</v>
      </c>
      <c r="X107" s="398">
        <v>25730</v>
      </c>
      <c r="Y107" s="398">
        <v>26090</v>
      </c>
      <c r="Z107" s="398">
        <v>26520</v>
      </c>
      <c r="AA107" s="398">
        <v>26530</v>
      </c>
      <c r="AB107" s="398">
        <v>27730</v>
      </c>
      <c r="AC107" s="398">
        <v>28480</v>
      </c>
      <c r="AD107" s="398">
        <v>29820</v>
      </c>
      <c r="AE107" s="398">
        <v>30190</v>
      </c>
      <c r="AF107" s="398">
        <v>29380</v>
      </c>
      <c r="AG107" s="398">
        <v>29350</v>
      </c>
      <c r="AH107" s="398">
        <v>28930</v>
      </c>
      <c r="AI107" s="398">
        <v>29010</v>
      </c>
      <c r="AJ107" s="398">
        <v>28520</v>
      </c>
      <c r="AK107" s="398">
        <v>28130</v>
      </c>
      <c r="AL107" s="398">
        <v>27980</v>
      </c>
      <c r="AM107" s="398">
        <v>27470</v>
      </c>
      <c r="AN107" s="398">
        <v>28300</v>
      </c>
      <c r="AO107" s="398">
        <v>27700</v>
      </c>
      <c r="AP107" s="398">
        <v>26940</v>
      </c>
      <c r="AQ107" s="398">
        <v>26820</v>
      </c>
      <c r="AR107" s="398">
        <v>27600</v>
      </c>
      <c r="AS107" s="398">
        <v>27390</v>
      </c>
      <c r="AT107" s="398">
        <v>28020</v>
      </c>
      <c r="AU107" s="398">
        <v>28950</v>
      </c>
      <c r="AV107" s="398">
        <v>29660</v>
      </c>
      <c r="AW107" s="398">
        <v>29050</v>
      </c>
      <c r="AX107" s="398">
        <v>29590</v>
      </c>
      <c r="AY107" s="398">
        <v>29010</v>
      </c>
      <c r="AZ107" s="398">
        <v>28410</v>
      </c>
      <c r="BA107" s="398">
        <v>28420</v>
      </c>
      <c r="BB107" s="398">
        <v>28490</v>
      </c>
      <c r="BC107" s="398">
        <v>28600</v>
      </c>
      <c r="BD107" s="398">
        <v>28750</v>
      </c>
      <c r="BE107" s="398">
        <v>28900</v>
      </c>
      <c r="BF107" s="398">
        <v>29050</v>
      </c>
    </row>
    <row r="108" spans="1:58" x14ac:dyDescent="0.2">
      <c r="A108" s="399" t="s">
        <v>49</v>
      </c>
      <c r="B108" s="247"/>
      <c r="C108" s="398">
        <v>27940</v>
      </c>
      <c r="D108" s="398">
        <v>28160</v>
      </c>
      <c r="E108" s="398">
        <v>27340</v>
      </c>
      <c r="F108" s="398">
        <v>26470</v>
      </c>
      <c r="G108" s="398">
        <v>26190</v>
      </c>
      <c r="H108" s="398">
        <v>26230</v>
      </c>
      <c r="I108" s="398">
        <v>26340</v>
      </c>
      <c r="J108" s="398">
        <v>26660</v>
      </c>
      <c r="K108" s="398">
        <v>26390</v>
      </c>
      <c r="L108" s="398">
        <v>27150</v>
      </c>
      <c r="M108" s="398">
        <v>26670</v>
      </c>
      <c r="N108" s="398">
        <v>25510</v>
      </c>
      <c r="O108" s="398">
        <v>24540</v>
      </c>
      <c r="P108" s="398">
        <v>23580</v>
      </c>
      <c r="Q108" s="398">
        <v>22540</v>
      </c>
      <c r="R108" s="398">
        <v>22550</v>
      </c>
      <c r="S108" s="398">
        <v>22350</v>
      </c>
      <c r="T108" s="398">
        <v>23190</v>
      </c>
      <c r="U108" s="398">
        <v>23500</v>
      </c>
      <c r="V108" s="398">
        <v>23930</v>
      </c>
      <c r="W108" s="398">
        <v>24600</v>
      </c>
      <c r="X108" s="398">
        <v>25380</v>
      </c>
      <c r="Y108" s="398">
        <v>25690</v>
      </c>
      <c r="Z108" s="398">
        <v>26050</v>
      </c>
      <c r="AA108" s="398">
        <v>26480</v>
      </c>
      <c r="AB108" s="398">
        <v>26490</v>
      </c>
      <c r="AC108" s="398">
        <v>27690</v>
      </c>
      <c r="AD108" s="398">
        <v>28440</v>
      </c>
      <c r="AE108" s="398">
        <v>29790</v>
      </c>
      <c r="AF108" s="398">
        <v>30160</v>
      </c>
      <c r="AG108" s="398">
        <v>29350</v>
      </c>
      <c r="AH108" s="398">
        <v>29310</v>
      </c>
      <c r="AI108" s="398">
        <v>28900</v>
      </c>
      <c r="AJ108" s="398">
        <v>28970</v>
      </c>
      <c r="AK108" s="398">
        <v>28490</v>
      </c>
      <c r="AL108" s="398">
        <v>28090</v>
      </c>
      <c r="AM108" s="398">
        <v>27940</v>
      </c>
      <c r="AN108" s="398">
        <v>27440</v>
      </c>
      <c r="AO108" s="398">
        <v>28260</v>
      </c>
      <c r="AP108" s="398">
        <v>27670</v>
      </c>
      <c r="AQ108" s="398">
        <v>26910</v>
      </c>
      <c r="AR108" s="398">
        <v>26790</v>
      </c>
      <c r="AS108" s="398">
        <v>27570</v>
      </c>
      <c r="AT108" s="398">
        <v>27350</v>
      </c>
      <c r="AU108" s="398">
        <v>27990</v>
      </c>
      <c r="AV108" s="398">
        <v>28920</v>
      </c>
      <c r="AW108" s="398">
        <v>29630</v>
      </c>
      <c r="AX108" s="398">
        <v>29020</v>
      </c>
      <c r="AY108" s="398">
        <v>29560</v>
      </c>
      <c r="AZ108" s="398">
        <v>28980</v>
      </c>
      <c r="BA108" s="398">
        <v>28380</v>
      </c>
      <c r="BB108" s="398">
        <v>28400</v>
      </c>
      <c r="BC108" s="398">
        <v>28460</v>
      </c>
      <c r="BD108" s="398">
        <v>28580</v>
      </c>
      <c r="BE108" s="398">
        <v>28720</v>
      </c>
      <c r="BF108" s="398">
        <v>28870</v>
      </c>
    </row>
    <row r="109" spans="1:58" x14ac:dyDescent="0.2">
      <c r="A109" s="399" t="s">
        <v>50</v>
      </c>
      <c r="B109" s="247"/>
      <c r="C109" s="398">
        <v>27400</v>
      </c>
      <c r="D109" s="398">
        <v>27920</v>
      </c>
      <c r="E109" s="398">
        <v>28050</v>
      </c>
      <c r="F109" s="398">
        <v>27270</v>
      </c>
      <c r="G109" s="398">
        <v>26440</v>
      </c>
      <c r="H109" s="398">
        <v>26140</v>
      </c>
      <c r="I109" s="398">
        <v>26130</v>
      </c>
      <c r="J109" s="398">
        <v>26260</v>
      </c>
      <c r="K109" s="398">
        <v>26610</v>
      </c>
      <c r="L109" s="398">
        <v>26360</v>
      </c>
      <c r="M109" s="398">
        <v>27130</v>
      </c>
      <c r="N109" s="398">
        <v>26650</v>
      </c>
      <c r="O109" s="398">
        <v>25490</v>
      </c>
      <c r="P109" s="398">
        <v>24530</v>
      </c>
      <c r="Q109" s="398">
        <v>23560</v>
      </c>
      <c r="R109" s="398">
        <v>22530</v>
      </c>
      <c r="S109" s="398">
        <v>22540</v>
      </c>
      <c r="T109" s="398">
        <v>22340</v>
      </c>
      <c r="U109" s="398">
        <v>23190</v>
      </c>
      <c r="V109" s="398">
        <v>23510</v>
      </c>
      <c r="W109" s="398">
        <v>23930</v>
      </c>
      <c r="X109" s="398">
        <v>24610</v>
      </c>
      <c r="Y109" s="398">
        <v>25400</v>
      </c>
      <c r="Z109" s="398">
        <v>25710</v>
      </c>
      <c r="AA109" s="398">
        <v>26060</v>
      </c>
      <c r="AB109" s="398">
        <v>26500</v>
      </c>
      <c r="AC109" s="398">
        <v>26510</v>
      </c>
      <c r="AD109" s="398">
        <v>27720</v>
      </c>
      <c r="AE109" s="398">
        <v>28470</v>
      </c>
      <c r="AF109" s="398">
        <v>29820</v>
      </c>
      <c r="AG109" s="398">
        <v>30190</v>
      </c>
      <c r="AH109" s="398">
        <v>29380</v>
      </c>
      <c r="AI109" s="398">
        <v>29350</v>
      </c>
      <c r="AJ109" s="398">
        <v>28930</v>
      </c>
      <c r="AK109" s="398">
        <v>29010</v>
      </c>
      <c r="AL109" s="398">
        <v>28520</v>
      </c>
      <c r="AM109" s="398">
        <v>28130</v>
      </c>
      <c r="AN109" s="398">
        <v>27980</v>
      </c>
      <c r="AO109" s="398">
        <v>27470</v>
      </c>
      <c r="AP109" s="398">
        <v>28300</v>
      </c>
      <c r="AQ109" s="398">
        <v>27700</v>
      </c>
      <c r="AR109" s="398">
        <v>26940</v>
      </c>
      <c r="AS109" s="398">
        <v>26820</v>
      </c>
      <c r="AT109" s="398">
        <v>27600</v>
      </c>
      <c r="AU109" s="398">
        <v>27390</v>
      </c>
      <c r="AV109" s="398">
        <v>28020</v>
      </c>
      <c r="AW109" s="398">
        <v>28960</v>
      </c>
      <c r="AX109" s="398">
        <v>29670</v>
      </c>
      <c r="AY109" s="398">
        <v>29060</v>
      </c>
      <c r="AZ109" s="398">
        <v>29600</v>
      </c>
      <c r="BA109" s="398">
        <v>29020</v>
      </c>
      <c r="BB109" s="398">
        <v>28420</v>
      </c>
      <c r="BC109" s="398">
        <v>28440</v>
      </c>
      <c r="BD109" s="398">
        <v>28500</v>
      </c>
      <c r="BE109" s="398">
        <v>28620</v>
      </c>
      <c r="BF109" s="398">
        <v>28760</v>
      </c>
    </row>
    <row r="110" spans="1:58" x14ac:dyDescent="0.2">
      <c r="A110" s="399" t="s">
        <v>51</v>
      </c>
      <c r="B110" s="247"/>
      <c r="C110" s="398">
        <v>26100</v>
      </c>
      <c r="D110" s="398">
        <v>27390</v>
      </c>
      <c r="E110" s="398">
        <v>27860</v>
      </c>
      <c r="F110" s="398">
        <v>27960</v>
      </c>
      <c r="G110" s="398">
        <v>27210</v>
      </c>
      <c r="H110" s="398">
        <v>26350</v>
      </c>
      <c r="I110" s="398">
        <v>26020</v>
      </c>
      <c r="J110" s="398">
        <v>26030</v>
      </c>
      <c r="K110" s="398">
        <v>26190</v>
      </c>
      <c r="L110" s="398">
        <v>26560</v>
      </c>
      <c r="M110" s="398">
        <v>26310</v>
      </c>
      <c r="N110" s="398">
        <v>27090</v>
      </c>
      <c r="O110" s="398">
        <v>26610</v>
      </c>
      <c r="P110" s="398">
        <v>25450</v>
      </c>
      <c r="Q110" s="398">
        <v>24490</v>
      </c>
      <c r="R110" s="398">
        <v>23530</v>
      </c>
      <c r="S110" s="398">
        <v>22500</v>
      </c>
      <c r="T110" s="398">
        <v>22510</v>
      </c>
      <c r="U110" s="398">
        <v>22310</v>
      </c>
      <c r="V110" s="398">
        <v>23170</v>
      </c>
      <c r="W110" s="398">
        <v>23480</v>
      </c>
      <c r="X110" s="398">
        <v>23910</v>
      </c>
      <c r="Y110" s="398">
        <v>24590</v>
      </c>
      <c r="Z110" s="398">
        <v>25380</v>
      </c>
      <c r="AA110" s="398">
        <v>25690</v>
      </c>
      <c r="AB110" s="398">
        <v>26050</v>
      </c>
      <c r="AC110" s="398">
        <v>26490</v>
      </c>
      <c r="AD110" s="398">
        <v>26500</v>
      </c>
      <c r="AE110" s="398">
        <v>27710</v>
      </c>
      <c r="AF110" s="398">
        <v>28460</v>
      </c>
      <c r="AG110" s="398">
        <v>29820</v>
      </c>
      <c r="AH110" s="398">
        <v>30190</v>
      </c>
      <c r="AI110" s="398">
        <v>29380</v>
      </c>
      <c r="AJ110" s="398">
        <v>29350</v>
      </c>
      <c r="AK110" s="398">
        <v>28930</v>
      </c>
      <c r="AL110" s="398">
        <v>29000</v>
      </c>
      <c r="AM110" s="398">
        <v>28520</v>
      </c>
      <c r="AN110" s="398">
        <v>28120</v>
      </c>
      <c r="AO110" s="398">
        <v>27970</v>
      </c>
      <c r="AP110" s="398">
        <v>27470</v>
      </c>
      <c r="AQ110" s="398">
        <v>28300</v>
      </c>
      <c r="AR110" s="398">
        <v>27700</v>
      </c>
      <c r="AS110" s="398">
        <v>26940</v>
      </c>
      <c r="AT110" s="398">
        <v>26820</v>
      </c>
      <c r="AU110" s="398">
        <v>27600</v>
      </c>
      <c r="AV110" s="398">
        <v>27390</v>
      </c>
      <c r="AW110" s="398">
        <v>28020</v>
      </c>
      <c r="AX110" s="398">
        <v>28960</v>
      </c>
      <c r="AY110" s="398">
        <v>29680</v>
      </c>
      <c r="AZ110" s="398">
        <v>29060</v>
      </c>
      <c r="BA110" s="398">
        <v>29610</v>
      </c>
      <c r="BB110" s="398">
        <v>29030</v>
      </c>
      <c r="BC110" s="398">
        <v>28420</v>
      </c>
      <c r="BD110" s="398">
        <v>28440</v>
      </c>
      <c r="BE110" s="398">
        <v>28510</v>
      </c>
      <c r="BF110" s="398">
        <v>28620</v>
      </c>
    </row>
    <row r="111" spans="1:58" x14ac:dyDescent="0.2">
      <c r="A111" s="399" t="s">
        <v>52</v>
      </c>
      <c r="B111" s="247"/>
      <c r="C111" s="398">
        <v>25650</v>
      </c>
      <c r="D111" s="398">
        <v>26060</v>
      </c>
      <c r="E111" s="398">
        <v>27300</v>
      </c>
      <c r="F111" s="398">
        <v>27780</v>
      </c>
      <c r="G111" s="398">
        <v>27920</v>
      </c>
      <c r="H111" s="398">
        <v>27140</v>
      </c>
      <c r="I111" s="398">
        <v>26230</v>
      </c>
      <c r="J111" s="398">
        <v>25910</v>
      </c>
      <c r="K111" s="398">
        <v>25950</v>
      </c>
      <c r="L111" s="398">
        <v>26130</v>
      </c>
      <c r="M111" s="398">
        <v>26500</v>
      </c>
      <c r="N111" s="398">
        <v>26260</v>
      </c>
      <c r="O111" s="398">
        <v>27040</v>
      </c>
      <c r="P111" s="398">
        <v>26560</v>
      </c>
      <c r="Q111" s="398">
        <v>25410</v>
      </c>
      <c r="R111" s="398">
        <v>24450</v>
      </c>
      <c r="S111" s="398">
        <v>23490</v>
      </c>
      <c r="T111" s="398">
        <v>22450</v>
      </c>
      <c r="U111" s="398">
        <v>22470</v>
      </c>
      <c r="V111" s="398">
        <v>22280</v>
      </c>
      <c r="W111" s="398">
        <v>23130</v>
      </c>
      <c r="X111" s="398">
        <v>23450</v>
      </c>
      <c r="Y111" s="398">
        <v>23880</v>
      </c>
      <c r="Z111" s="398">
        <v>24570</v>
      </c>
      <c r="AA111" s="398">
        <v>25350</v>
      </c>
      <c r="AB111" s="398">
        <v>25660</v>
      </c>
      <c r="AC111" s="398">
        <v>26030</v>
      </c>
      <c r="AD111" s="398">
        <v>26470</v>
      </c>
      <c r="AE111" s="398">
        <v>26480</v>
      </c>
      <c r="AF111" s="398">
        <v>27690</v>
      </c>
      <c r="AG111" s="398">
        <v>28450</v>
      </c>
      <c r="AH111" s="398">
        <v>29800</v>
      </c>
      <c r="AI111" s="398">
        <v>30170</v>
      </c>
      <c r="AJ111" s="398">
        <v>29360</v>
      </c>
      <c r="AK111" s="398">
        <v>29330</v>
      </c>
      <c r="AL111" s="398">
        <v>28910</v>
      </c>
      <c r="AM111" s="398">
        <v>28990</v>
      </c>
      <c r="AN111" s="398">
        <v>28510</v>
      </c>
      <c r="AO111" s="398">
        <v>28110</v>
      </c>
      <c r="AP111" s="398">
        <v>27960</v>
      </c>
      <c r="AQ111" s="398">
        <v>27450</v>
      </c>
      <c r="AR111" s="398">
        <v>28280</v>
      </c>
      <c r="AS111" s="398">
        <v>27680</v>
      </c>
      <c r="AT111" s="398">
        <v>26920</v>
      </c>
      <c r="AU111" s="398">
        <v>26800</v>
      </c>
      <c r="AV111" s="398">
        <v>27590</v>
      </c>
      <c r="AW111" s="398">
        <v>27370</v>
      </c>
      <c r="AX111" s="398">
        <v>28010</v>
      </c>
      <c r="AY111" s="398">
        <v>28950</v>
      </c>
      <c r="AZ111" s="398">
        <v>29670</v>
      </c>
      <c r="BA111" s="398">
        <v>29050</v>
      </c>
      <c r="BB111" s="398">
        <v>29600</v>
      </c>
      <c r="BC111" s="398">
        <v>29020</v>
      </c>
      <c r="BD111" s="398">
        <v>28410</v>
      </c>
      <c r="BE111" s="398">
        <v>28430</v>
      </c>
      <c r="BF111" s="398">
        <v>28500</v>
      </c>
    </row>
    <row r="112" spans="1:58" x14ac:dyDescent="0.2">
      <c r="A112" s="399" t="s">
        <v>53</v>
      </c>
      <c r="B112" s="247"/>
      <c r="C112" s="398">
        <v>24500</v>
      </c>
      <c r="D112" s="398">
        <v>25580</v>
      </c>
      <c r="E112" s="398">
        <v>25950</v>
      </c>
      <c r="F112" s="398">
        <v>27220</v>
      </c>
      <c r="G112" s="398">
        <v>27720</v>
      </c>
      <c r="H112" s="398">
        <v>27830</v>
      </c>
      <c r="I112" s="398">
        <v>27010</v>
      </c>
      <c r="J112" s="398">
        <v>26120</v>
      </c>
      <c r="K112" s="398">
        <v>25830</v>
      </c>
      <c r="L112" s="398">
        <v>25880</v>
      </c>
      <c r="M112" s="398">
        <v>26060</v>
      </c>
      <c r="N112" s="398">
        <v>26440</v>
      </c>
      <c r="O112" s="398">
        <v>26200</v>
      </c>
      <c r="P112" s="398">
        <v>26980</v>
      </c>
      <c r="Q112" s="398">
        <v>26510</v>
      </c>
      <c r="R112" s="398">
        <v>25360</v>
      </c>
      <c r="S112" s="398">
        <v>24400</v>
      </c>
      <c r="T112" s="398">
        <v>23440</v>
      </c>
      <c r="U112" s="398">
        <v>22410</v>
      </c>
      <c r="V112" s="398">
        <v>22430</v>
      </c>
      <c r="W112" s="398">
        <v>22230</v>
      </c>
      <c r="X112" s="398">
        <v>23090</v>
      </c>
      <c r="Y112" s="398">
        <v>23410</v>
      </c>
      <c r="Z112" s="398">
        <v>23840</v>
      </c>
      <c r="AA112" s="398">
        <v>24530</v>
      </c>
      <c r="AB112" s="398">
        <v>25320</v>
      </c>
      <c r="AC112" s="398">
        <v>25630</v>
      </c>
      <c r="AD112" s="398">
        <v>26000</v>
      </c>
      <c r="AE112" s="398">
        <v>26440</v>
      </c>
      <c r="AF112" s="398">
        <v>26450</v>
      </c>
      <c r="AG112" s="398">
        <v>27660</v>
      </c>
      <c r="AH112" s="398">
        <v>28420</v>
      </c>
      <c r="AI112" s="398">
        <v>29780</v>
      </c>
      <c r="AJ112" s="398">
        <v>30150</v>
      </c>
      <c r="AK112" s="398">
        <v>29340</v>
      </c>
      <c r="AL112" s="398">
        <v>29310</v>
      </c>
      <c r="AM112" s="398">
        <v>28890</v>
      </c>
      <c r="AN112" s="398">
        <v>28970</v>
      </c>
      <c r="AO112" s="398">
        <v>28480</v>
      </c>
      <c r="AP112" s="398">
        <v>28090</v>
      </c>
      <c r="AQ112" s="398">
        <v>27930</v>
      </c>
      <c r="AR112" s="398">
        <v>27430</v>
      </c>
      <c r="AS112" s="398">
        <v>28260</v>
      </c>
      <c r="AT112" s="398">
        <v>27660</v>
      </c>
      <c r="AU112" s="398">
        <v>26900</v>
      </c>
      <c r="AV112" s="398">
        <v>26780</v>
      </c>
      <c r="AW112" s="398">
        <v>27570</v>
      </c>
      <c r="AX112" s="398">
        <v>27350</v>
      </c>
      <c r="AY112" s="398">
        <v>27990</v>
      </c>
      <c r="AZ112" s="398">
        <v>28940</v>
      </c>
      <c r="BA112" s="398">
        <v>29650</v>
      </c>
      <c r="BB112" s="398">
        <v>29030</v>
      </c>
      <c r="BC112" s="398">
        <v>29590</v>
      </c>
      <c r="BD112" s="398">
        <v>29000</v>
      </c>
      <c r="BE112" s="398">
        <v>28400</v>
      </c>
      <c r="BF112" s="398">
        <v>28410</v>
      </c>
    </row>
    <row r="113" spans="1:58" x14ac:dyDescent="0.2">
      <c r="A113" s="399" t="s">
        <v>54</v>
      </c>
      <c r="B113" s="247"/>
      <c r="C113" s="398">
        <v>23940</v>
      </c>
      <c r="D113" s="398">
        <v>24420</v>
      </c>
      <c r="E113" s="398">
        <v>25510</v>
      </c>
      <c r="F113" s="398">
        <v>25900</v>
      </c>
      <c r="G113" s="398">
        <v>27170</v>
      </c>
      <c r="H113" s="398">
        <v>27610</v>
      </c>
      <c r="I113" s="398">
        <v>27700</v>
      </c>
      <c r="J113" s="398">
        <v>26890</v>
      </c>
      <c r="K113" s="398">
        <v>26030</v>
      </c>
      <c r="L113" s="398">
        <v>25760</v>
      </c>
      <c r="M113" s="398">
        <v>25810</v>
      </c>
      <c r="N113" s="398">
        <v>26000</v>
      </c>
      <c r="O113" s="398">
        <v>26380</v>
      </c>
      <c r="P113" s="398">
        <v>26140</v>
      </c>
      <c r="Q113" s="398">
        <v>26930</v>
      </c>
      <c r="R113" s="398">
        <v>26460</v>
      </c>
      <c r="S113" s="398">
        <v>25310</v>
      </c>
      <c r="T113" s="398">
        <v>24350</v>
      </c>
      <c r="U113" s="398">
        <v>23390</v>
      </c>
      <c r="V113" s="398">
        <v>22360</v>
      </c>
      <c r="W113" s="398">
        <v>22380</v>
      </c>
      <c r="X113" s="398">
        <v>22190</v>
      </c>
      <c r="Y113" s="398">
        <v>23050</v>
      </c>
      <c r="Z113" s="398">
        <v>23370</v>
      </c>
      <c r="AA113" s="398">
        <v>23800</v>
      </c>
      <c r="AB113" s="398">
        <v>24490</v>
      </c>
      <c r="AC113" s="398">
        <v>25280</v>
      </c>
      <c r="AD113" s="398">
        <v>25600</v>
      </c>
      <c r="AE113" s="398">
        <v>25960</v>
      </c>
      <c r="AF113" s="398">
        <v>26400</v>
      </c>
      <c r="AG113" s="398">
        <v>26420</v>
      </c>
      <c r="AH113" s="398">
        <v>27630</v>
      </c>
      <c r="AI113" s="398">
        <v>28390</v>
      </c>
      <c r="AJ113" s="398">
        <v>29750</v>
      </c>
      <c r="AK113" s="398">
        <v>30130</v>
      </c>
      <c r="AL113" s="398">
        <v>29310</v>
      </c>
      <c r="AM113" s="398">
        <v>29280</v>
      </c>
      <c r="AN113" s="398">
        <v>28860</v>
      </c>
      <c r="AO113" s="398">
        <v>28940</v>
      </c>
      <c r="AP113" s="398">
        <v>28460</v>
      </c>
      <c r="AQ113" s="398">
        <v>28060</v>
      </c>
      <c r="AR113" s="398">
        <v>27910</v>
      </c>
      <c r="AS113" s="398">
        <v>27410</v>
      </c>
      <c r="AT113" s="398">
        <v>28240</v>
      </c>
      <c r="AU113" s="398">
        <v>27640</v>
      </c>
      <c r="AV113" s="398">
        <v>26880</v>
      </c>
      <c r="AW113" s="398">
        <v>26760</v>
      </c>
      <c r="AX113" s="398">
        <v>27540</v>
      </c>
      <c r="AY113" s="398">
        <v>27330</v>
      </c>
      <c r="AZ113" s="398">
        <v>27970</v>
      </c>
      <c r="BA113" s="398">
        <v>28920</v>
      </c>
      <c r="BB113" s="398">
        <v>29640</v>
      </c>
      <c r="BC113" s="398">
        <v>29020</v>
      </c>
      <c r="BD113" s="398">
        <v>29570</v>
      </c>
      <c r="BE113" s="398">
        <v>28990</v>
      </c>
      <c r="BF113" s="398">
        <v>28380</v>
      </c>
    </row>
    <row r="114" spans="1:58" x14ac:dyDescent="0.2">
      <c r="A114" s="399" t="s">
        <v>55</v>
      </c>
      <c r="B114" s="247"/>
      <c r="C114" s="398">
        <v>23360</v>
      </c>
      <c r="D114" s="398">
        <v>23840</v>
      </c>
      <c r="E114" s="398">
        <v>24330</v>
      </c>
      <c r="F114" s="398">
        <v>25430</v>
      </c>
      <c r="G114" s="398">
        <v>25850</v>
      </c>
      <c r="H114" s="398">
        <v>27060</v>
      </c>
      <c r="I114" s="398">
        <v>27480</v>
      </c>
      <c r="J114" s="398">
        <v>27590</v>
      </c>
      <c r="K114" s="398">
        <v>26800</v>
      </c>
      <c r="L114" s="398">
        <v>25960</v>
      </c>
      <c r="M114" s="398">
        <v>25690</v>
      </c>
      <c r="N114" s="398">
        <v>25750</v>
      </c>
      <c r="O114" s="398">
        <v>25940</v>
      </c>
      <c r="P114" s="398">
        <v>26330</v>
      </c>
      <c r="Q114" s="398">
        <v>26090</v>
      </c>
      <c r="R114" s="398">
        <v>26880</v>
      </c>
      <c r="S114" s="398">
        <v>26410</v>
      </c>
      <c r="T114" s="398">
        <v>25260</v>
      </c>
      <c r="U114" s="398">
        <v>24310</v>
      </c>
      <c r="V114" s="398">
        <v>23350</v>
      </c>
      <c r="W114" s="398">
        <v>22320</v>
      </c>
      <c r="X114" s="398">
        <v>22340</v>
      </c>
      <c r="Y114" s="398">
        <v>22150</v>
      </c>
      <c r="Z114" s="398">
        <v>23010</v>
      </c>
      <c r="AA114" s="398">
        <v>23330</v>
      </c>
      <c r="AB114" s="398">
        <v>23770</v>
      </c>
      <c r="AC114" s="398">
        <v>24460</v>
      </c>
      <c r="AD114" s="398">
        <v>25250</v>
      </c>
      <c r="AE114" s="398">
        <v>25570</v>
      </c>
      <c r="AF114" s="398">
        <v>25930</v>
      </c>
      <c r="AG114" s="398">
        <v>26370</v>
      </c>
      <c r="AH114" s="398">
        <v>26390</v>
      </c>
      <c r="AI114" s="398">
        <v>27600</v>
      </c>
      <c r="AJ114" s="398">
        <v>28360</v>
      </c>
      <c r="AK114" s="398">
        <v>29730</v>
      </c>
      <c r="AL114" s="398">
        <v>30100</v>
      </c>
      <c r="AM114" s="398">
        <v>29290</v>
      </c>
      <c r="AN114" s="398">
        <v>29260</v>
      </c>
      <c r="AO114" s="398">
        <v>28840</v>
      </c>
      <c r="AP114" s="398">
        <v>28920</v>
      </c>
      <c r="AQ114" s="398">
        <v>28440</v>
      </c>
      <c r="AR114" s="398">
        <v>28040</v>
      </c>
      <c r="AS114" s="398">
        <v>27890</v>
      </c>
      <c r="AT114" s="398">
        <v>27380</v>
      </c>
      <c r="AU114" s="398">
        <v>28220</v>
      </c>
      <c r="AV114" s="398">
        <v>27620</v>
      </c>
      <c r="AW114" s="398">
        <v>26860</v>
      </c>
      <c r="AX114" s="398">
        <v>26730</v>
      </c>
      <c r="AY114" s="398">
        <v>27520</v>
      </c>
      <c r="AZ114" s="398">
        <v>27310</v>
      </c>
      <c r="BA114" s="398">
        <v>27950</v>
      </c>
      <c r="BB114" s="398">
        <v>28900</v>
      </c>
      <c r="BC114" s="398">
        <v>29620</v>
      </c>
      <c r="BD114" s="398">
        <v>29000</v>
      </c>
      <c r="BE114" s="398">
        <v>29560</v>
      </c>
      <c r="BF114" s="398">
        <v>28970</v>
      </c>
    </row>
    <row r="115" spans="1:58" x14ac:dyDescent="0.2">
      <c r="A115" s="399" t="s">
        <v>56</v>
      </c>
      <c r="B115" s="247"/>
      <c r="C115" s="398">
        <v>22380</v>
      </c>
      <c r="D115" s="398">
        <v>23170</v>
      </c>
      <c r="E115" s="398">
        <v>23630</v>
      </c>
      <c r="F115" s="398">
        <v>24130</v>
      </c>
      <c r="G115" s="398">
        <v>25280</v>
      </c>
      <c r="H115" s="398">
        <v>25640</v>
      </c>
      <c r="I115" s="398">
        <v>26840</v>
      </c>
      <c r="J115" s="398">
        <v>27280</v>
      </c>
      <c r="K115" s="398">
        <v>27420</v>
      </c>
      <c r="L115" s="398">
        <v>26670</v>
      </c>
      <c r="M115" s="398">
        <v>25830</v>
      </c>
      <c r="N115" s="398">
        <v>25580</v>
      </c>
      <c r="O115" s="398">
        <v>25650</v>
      </c>
      <c r="P115" s="398">
        <v>25850</v>
      </c>
      <c r="Q115" s="398">
        <v>26240</v>
      </c>
      <c r="R115" s="398">
        <v>26010</v>
      </c>
      <c r="S115" s="398">
        <v>26810</v>
      </c>
      <c r="T115" s="398">
        <v>26350</v>
      </c>
      <c r="U115" s="398">
        <v>25200</v>
      </c>
      <c r="V115" s="398">
        <v>24260</v>
      </c>
      <c r="W115" s="398">
        <v>23300</v>
      </c>
      <c r="X115" s="398">
        <v>22270</v>
      </c>
      <c r="Y115" s="398">
        <v>22290</v>
      </c>
      <c r="Z115" s="398">
        <v>22110</v>
      </c>
      <c r="AA115" s="398">
        <v>22970</v>
      </c>
      <c r="AB115" s="398">
        <v>23300</v>
      </c>
      <c r="AC115" s="398">
        <v>23730</v>
      </c>
      <c r="AD115" s="398">
        <v>24430</v>
      </c>
      <c r="AE115" s="398">
        <v>25220</v>
      </c>
      <c r="AF115" s="398">
        <v>25540</v>
      </c>
      <c r="AG115" s="398">
        <v>25900</v>
      </c>
      <c r="AH115" s="398">
        <v>26350</v>
      </c>
      <c r="AI115" s="398">
        <v>26360</v>
      </c>
      <c r="AJ115" s="398">
        <v>27580</v>
      </c>
      <c r="AK115" s="398">
        <v>28340</v>
      </c>
      <c r="AL115" s="398">
        <v>29710</v>
      </c>
      <c r="AM115" s="398">
        <v>30090</v>
      </c>
      <c r="AN115" s="398">
        <v>29270</v>
      </c>
      <c r="AO115" s="398">
        <v>29240</v>
      </c>
      <c r="AP115" s="398">
        <v>28830</v>
      </c>
      <c r="AQ115" s="398">
        <v>28900</v>
      </c>
      <c r="AR115" s="398">
        <v>28420</v>
      </c>
      <c r="AS115" s="398">
        <v>28020</v>
      </c>
      <c r="AT115" s="398">
        <v>27870</v>
      </c>
      <c r="AU115" s="398">
        <v>27370</v>
      </c>
      <c r="AV115" s="398">
        <v>28210</v>
      </c>
      <c r="AW115" s="398">
        <v>27610</v>
      </c>
      <c r="AX115" s="398">
        <v>26840</v>
      </c>
      <c r="AY115" s="398">
        <v>26720</v>
      </c>
      <c r="AZ115" s="398">
        <v>27510</v>
      </c>
      <c r="BA115" s="398">
        <v>27300</v>
      </c>
      <c r="BB115" s="398">
        <v>27940</v>
      </c>
      <c r="BC115" s="398">
        <v>28890</v>
      </c>
      <c r="BD115" s="398">
        <v>29620</v>
      </c>
      <c r="BE115" s="398">
        <v>29000</v>
      </c>
      <c r="BF115" s="398">
        <v>29550</v>
      </c>
    </row>
    <row r="116" spans="1:58" x14ac:dyDescent="0.2">
      <c r="A116" s="399" t="s">
        <v>57</v>
      </c>
      <c r="B116" s="247"/>
      <c r="C116" s="398">
        <v>21520</v>
      </c>
      <c r="D116" s="398">
        <v>22090</v>
      </c>
      <c r="E116" s="398">
        <v>22870</v>
      </c>
      <c r="F116" s="398">
        <v>23350</v>
      </c>
      <c r="G116" s="398">
        <v>23950</v>
      </c>
      <c r="H116" s="398">
        <v>25020</v>
      </c>
      <c r="I116" s="398">
        <v>25370</v>
      </c>
      <c r="J116" s="398">
        <v>26590</v>
      </c>
      <c r="K116" s="398">
        <v>27060</v>
      </c>
      <c r="L116" s="398">
        <v>27240</v>
      </c>
      <c r="M116" s="398">
        <v>26500</v>
      </c>
      <c r="N116" s="398">
        <v>25690</v>
      </c>
      <c r="O116" s="398">
        <v>25450</v>
      </c>
      <c r="P116" s="398">
        <v>25530</v>
      </c>
      <c r="Q116" s="398">
        <v>25740</v>
      </c>
      <c r="R116" s="398">
        <v>26150</v>
      </c>
      <c r="S116" s="398">
        <v>25930</v>
      </c>
      <c r="T116" s="398">
        <v>26730</v>
      </c>
      <c r="U116" s="398">
        <v>26280</v>
      </c>
      <c r="V116" s="398">
        <v>25150</v>
      </c>
      <c r="W116" s="398">
        <v>24210</v>
      </c>
      <c r="X116" s="398">
        <v>23250</v>
      </c>
      <c r="Y116" s="398">
        <v>22230</v>
      </c>
      <c r="Z116" s="398">
        <v>22260</v>
      </c>
      <c r="AA116" s="398">
        <v>22080</v>
      </c>
      <c r="AB116" s="398">
        <v>22940</v>
      </c>
      <c r="AC116" s="398">
        <v>23270</v>
      </c>
      <c r="AD116" s="398">
        <v>23710</v>
      </c>
      <c r="AE116" s="398">
        <v>24410</v>
      </c>
      <c r="AF116" s="398">
        <v>25200</v>
      </c>
      <c r="AG116" s="398">
        <v>25520</v>
      </c>
      <c r="AH116" s="398">
        <v>25890</v>
      </c>
      <c r="AI116" s="398">
        <v>26330</v>
      </c>
      <c r="AJ116" s="398">
        <v>26350</v>
      </c>
      <c r="AK116" s="398">
        <v>27570</v>
      </c>
      <c r="AL116" s="398">
        <v>28330</v>
      </c>
      <c r="AM116" s="398">
        <v>29700</v>
      </c>
      <c r="AN116" s="398">
        <v>30080</v>
      </c>
      <c r="AO116" s="398">
        <v>29260</v>
      </c>
      <c r="AP116" s="398">
        <v>29240</v>
      </c>
      <c r="AQ116" s="398">
        <v>28820</v>
      </c>
      <c r="AR116" s="398">
        <v>28900</v>
      </c>
      <c r="AS116" s="398">
        <v>28410</v>
      </c>
      <c r="AT116" s="398">
        <v>28020</v>
      </c>
      <c r="AU116" s="398">
        <v>27870</v>
      </c>
      <c r="AV116" s="398">
        <v>27360</v>
      </c>
      <c r="AW116" s="398">
        <v>28200</v>
      </c>
      <c r="AX116" s="398">
        <v>27600</v>
      </c>
      <c r="AY116" s="398">
        <v>26840</v>
      </c>
      <c r="AZ116" s="398">
        <v>26720</v>
      </c>
      <c r="BA116" s="398">
        <v>27510</v>
      </c>
      <c r="BB116" s="398">
        <v>27300</v>
      </c>
      <c r="BC116" s="398">
        <v>27940</v>
      </c>
      <c r="BD116" s="398">
        <v>28890</v>
      </c>
      <c r="BE116" s="398">
        <v>29620</v>
      </c>
      <c r="BF116" s="398">
        <v>29000</v>
      </c>
    </row>
    <row r="117" spans="1:58" x14ac:dyDescent="0.2">
      <c r="A117" s="399" t="s">
        <v>58</v>
      </c>
      <c r="B117" s="247"/>
      <c r="C117" s="398">
        <v>20290</v>
      </c>
      <c r="D117" s="398">
        <v>21200</v>
      </c>
      <c r="E117" s="398">
        <v>21770</v>
      </c>
      <c r="F117" s="398">
        <v>22590</v>
      </c>
      <c r="G117" s="398">
        <v>23130</v>
      </c>
      <c r="H117" s="398">
        <v>23660</v>
      </c>
      <c r="I117" s="398">
        <v>24740</v>
      </c>
      <c r="J117" s="398">
        <v>25120</v>
      </c>
      <c r="K117" s="398">
        <v>26380</v>
      </c>
      <c r="L117" s="398">
        <v>26880</v>
      </c>
      <c r="M117" s="398">
        <v>27070</v>
      </c>
      <c r="N117" s="398">
        <v>26360</v>
      </c>
      <c r="O117" s="398">
        <v>25570</v>
      </c>
      <c r="P117" s="398">
        <v>25350</v>
      </c>
      <c r="Q117" s="398">
        <v>25440</v>
      </c>
      <c r="R117" s="398">
        <v>25670</v>
      </c>
      <c r="S117" s="398">
        <v>26090</v>
      </c>
      <c r="T117" s="398">
        <v>25880</v>
      </c>
      <c r="U117" s="398">
        <v>26700</v>
      </c>
      <c r="V117" s="398">
        <v>26260</v>
      </c>
      <c r="W117" s="398">
        <v>25130</v>
      </c>
      <c r="X117" s="398">
        <v>24200</v>
      </c>
      <c r="Y117" s="398">
        <v>23250</v>
      </c>
      <c r="Z117" s="398">
        <v>22240</v>
      </c>
      <c r="AA117" s="398">
        <v>22270</v>
      </c>
      <c r="AB117" s="398">
        <v>22090</v>
      </c>
      <c r="AC117" s="398">
        <v>22960</v>
      </c>
      <c r="AD117" s="398">
        <v>23290</v>
      </c>
      <c r="AE117" s="398">
        <v>23730</v>
      </c>
      <c r="AF117" s="398">
        <v>24430</v>
      </c>
      <c r="AG117" s="398">
        <v>25230</v>
      </c>
      <c r="AH117" s="398">
        <v>25550</v>
      </c>
      <c r="AI117" s="398">
        <v>25910</v>
      </c>
      <c r="AJ117" s="398">
        <v>26360</v>
      </c>
      <c r="AK117" s="398">
        <v>26380</v>
      </c>
      <c r="AL117" s="398">
        <v>27600</v>
      </c>
      <c r="AM117" s="398">
        <v>28370</v>
      </c>
      <c r="AN117" s="398">
        <v>29740</v>
      </c>
      <c r="AO117" s="398">
        <v>30120</v>
      </c>
      <c r="AP117" s="398">
        <v>29310</v>
      </c>
      <c r="AQ117" s="398">
        <v>29280</v>
      </c>
      <c r="AR117" s="398">
        <v>28860</v>
      </c>
      <c r="AS117" s="398">
        <v>28940</v>
      </c>
      <c r="AT117" s="398">
        <v>28460</v>
      </c>
      <c r="AU117" s="398">
        <v>28060</v>
      </c>
      <c r="AV117" s="398">
        <v>27910</v>
      </c>
      <c r="AW117" s="398">
        <v>27400</v>
      </c>
      <c r="AX117" s="398">
        <v>28250</v>
      </c>
      <c r="AY117" s="398">
        <v>27640</v>
      </c>
      <c r="AZ117" s="398">
        <v>26880</v>
      </c>
      <c r="BA117" s="398">
        <v>26760</v>
      </c>
      <c r="BB117" s="398">
        <v>27550</v>
      </c>
      <c r="BC117" s="398">
        <v>27340</v>
      </c>
      <c r="BD117" s="398">
        <v>27990</v>
      </c>
      <c r="BE117" s="398">
        <v>28940</v>
      </c>
      <c r="BF117" s="398">
        <v>29670</v>
      </c>
    </row>
    <row r="118" spans="1:58" x14ac:dyDescent="0.2">
      <c r="A118" s="399" t="s">
        <v>59</v>
      </c>
      <c r="B118" s="247"/>
      <c r="C118" s="398">
        <v>19620</v>
      </c>
      <c r="D118" s="398">
        <v>19940</v>
      </c>
      <c r="E118" s="398">
        <v>20860</v>
      </c>
      <c r="F118" s="398">
        <v>21470</v>
      </c>
      <c r="G118" s="398">
        <v>22350</v>
      </c>
      <c r="H118" s="398">
        <v>22870</v>
      </c>
      <c r="I118" s="398">
        <v>23410</v>
      </c>
      <c r="J118" s="398">
        <v>24530</v>
      </c>
      <c r="K118" s="398">
        <v>24950</v>
      </c>
      <c r="L118" s="398">
        <v>26240</v>
      </c>
      <c r="M118" s="398">
        <v>26770</v>
      </c>
      <c r="N118" s="398">
        <v>26990</v>
      </c>
      <c r="O118" s="398">
        <v>26310</v>
      </c>
      <c r="P118" s="398">
        <v>25540</v>
      </c>
      <c r="Q118" s="398">
        <v>25340</v>
      </c>
      <c r="R118" s="398">
        <v>25450</v>
      </c>
      <c r="S118" s="398">
        <v>25690</v>
      </c>
      <c r="T118" s="398">
        <v>26130</v>
      </c>
      <c r="U118" s="398">
        <v>25940</v>
      </c>
      <c r="V118" s="398">
        <v>26770</v>
      </c>
      <c r="W118" s="398">
        <v>26340</v>
      </c>
      <c r="X118" s="398">
        <v>25220</v>
      </c>
      <c r="Y118" s="398">
        <v>24300</v>
      </c>
      <c r="Z118" s="398">
        <v>23350</v>
      </c>
      <c r="AA118" s="398">
        <v>22340</v>
      </c>
      <c r="AB118" s="398">
        <v>22370</v>
      </c>
      <c r="AC118" s="398">
        <v>22200</v>
      </c>
      <c r="AD118" s="398">
        <v>23080</v>
      </c>
      <c r="AE118" s="398">
        <v>23410</v>
      </c>
      <c r="AF118" s="398">
        <v>23850</v>
      </c>
      <c r="AG118" s="398">
        <v>24560</v>
      </c>
      <c r="AH118" s="398">
        <v>25360</v>
      </c>
      <c r="AI118" s="398">
        <v>25680</v>
      </c>
      <c r="AJ118" s="398">
        <v>26050</v>
      </c>
      <c r="AK118" s="398">
        <v>26500</v>
      </c>
      <c r="AL118" s="398">
        <v>26510</v>
      </c>
      <c r="AM118" s="398">
        <v>27750</v>
      </c>
      <c r="AN118" s="398">
        <v>28520</v>
      </c>
      <c r="AO118" s="398">
        <v>29900</v>
      </c>
      <c r="AP118" s="398">
        <v>30290</v>
      </c>
      <c r="AQ118" s="398">
        <v>29470</v>
      </c>
      <c r="AR118" s="398">
        <v>29440</v>
      </c>
      <c r="AS118" s="398">
        <v>29020</v>
      </c>
      <c r="AT118" s="398">
        <v>29100</v>
      </c>
      <c r="AU118" s="398">
        <v>28610</v>
      </c>
      <c r="AV118" s="398">
        <v>28220</v>
      </c>
      <c r="AW118" s="398">
        <v>28070</v>
      </c>
      <c r="AX118" s="398">
        <v>27560</v>
      </c>
      <c r="AY118" s="398">
        <v>28410</v>
      </c>
      <c r="AZ118" s="398">
        <v>27800</v>
      </c>
      <c r="BA118" s="398">
        <v>27030</v>
      </c>
      <c r="BB118" s="398">
        <v>26910</v>
      </c>
      <c r="BC118" s="398">
        <v>27710</v>
      </c>
      <c r="BD118" s="398">
        <v>27500</v>
      </c>
      <c r="BE118" s="398">
        <v>28150</v>
      </c>
      <c r="BF118" s="398">
        <v>29110</v>
      </c>
    </row>
    <row r="119" spans="1:58" x14ac:dyDescent="0.2">
      <c r="A119" s="399" t="s">
        <v>60</v>
      </c>
      <c r="B119" s="247"/>
      <c r="C119" s="398">
        <v>18880</v>
      </c>
      <c r="D119" s="398">
        <v>19260</v>
      </c>
      <c r="E119" s="398">
        <v>19640</v>
      </c>
      <c r="F119" s="398">
        <v>20570</v>
      </c>
      <c r="G119" s="398">
        <v>21230</v>
      </c>
      <c r="H119" s="398">
        <v>22080</v>
      </c>
      <c r="I119" s="398">
        <v>22640</v>
      </c>
      <c r="J119" s="398">
        <v>23210</v>
      </c>
      <c r="K119" s="398">
        <v>24360</v>
      </c>
      <c r="L119" s="398">
        <v>24830</v>
      </c>
      <c r="M119" s="398">
        <v>26140</v>
      </c>
      <c r="N119" s="398">
        <v>26700</v>
      </c>
      <c r="O119" s="398">
        <v>26940</v>
      </c>
      <c r="P119" s="398">
        <v>26290</v>
      </c>
      <c r="Q119" s="398">
        <v>25540</v>
      </c>
      <c r="R119" s="398">
        <v>25360</v>
      </c>
      <c r="S119" s="398">
        <v>25490</v>
      </c>
      <c r="T119" s="398">
        <v>25750</v>
      </c>
      <c r="U119" s="398">
        <v>26210</v>
      </c>
      <c r="V119" s="398">
        <v>26030</v>
      </c>
      <c r="W119" s="398">
        <v>26880</v>
      </c>
      <c r="X119" s="398">
        <v>26460</v>
      </c>
      <c r="Y119" s="398">
        <v>25340</v>
      </c>
      <c r="Z119" s="398">
        <v>24420</v>
      </c>
      <c r="AA119" s="398">
        <v>23480</v>
      </c>
      <c r="AB119" s="398">
        <v>22460</v>
      </c>
      <c r="AC119" s="398">
        <v>22500</v>
      </c>
      <c r="AD119" s="398">
        <v>22320</v>
      </c>
      <c r="AE119" s="398">
        <v>23210</v>
      </c>
      <c r="AF119" s="398">
        <v>23540</v>
      </c>
      <c r="AG119" s="398">
        <v>23990</v>
      </c>
      <c r="AH119" s="398">
        <v>24690</v>
      </c>
      <c r="AI119" s="398">
        <v>25500</v>
      </c>
      <c r="AJ119" s="398">
        <v>25820</v>
      </c>
      <c r="AK119" s="398">
        <v>26190</v>
      </c>
      <c r="AL119" s="398">
        <v>26650</v>
      </c>
      <c r="AM119" s="398">
        <v>26670</v>
      </c>
      <c r="AN119" s="398">
        <v>27910</v>
      </c>
      <c r="AO119" s="398">
        <v>28690</v>
      </c>
      <c r="AP119" s="398">
        <v>30080</v>
      </c>
      <c r="AQ119" s="398">
        <v>30460</v>
      </c>
      <c r="AR119" s="398">
        <v>29640</v>
      </c>
      <c r="AS119" s="398">
        <v>29610</v>
      </c>
      <c r="AT119" s="398">
        <v>29190</v>
      </c>
      <c r="AU119" s="398">
        <v>29280</v>
      </c>
      <c r="AV119" s="398">
        <v>28790</v>
      </c>
      <c r="AW119" s="398">
        <v>28390</v>
      </c>
      <c r="AX119" s="398">
        <v>28240</v>
      </c>
      <c r="AY119" s="398">
        <v>27730</v>
      </c>
      <c r="AZ119" s="398">
        <v>28580</v>
      </c>
      <c r="BA119" s="398">
        <v>27970</v>
      </c>
      <c r="BB119" s="398">
        <v>27200</v>
      </c>
      <c r="BC119" s="398">
        <v>27080</v>
      </c>
      <c r="BD119" s="398">
        <v>27880</v>
      </c>
      <c r="BE119" s="398">
        <v>27670</v>
      </c>
      <c r="BF119" s="398">
        <v>28330</v>
      </c>
    </row>
    <row r="120" spans="1:58" x14ac:dyDescent="0.2">
      <c r="A120" s="399" t="s">
        <v>61</v>
      </c>
      <c r="B120" s="247"/>
      <c r="C120" s="398">
        <v>18540</v>
      </c>
      <c r="D120" s="398">
        <v>18560</v>
      </c>
      <c r="E120" s="398">
        <v>18920</v>
      </c>
      <c r="F120" s="398">
        <v>19390</v>
      </c>
      <c r="G120" s="398">
        <v>20340</v>
      </c>
      <c r="H120" s="398">
        <v>21030</v>
      </c>
      <c r="I120" s="398">
        <v>21870</v>
      </c>
      <c r="J120" s="398">
        <v>22460</v>
      </c>
      <c r="K120" s="398">
        <v>23090</v>
      </c>
      <c r="L120" s="398">
        <v>24280</v>
      </c>
      <c r="M120" s="398">
        <v>24770</v>
      </c>
      <c r="N120" s="398">
        <v>26110</v>
      </c>
      <c r="O120" s="398">
        <v>26700</v>
      </c>
      <c r="P120" s="398">
        <v>26980</v>
      </c>
      <c r="Q120" s="398">
        <v>26340</v>
      </c>
      <c r="R120" s="398">
        <v>25620</v>
      </c>
      <c r="S120" s="398">
        <v>25460</v>
      </c>
      <c r="T120" s="398">
        <v>25610</v>
      </c>
      <c r="U120" s="398">
        <v>25890</v>
      </c>
      <c r="V120" s="398">
        <v>26360</v>
      </c>
      <c r="W120" s="398">
        <v>26200</v>
      </c>
      <c r="X120" s="398">
        <v>27070</v>
      </c>
      <c r="Y120" s="398">
        <v>26660</v>
      </c>
      <c r="Z120" s="398">
        <v>25540</v>
      </c>
      <c r="AA120" s="398">
        <v>24620</v>
      </c>
      <c r="AB120" s="398">
        <v>23670</v>
      </c>
      <c r="AC120" s="398">
        <v>22650</v>
      </c>
      <c r="AD120" s="398">
        <v>22690</v>
      </c>
      <c r="AE120" s="398">
        <v>22510</v>
      </c>
      <c r="AF120" s="398">
        <v>23400</v>
      </c>
      <c r="AG120" s="398">
        <v>23740</v>
      </c>
      <c r="AH120" s="398">
        <v>24180</v>
      </c>
      <c r="AI120" s="398">
        <v>24890</v>
      </c>
      <c r="AJ120" s="398">
        <v>25710</v>
      </c>
      <c r="AK120" s="398">
        <v>26030</v>
      </c>
      <c r="AL120" s="398">
        <v>26410</v>
      </c>
      <c r="AM120" s="398">
        <v>26870</v>
      </c>
      <c r="AN120" s="398">
        <v>26890</v>
      </c>
      <c r="AO120" s="398">
        <v>28140</v>
      </c>
      <c r="AP120" s="398">
        <v>28930</v>
      </c>
      <c r="AQ120" s="398">
        <v>30330</v>
      </c>
      <c r="AR120" s="398">
        <v>30720</v>
      </c>
      <c r="AS120" s="398">
        <v>29890</v>
      </c>
      <c r="AT120" s="398">
        <v>29860</v>
      </c>
      <c r="AU120" s="398">
        <v>29440</v>
      </c>
      <c r="AV120" s="398">
        <v>29520</v>
      </c>
      <c r="AW120" s="398">
        <v>29030</v>
      </c>
      <c r="AX120" s="398">
        <v>28630</v>
      </c>
      <c r="AY120" s="398">
        <v>28480</v>
      </c>
      <c r="AZ120" s="398">
        <v>27970</v>
      </c>
      <c r="BA120" s="398">
        <v>28830</v>
      </c>
      <c r="BB120" s="398">
        <v>28210</v>
      </c>
      <c r="BC120" s="398">
        <v>27430</v>
      </c>
      <c r="BD120" s="398">
        <v>27310</v>
      </c>
      <c r="BE120" s="398">
        <v>28130</v>
      </c>
      <c r="BF120" s="398">
        <v>27910</v>
      </c>
    </row>
    <row r="121" spans="1:58" x14ac:dyDescent="0.2">
      <c r="A121" s="399" t="s">
        <v>62</v>
      </c>
      <c r="B121" s="247"/>
      <c r="C121" s="398">
        <v>17430</v>
      </c>
      <c r="D121" s="398">
        <v>18190</v>
      </c>
      <c r="E121" s="398">
        <v>18240</v>
      </c>
      <c r="F121" s="398">
        <v>18640</v>
      </c>
      <c r="G121" s="398">
        <v>19180</v>
      </c>
      <c r="H121" s="398">
        <v>20130</v>
      </c>
      <c r="I121" s="398">
        <v>20820</v>
      </c>
      <c r="J121" s="398">
        <v>21700</v>
      </c>
      <c r="K121" s="398">
        <v>22340</v>
      </c>
      <c r="L121" s="398">
        <v>23000</v>
      </c>
      <c r="M121" s="398">
        <v>24210</v>
      </c>
      <c r="N121" s="398">
        <v>24740</v>
      </c>
      <c r="O121" s="398">
        <v>26110</v>
      </c>
      <c r="P121" s="398">
        <v>26720</v>
      </c>
      <c r="Q121" s="398">
        <v>27020</v>
      </c>
      <c r="R121" s="398">
        <v>26410</v>
      </c>
      <c r="S121" s="398">
        <v>25710</v>
      </c>
      <c r="T121" s="398">
        <v>25560</v>
      </c>
      <c r="U121" s="398">
        <v>25740</v>
      </c>
      <c r="V121" s="398">
        <v>26030</v>
      </c>
      <c r="W121" s="398">
        <v>26520</v>
      </c>
      <c r="X121" s="398">
        <v>26360</v>
      </c>
      <c r="Y121" s="398">
        <v>27250</v>
      </c>
      <c r="Z121" s="398">
        <v>26840</v>
      </c>
      <c r="AA121" s="398">
        <v>25720</v>
      </c>
      <c r="AB121" s="398">
        <v>24790</v>
      </c>
      <c r="AC121" s="398">
        <v>23850</v>
      </c>
      <c r="AD121" s="398">
        <v>22820</v>
      </c>
      <c r="AE121" s="398">
        <v>22860</v>
      </c>
      <c r="AF121" s="398">
        <v>22670</v>
      </c>
      <c r="AG121" s="398">
        <v>23570</v>
      </c>
      <c r="AH121" s="398">
        <v>23900</v>
      </c>
      <c r="AI121" s="398">
        <v>24350</v>
      </c>
      <c r="AJ121" s="398">
        <v>25070</v>
      </c>
      <c r="AK121" s="398">
        <v>25890</v>
      </c>
      <c r="AL121" s="398">
        <v>26210</v>
      </c>
      <c r="AM121" s="398">
        <v>26590</v>
      </c>
      <c r="AN121" s="398">
        <v>27060</v>
      </c>
      <c r="AO121" s="398">
        <v>27080</v>
      </c>
      <c r="AP121" s="398">
        <v>28340</v>
      </c>
      <c r="AQ121" s="398">
        <v>29130</v>
      </c>
      <c r="AR121" s="398">
        <v>30540</v>
      </c>
      <c r="AS121" s="398">
        <v>30940</v>
      </c>
      <c r="AT121" s="398">
        <v>30100</v>
      </c>
      <c r="AU121" s="398">
        <v>30080</v>
      </c>
      <c r="AV121" s="398">
        <v>29650</v>
      </c>
      <c r="AW121" s="398">
        <v>29740</v>
      </c>
      <c r="AX121" s="398">
        <v>29240</v>
      </c>
      <c r="AY121" s="398">
        <v>28840</v>
      </c>
      <c r="AZ121" s="398">
        <v>28690</v>
      </c>
      <c r="BA121" s="398">
        <v>28170</v>
      </c>
      <c r="BB121" s="398">
        <v>29040</v>
      </c>
      <c r="BC121" s="398">
        <v>28420</v>
      </c>
      <c r="BD121" s="398">
        <v>27640</v>
      </c>
      <c r="BE121" s="398">
        <v>27520</v>
      </c>
      <c r="BF121" s="398">
        <v>28340</v>
      </c>
    </row>
    <row r="122" spans="1:58" x14ac:dyDescent="0.2">
      <c r="A122" s="399" t="s">
        <v>63</v>
      </c>
      <c r="B122" s="247"/>
      <c r="C122" s="398">
        <v>17180</v>
      </c>
      <c r="D122" s="398">
        <v>17110</v>
      </c>
      <c r="E122" s="398">
        <v>17860</v>
      </c>
      <c r="F122" s="398">
        <v>17950</v>
      </c>
      <c r="G122" s="398">
        <v>18420</v>
      </c>
      <c r="H122" s="398">
        <v>18950</v>
      </c>
      <c r="I122" s="398">
        <v>19900</v>
      </c>
      <c r="J122" s="398">
        <v>20630</v>
      </c>
      <c r="K122" s="398">
        <v>21540</v>
      </c>
      <c r="L122" s="398">
        <v>22200</v>
      </c>
      <c r="M122" s="398">
        <v>22890</v>
      </c>
      <c r="N122" s="398">
        <v>24120</v>
      </c>
      <c r="O122" s="398">
        <v>24670</v>
      </c>
      <c r="P122" s="398">
        <v>26050</v>
      </c>
      <c r="Q122" s="398">
        <v>26680</v>
      </c>
      <c r="R122" s="398">
        <v>27000</v>
      </c>
      <c r="S122" s="398">
        <v>26410</v>
      </c>
      <c r="T122" s="398">
        <v>25720</v>
      </c>
      <c r="U122" s="398">
        <v>25590</v>
      </c>
      <c r="V122" s="398">
        <v>25770</v>
      </c>
      <c r="W122" s="398">
        <v>26070</v>
      </c>
      <c r="X122" s="398">
        <v>26570</v>
      </c>
      <c r="Y122" s="398">
        <v>26420</v>
      </c>
      <c r="Z122" s="398">
        <v>27310</v>
      </c>
      <c r="AA122" s="398">
        <v>26900</v>
      </c>
      <c r="AB122" s="398">
        <v>25790</v>
      </c>
      <c r="AC122" s="398">
        <v>24860</v>
      </c>
      <c r="AD122" s="398">
        <v>23910</v>
      </c>
      <c r="AE122" s="398">
        <v>22870</v>
      </c>
      <c r="AF122" s="398">
        <v>22910</v>
      </c>
      <c r="AG122" s="398">
        <v>22720</v>
      </c>
      <c r="AH122" s="398">
        <v>23610</v>
      </c>
      <c r="AI122" s="398">
        <v>23940</v>
      </c>
      <c r="AJ122" s="398">
        <v>24390</v>
      </c>
      <c r="AK122" s="398">
        <v>25110</v>
      </c>
      <c r="AL122" s="398">
        <v>25930</v>
      </c>
      <c r="AM122" s="398">
        <v>26260</v>
      </c>
      <c r="AN122" s="398">
        <v>26640</v>
      </c>
      <c r="AO122" s="398">
        <v>27110</v>
      </c>
      <c r="AP122" s="398">
        <v>27130</v>
      </c>
      <c r="AQ122" s="398">
        <v>28390</v>
      </c>
      <c r="AR122" s="398">
        <v>29190</v>
      </c>
      <c r="AS122" s="398">
        <v>30600</v>
      </c>
      <c r="AT122" s="398">
        <v>31000</v>
      </c>
      <c r="AU122" s="398">
        <v>30160</v>
      </c>
      <c r="AV122" s="398">
        <v>30140</v>
      </c>
      <c r="AW122" s="398">
        <v>29720</v>
      </c>
      <c r="AX122" s="398">
        <v>29800</v>
      </c>
      <c r="AY122" s="398">
        <v>29310</v>
      </c>
      <c r="AZ122" s="398">
        <v>28900</v>
      </c>
      <c r="BA122" s="398">
        <v>28750</v>
      </c>
      <c r="BB122" s="398">
        <v>28240</v>
      </c>
      <c r="BC122" s="398">
        <v>29110</v>
      </c>
      <c r="BD122" s="398">
        <v>28490</v>
      </c>
      <c r="BE122" s="398">
        <v>27710</v>
      </c>
      <c r="BF122" s="398">
        <v>27590</v>
      </c>
    </row>
    <row r="123" spans="1:58" x14ac:dyDescent="0.2">
      <c r="A123" s="399" t="s">
        <v>64</v>
      </c>
      <c r="B123" s="247"/>
      <c r="C123" s="398">
        <v>16570</v>
      </c>
      <c r="D123" s="398">
        <v>16710</v>
      </c>
      <c r="E123" s="398">
        <v>16630</v>
      </c>
      <c r="F123" s="398">
        <v>17410</v>
      </c>
      <c r="G123" s="398">
        <v>17530</v>
      </c>
      <c r="H123" s="398">
        <v>18040</v>
      </c>
      <c r="I123" s="398">
        <v>18570</v>
      </c>
      <c r="J123" s="398">
        <v>19530</v>
      </c>
      <c r="K123" s="398">
        <v>20280</v>
      </c>
      <c r="L123" s="398">
        <v>21210</v>
      </c>
      <c r="M123" s="398">
        <v>21900</v>
      </c>
      <c r="N123" s="398">
        <v>22590</v>
      </c>
      <c r="O123" s="398">
        <v>23840</v>
      </c>
      <c r="P123" s="398">
        <v>24400</v>
      </c>
      <c r="Q123" s="398">
        <v>25780</v>
      </c>
      <c r="R123" s="398">
        <v>26430</v>
      </c>
      <c r="S123" s="398">
        <v>26760</v>
      </c>
      <c r="T123" s="398">
        <v>26190</v>
      </c>
      <c r="U123" s="398">
        <v>25520</v>
      </c>
      <c r="V123" s="398">
        <v>25400</v>
      </c>
      <c r="W123" s="398">
        <v>25590</v>
      </c>
      <c r="X123" s="398">
        <v>25900</v>
      </c>
      <c r="Y123" s="398">
        <v>26400</v>
      </c>
      <c r="Z123" s="398">
        <v>26250</v>
      </c>
      <c r="AA123" s="398">
        <v>27130</v>
      </c>
      <c r="AB123" s="398">
        <v>26730</v>
      </c>
      <c r="AC123" s="398">
        <v>25620</v>
      </c>
      <c r="AD123" s="398">
        <v>24700</v>
      </c>
      <c r="AE123" s="398">
        <v>23750</v>
      </c>
      <c r="AF123" s="398">
        <v>22720</v>
      </c>
      <c r="AG123" s="398">
        <v>22750</v>
      </c>
      <c r="AH123" s="398">
        <v>22560</v>
      </c>
      <c r="AI123" s="398">
        <v>23440</v>
      </c>
      <c r="AJ123" s="398">
        <v>23770</v>
      </c>
      <c r="AK123" s="398">
        <v>24220</v>
      </c>
      <c r="AL123" s="398">
        <v>24930</v>
      </c>
      <c r="AM123" s="398">
        <v>25750</v>
      </c>
      <c r="AN123" s="398">
        <v>26070</v>
      </c>
      <c r="AO123" s="398">
        <v>26460</v>
      </c>
      <c r="AP123" s="398">
        <v>26920</v>
      </c>
      <c r="AQ123" s="398">
        <v>26940</v>
      </c>
      <c r="AR123" s="398">
        <v>28190</v>
      </c>
      <c r="AS123" s="398">
        <v>28980</v>
      </c>
      <c r="AT123" s="398">
        <v>30380</v>
      </c>
      <c r="AU123" s="398">
        <v>30780</v>
      </c>
      <c r="AV123" s="398">
        <v>29950</v>
      </c>
      <c r="AW123" s="398">
        <v>29930</v>
      </c>
      <c r="AX123" s="398">
        <v>29510</v>
      </c>
      <c r="AY123" s="398">
        <v>29600</v>
      </c>
      <c r="AZ123" s="398">
        <v>29110</v>
      </c>
      <c r="BA123" s="398">
        <v>28710</v>
      </c>
      <c r="BB123" s="398">
        <v>28560</v>
      </c>
      <c r="BC123" s="398">
        <v>28050</v>
      </c>
      <c r="BD123" s="398">
        <v>28910</v>
      </c>
      <c r="BE123" s="398">
        <v>28300</v>
      </c>
      <c r="BF123" s="398">
        <v>27520</v>
      </c>
    </row>
    <row r="124" spans="1:58" x14ac:dyDescent="0.2">
      <c r="A124" s="399" t="s">
        <v>65</v>
      </c>
      <c r="B124" s="247"/>
      <c r="C124" s="398">
        <v>12920</v>
      </c>
      <c r="D124" s="398">
        <v>15630</v>
      </c>
      <c r="E124" s="398">
        <v>15840</v>
      </c>
      <c r="F124" s="398">
        <v>15790</v>
      </c>
      <c r="G124" s="398">
        <v>16610</v>
      </c>
      <c r="H124" s="398">
        <v>16820</v>
      </c>
      <c r="I124" s="398">
        <v>17330</v>
      </c>
      <c r="J124" s="398">
        <v>17900</v>
      </c>
      <c r="K124" s="398">
        <v>18890</v>
      </c>
      <c r="L124" s="398">
        <v>19680</v>
      </c>
      <c r="M124" s="398">
        <v>20630</v>
      </c>
      <c r="N124" s="398">
        <v>21340</v>
      </c>
      <c r="O124" s="398">
        <v>22060</v>
      </c>
      <c r="P124" s="398">
        <v>23320</v>
      </c>
      <c r="Q124" s="398">
        <v>23900</v>
      </c>
      <c r="R124" s="398">
        <v>25300</v>
      </c>
      <c r="S124" s="398">
        <v>25970</v>
      </c>
      <c r="T124" s="398">
        <v>26330</v>
      </c>
      <c r="U124" s="398">
        <v>25800</v>
      </c>
      <c r="V124" s="398">
        <v>25160</v>
      </c>
      <c r="W124" s="398">
        <v>25070</v>
      </c>
      <c r="X124" s="398">
        <v>25270</v>
      </c>
      <c r="Y124" s="398">
        <v>25590</v>
      </c>
      <c r="Z124" s="398">
        <v>26090</v>
      </c>
      <c r="AA124" s="398">
        <v>25960</v>
      </c>
      <c r="AB124" s="398">
        <v>26840</v>
      </c>
      <c r="AC124" s="398">
        <v>26440</v>
      </c>
      <c r="AD124" s="398">
        <v>25350</v>
      </c>
      <c r="AE124" s="398">
        <v>24430</v>
      </c>
      <c r="AF124" s="398">
        <v>23490</v>
      </c>
      <c r="AG124" s="398">
        <v>22460</v>
      </c>
      <c r="AH124" s="398">
        <v>22490</v>
      </c>
      <c r="AI124" s="398">
        <v>22300</v>
      </c>
      <c r="AJ124" s="398">
        <v>23170</v>
      </c>
      <c r="AK124" s="398">
        <v>23500</v>
      </c>
      <c r="AL124" s="398">
        <v>23940</v>
      </c>
      <c r="AM124" s="398">
        <v>24650</v>
      </c>
      <c r="AN124" s="398">
        <v>25450</v>
      </c>
      <c r="AO124" s="398">
        <v>25780</v>
      </c>
      <c r="AP124" s="398">
        <v>26150</v>
      </c>
      <c r="AQ124" s="398">
        <v>26610</v>
      </c>
      <c r="AR124" s="398">
        <v>26630</v>
      </c>
      <c r="AS124" s="398">
        <v>27870</v>
      </c>
      <c r="AT124" s="398">
        <v>28650</v>
      </c>
      <c r="AU124" s="398">
        <v>30040</v>
      </c>
      <c r="AV124" s="398">
        <v>30430</v>
      </c>
      <c r="AW124" s="398">
        <v>29620</v>
      </c>
      <c r="AX124" s="398">
        <v>29590</v>
      </c>
      <c r="AY124" s="398">
        <v>29180</v>
      </c>
      <c r="AZ124" s="398">
        <v>29270</v>
      </c>
      <c r="BA124" s="398">
        <v>28790</v>
      </c>
      <c r="BB124" s="398">
        <v>28390</v>
      </c>
      <c r="BC124" s="398">
        <v>28250</v>
      </c>
      <c r="BD124" s="398">
        <v>27740</v>
      </c>
      <c r="BE124" s="398">
        <v>28600</v>
      </c>
      <c r="BF124" s="398">
        <v>28000</v>
      </c>
    </row>
    <row r="125" spans="1:58" x14ac:dyDescent="0.2">
      <c r="A125" s="399" t="s">
        <v>66</v>
      </c>
      <c r="B125" s="247"/>
      <c r="C125" s="398">
        <v>11150</v>
      </c>
      <c r="D125" s="398">
        <v>12110</v>
      </c>
      <c r="E125" s="398">
        <v>14730</v>
      </c>
      <c r="F125" s="398">
        <v>15000</v>
      </c>
      <c r="G125" s="398">
        <v>15030</v>
      </c>
      <c r="H125" s="398">
        <v>15880</v>
      </c>
      <c r="I125" s="398">
        <v>16130</v>
      </c>
      <c r="J125" s="398">
        <v>16680</v>
      </c>
      <c r="K125" s="398">
        <v>17290</v>
      </c>
      <c r="L125" s="398">
        <v>18310</v>
      </c>
      <c r="M125" s="398">
        <v>19130</v>
      </c>
      <c r="N125" s="398">
        <v>20100</v>
      </c>
      <c r="O125" s="398">
        <v>20840</v>
      </c>
      <c r="P125" s="398">
        <v>21580</v>
      </c>
      <c r="Q125" s="398">
        <v>22850</v>
      </c>
      <c r="R125" s="398">
        <v>23460</v>
      </c>
      <c r="S125" s="398">
        <v>24870</v>
      </c>
      <c r="T125" s="398">
        <v>25560</v>
      </c>
      <c r="U125" s="398">
        <v>25940</v>
      </c>
      <c r="V125" s="398">
        <v>25450</v>
      </c>
      <c r="W125" s="398">
        <v>24840</v>
      </c>
      <c r="X125" s="398">
        <v>24770</v>
      </c>
      <c r="Y125" s="398">
        <v>24980</v>
      </c>
      <c r="Z125" s="398">
        <v>25310</v>
      </c>
      <c r="AA125" s="398">
        <v>25810</v>
      </c>
      <c r="AB125" s="398">
        <v>25690</v>
      </c>
      <c r="AC125" s="398">
        <v>26550</v>
      </c>
      <c r="AD125" s="398">
        <v>26160</v>
      </c>
      <c r="AE125" s="398">
        <v>25080</v>
      </c>
      <c r="AF125" s="398">
        <v>24170</v>
      </c>
      <c r="AG125" s="398">
        <v>23230</v>
      </c>
      <c r="AH125" s="398">
        <v>22210</v>
      </c>
      <c r="AI125" s="398">
        <v>22230</v>
      </c>
      <c r="AJ125" s="398">
        <v>22050</v>
      </c>
      <c r="AK125" s="398">
        <v>22910</v>
      </c>
      <c r="AL125" s="398">
        <v>23240</v>
      </c>
      <c r="AM125" s="398">
        <v>23680</v>
      </c>
      <c r="AN125" s="398">
        <v>24370</v>
      </c>
      <c r="AO125" s="398">
        <v>25170</v>
      </c>
      <c r="AP125" s="398">
        <v>25490</v>
      </c>
      <c r="AQ125" s="398">
        <v>25860</v>
      </c>
      <c r="AR125" s="398">
        <v>26310</v>
      </c>
      <c r="AS125" s="398">
        <v>26340</v>
      </c>
      <c r="AT125" s="398">
        <v>27560</v>
      </c>
      <c r="AU125" s="398">
        <v>28330</v>
      </c>
      <c r="AV125" s="398">
        <v>29700</v>
      </c>
      <c r="AW125" s="398">
        <v>30090</v>
      </c>
      <c r="AX125" s="398">
        <v>29290</v>
      </c>
      <c r="AY125" s="398">
        <v>29270</v>
      </c>
      <c r="AZ125" s="398">
        <v>28860</v>
      </c>
      <c r="BA125" s="398">
        <v>28950</v>
      </c>
      <c r="BB125" s="398">
        <v>28470</v>
      </c>
      <c r="BC125" s="398">
        <v>28090</v>
      </c>
      <c r="BD125" s="398">
        <v>27940</v>
      </c>
      <c r="BE125" s="398">
        <v>27450</v>
      </c>
      <c r="BF125" s="398">
        <v>28290</v>
      </c>
    </row>
    <row r="126" spans="1:58" x14ac:dyDescent="0.2">
      <c r="A126" s="399" t="s">
        <v>67</v>
      </c>
      <c r="B126" s="247"/>
      <c r="C126" s="398">
        <v>9500</v>
      </c>
      <c r="D126" s="398">
        <v>10370</v>
      </c>
      <c r="E126" s="398">
        <v>11330</v>
      </c>
      <c r="F126" s="398">
        <v>13840</v>
      </c>
      <c r="G126" s="398">
        <v>14180</v>
      </c>
      <c r="H126" s="398">
        <v>14250</v>
      </c>
      <c r="I126" s="398">
        <v>15110</v>
      </c>
      <c r="J126" s="398">
        <v>15400</v>
      </c>
      <c r="K126" s="398">
        <v>15990</v>
      </c>
      <c r="L126" s="398">
        <v>16630</v>
      </c>
      <c r="M126" s="398">
        <v>17650</v>
      </c>
      <c r="N126" s="398">
        <v>18470</v>
      </c>
      <c r="O126" s="398">
        <v>19450</v>
      </c>
      <c r="P126" s="398">
        <v>20200</v>
      </c>
      <c r="Q126" s="398">
        <v>20960</v>
      </c>
      <c r="R126" s="398">
        <v>22220</v>
      </c>
      <c r="S126" s="398">
        <v>22840</v>
      </c>
      <c r="T126" s="398">
        <v>24230</v>
      </c>
      <c r="U126" s="398">
        <v>24930</v>
      </c>
      <c r="V126" s="398">
        <v>25320</v>
      </c>
      <c r="W126" s="398">
        <v>24860</v>
      </c>
      <c r="X126" s="398">
        <v>24280</v>
      </c>
      <c r="Y126" s="398">
        <v>24220</v>
      </c>
      <c r="Z126" s="398">
        <v>24440</v>
      </c>
      <c r="AA126" s="398">
        <v>24760</v>
      </c>
      <c r="AB126" s="398">
        <v>25250</v>
      </c>
      <c r="AC126" s="398">
        <v>25130</v>
      </c>
      <c r="AD126" s="398">
        <v>25970</v>
      </c>
      <c r="AE126" s="398">
        <v>25580</v>
      </c>
      <c r="AF126" s="398">
        <v>24510</v>
      </c>
      <c r="AG126" s="398">
        <v>23610</v>
      </c>
      <c r="AH126" s="398">
        <v>22680</v>
      </c>
      <c r="AI126" s="398">
        <v>21690</v>
      </c>
      <c r="AJ126" s="398">
        <v>21720</v>
      </c>
      <c r="AK126" s="398">
        <v>21540</v>
      </c>
      <c r="AL126" s="398">
        <v>22380</v>
      </c>
      <c r="AM126" s="398">
        <v>22700</v>
      </c>
      <c r="AN126" s="398">
        <v>23130</v>
      </c>
      <c r="AO126" s="398">
        <v>23810</v>
      </c>
      <c r="AP126" s="398">
        <v>24590</v>
      </c>
      <c r="AQ126" s="398">
        <v>24900</v>
      </c>
      <c r="AR126" s="398">
        <v>25270</v>
      </c>
      <c r="AS126" s="398">
        <v>25710</v>
      </c>
      <c r="AT126" s="398">
        <v>25730</v>
      </c>
      <c r="AU126" s="398">
        <v>26920</v>
      </c>
      <c r="AV126" s="398">
        <v>27680</v>
      </c>
      <c r="AW126" s="398">
        <v>29010</v>
      </c>
      <c r="AX126" s="398">
        <v>29390</v>
      </c>
      <c r="AY126" s="398">
        <v>28610</v>
      </c>
      <c r="AZ126" s="398">
        <v>28590</v>
      </c>
      <c r="BA126" s="398">
        <v>28200</v>
      </c>
      <c r="BB126" s="398">
        <v>28280</v>
      </c>
      <c r="BC126" s="398">
        <v>27820</v>
      </c>
      <c r="BD126" s="398">
        <v>27450</v>
      </c>
      <c r="BE126" s="398">
        <v>27310</v>
      </c>
      <c r="BF126" s="398">
        <v>26830</v>
      </c>
    </row>
    <row r="127" spans="1:58" x14ac:dyDescent="0.2">
      <c r="A127" s="399" t="s">
        <v>68</v>
      </c>
      <c r="B127" s="247"/>
      <c r="C127" s="398">
        <v>7540</v>
      </c>
      <c r="D127" s="398">
        <v>8750</v>
      </c>
      <c r="E127" s="398">
        <v>9620</v>
      </c>
      <c r="F127" s="398">
        <v>10570</v>
      </c>
      <c r="G127" s="398">
        <v>13000</v>
      </c>
      <c r="H127" s="398">
        <v>13380</v>
      </c>
      <c r="I127" s="398">
        <v>13520</v>
      </c>
      <c r="J127" s="398">
        <v>14390</v>
      </c>
      <c r="K127" s="398">
        <v>14730</v>
      </c>
      <c r="L127" s="398">
        <v>15340</v>
      </c>
      <c r="M127" s="398">
        <v>16000</v>
      </c>
      <c r="N127" s="398">
        <v>17030</v>
      </c>
      <c r="O127" s="398">
        <v>17860</v>
      </c>
      <c r="P127" s="398">
        <v>18840</v>
      </c>
      <c r="Q127" s="398">
        <v>19600</v>
      </c>
      <c r="R127" s="398">
        <v>20370</v>
      </c>
      <c r="S127" s="398">
        <v>21620</v>
      </c>
      <c r="T127" s="398">
        <v>22250</v>
      </c>
      <c r="U127" s="398">
        <v>23630</v>
      </c>
      <c r="V127" s="398">
        <v>24330</v>
      </c>
      <c r="W127" s="398">
        <v>24730</v>
      </c>
      <c r="X127" s="398">
        <v>24290</v>
      </c>
      <c r="Y127" s="398">
        <v>23740</v>
      </c>
      <c r="Z127" s="398">
        <v>23690</v>
      </c>
      <c r="AA127" s="398">
        <v>23900</v>
      </c>
      <c r="AB127" s="398">
        <v>24220</v>
      </c>
      <c r="AC127" s="398">
        <v>24690</v>
      </c>
      <c r="AD127" s="398">
        <v>24570</v>
      </c>
      <c r="AE127" s="398">
        <v>25370</v>
      </c>
      <c r="AF127" s="398">
        <v>24980</v>
      </c>
      <c r="AG127" s="398">
        <v>23920</v>
      </c>
      <c r="AH127" s="398">
        <v>23040</v>
      </c>
      <c r="AI127" s="398">
        <v>22140</v>
      </c>
      <c r="AJ127" s="398">
        <v>21180</v>
      </c>
      <c r="AK127" s="398">
        <v>21200</v>
      </c>
      <c r="AL127" s="398">
        <v>21030</v>
      </c>
      <c r="AM127" s="398">
        <v>21850</v>
      </c>
      <c r="AN127" s="398">
        <v>22160</v>
      </c>
      <c r="AO127" s="398">
        <v>22580</v>
      </c>
      <c r="AP127" s="398">
        <v>23250</v>
      </c>
      <c r="AQ127" s="398">
        <v>24000</v>
      </c>
      <c r="AR127" s="398">
        <v>24310</v>
      </c>
      <c r="AS127" s="398">
        <v>24670</v>
      </c>
      <c r="AT127" s="398">
        <v>25100</v>
      </c>
      <c r="AU127" s="398">
        <v>25130</v>
      </c>
      <c r="AV127" s="398">
        <v>26290</v>
      </c>
      <c r="AW127" s="398">
        <v>27020</v>
      </c>
      <c r="AX127" s="398">
        <v>28330</v>
      </c>
      <c r="AY127" s="398">
        <v>28700</v>
      </c>
      <c r="AZ127" s="398">
        <v>27940</v>
      </c>
      <c r="BA127" s="398">
        <v>27920</v>
      </c>
      <c r="BB127" s="398">
        <v>27540</v>
      </c>
      <c r="BC127" s="398">
        <v>27620</v>
      </c>
      <c r="BD127" s="398">
        <v>27170</v>
      </c>
      <c r="BE127" s="398">
        <v>26810</v>
      </c>
      <c r="BF127" s="398">
        <v>26680</v>
      </c>
    </row>
    <row r="128" spans="1:58" x14ac:dyDescent="0.2">
      <c r="A128" s="399" t="s">
        <v>69</v>
      </c>
      <c r="B128" s="247"/>
      <c r="C128" s="398">
        <v>7100</v>
      </c>
      <c r="D128" s="398">
        <v>6780</v>
      </c>
      <c r="E128" s="398">
        <v>7930</v>
      </c>
      <c r="F128" s="398">
        <v>8790</v>
      </c>
      <c r="G128" s="398">
        <v>9720</v>
      </c>
      <c r="H128" s="398">
        <v>12020</v>
      </c>
      <c r="I128" s="398">
        <v>12430</v>
      </c>
      <c r="J128" s="398">
        <v>12610</v>
      </c>
      <c r="K128" s="398">
        <v>13490</v>
      </c>
      <c r="L128" s="398">
        <v>13860</v>
      </c>
      <c r="M128" s="398">
        <v>14480</v>
      </c>
      <c r="N128" s="398">
        <v>15140</v>
      </c>
      <c r="O128" s="398">
        <v>16150</v>
      </c>
      <c r="P128" s="398">
        <v>16980</v>
      </c>
      <c r="Q128" s="398">
        <v>17940</v>
      </c>
      <c r="R128" s="398">
        <v>18690</v>
      </c>
      <c r="S128" s="398">
        <v>19450</v>
      </c>
      <c r="T128" s="398">
        <v>20670</v>
      </c>
      <c r="U128" s="398">
        <v>21290</v>
      </c>
      <c r="V128" s="398">
        <v>22630</v>
      </c>
      <c r="W128" s="398">
        <v>23310</v>
      </c>
      <c r="X128" s="398">
        <v>23710</v>
      </c>
      <c r="Y128" s="398">
        <v>23290</v>
      </c>
      <c r="Z128" s="398">
        <v>22770</v>
      </c>
      <c r="AA128" s="398">
        <v>22720</v>
      </c>
      <c r="AB128" s="398">
        <v>22930</v>
      </c>
      <c r="AC128" s="398">
        <v>23220</v>
      </c>
      <c r="AD128" s="398">
        <v>23670</v>
      </c>
      <c r="AE128" s="398">
        <v>23540</v>
      </c>
      <c r="AF128" s="398">
        <v>24290</v>
      </c>
      <c r="AG128" s="398">
        <v>23900</v>
      </c>
      <c r="AH128" s="398">
        <v>22880</v>
      </c>
      <c r="AI128" s="398">
        <v>22040</v>
      </c>
      <c r="AJ128" s="398">
        <v>21180</v>
      </c>
      <c r="AK128" s="398">
        <v>20270</v>
      </c>
      <c r="AL128" s="398">
        <v>20290</v>
      </c>
      <c r="AM128" s="398">
        <v>20130</v>
      </c>
      <c r="AN128" s="398">
        <v>20910</v>
      </c>
      <c r="AO128" s="398">
        <v>21210</v>
      </c>
      <c r="AP128" s="398">
        <v>21610</v>
      </c>
      <c r="AQ128" s="398">
        <v>22250</v>
      </c>
      <c r="AR128" s="398">
        <v>22970</v>
      </c>
      <c r="AS128" s="398">
        <v>23270</v>
      </c>
      <c r="AT128" s="398">
        <v>23610</v>
      </c>
      <c r="AU128" s="398">
        <v>24020</v>
      </c>
      <c r="AV128" s="398">
        <v>24050</v>
      </c>
      <c r="AW128" s="398">
        <v>25160</v>
      </c>
      <c r="AX128" s="398">
        <v>25860</v>
      </c>
      <c r="AY128" s="398">
        <v>27110</v>
      </c>
      <c r="AZ128" s="398">
        <v>27460</v>
      </c>
      <c r="BA128" s="398">
        <v>26740</v>
      </c>
      <c r="BB128" s="398">
        <v>26730</v>
      </c>
      <c r="BC128" s="398">
        <v>26360</v>
      </c>
      <c r="BD128" s="398">
        <v>26440</v>
      </c>
      <c r="BE128" s="398">
        <v>26020</v>
      </c>
      <c r="BF128" s="398">
        <v>25670</v>
      </c>
    </row>
    <row r="129" spans="1:58" x14ac:dyDescent="0.2">
      <c r="A129" s="399" t="s">
        <v>70</v>
      </c>
      <c r="B129" s="247"/>
      <c r="C129" s="398">
        <v>5700</v>
      </c>
      <c r="D129" s="398">
        <v>6250</v>
      </c>
      <c r="E129" s="398">
        <v>6010</v>
      </c>
      <c r="F129" s="398">
        <v>7070</v>
      </c>
      <c r="G129" s="398">
        <v>7880</v>
      </c>
      <c r="H129" s="398">
        <v>8750</v>
      </c>
      <c r="I129" s="398">
        <v>10850</v>
      </c>
      <c r="J129" s="398">
        <v>11250</v>
      </c>
      <c r="K129" s="398">
        <v>11460</v>
      </c>
      <c r="L129" s="398">
        <v>12280</v>
      </c>
      <c r="M129" s="398">
        <v>12640</v>
      </c>
      <c r="N129" s="398">
        <v>13230</v>
      </c>
      <c r="O129" s="398">
        <v>13860</v>
      </c>
      <c r="P129" s="398">
        <v>14800</v>
      </c>
      <c r="Q129" s="398">
        <v>15560</v>
      </c>
      <c r="R129" s="398">
        <v>16460</v>
      </c>
      <c r="S129" s="398">
        <v>17160</v>
      </c>
      <c r="T129" s="398">
        <v>17870</v>
      </c>
      <c r="U129" s="398">
        <v>18990</v>
      </c>
      <c r="V129" s="398">
        <v>19570</v>
      </c>
      <c r="W129" s="398">
        <v>20800</v>
      </c>
      <c r="X129" s="398">
        <v>21420</v>
      </c>
      <c r="Y129" s="398">
        <v>21790</v>
      </c>
      <c r="Z129" s="398">
        <v>21410</v>
      </c>
      <c r="AA129" s="398">
        <v>20920</v>
      </c>
      <c r="AB129" s="398">
        <v>20870</v>
      </c>
      <c r="AC129" s="398">
        <v>21050</v>
      </c>
      <c r="AD129" s="398">
        <v>21300</v>
      </c>
      <c r="AE129" s="398">
        <v>21700</v>
      </c>
      <c r="AF129" s="398">
        <v>21560</v>
      </c>
      <c r="AG129" s="398">
        <v>22230</v>
      </c>
      <c r="AH129" s="398">
        <v>21860</v>
      </c>
      <c r="AI129" s="398">
        <v>20930</v>
      </c>
      <c r="AJ129" s="398">
        <v>20160</v>
      </c>
      <c r="AK129" s="398">
        <v>19380</v>
      </c>
      <c r="AL129" s="398">
        <v>18550</v>
      </c>
      <c r="AM129" s="398">
        <v>18580</v>
      </c>
      <c r="AN129" s="398">
        <v>18430</v>
      </c>
      <c r="AO129" s="398">
        <v>19150</v>
      </c>
      <c r="AP129" s="398">
        <v>19420</v>
      </c>
      <c r="AQ129" s="398">
        <v>19790</v>
      </c>
      <c r="AR129" s="398">
        <v>20370</v>
      </c>
      <c r="AS129" s="398">
        <v>21030</v>
      </c>
      <c r="AT129" s="398">
        <v>21300</v>
      </c>
      <c r="AU129" s="398">
        <v>21620</v>
      </c>
      <c r="AV129" s="398">
        <v>21990</v>
      </c>
      <c r="AW129" s="398">
        <v>22020</v>
      </c>
      <c r="AX129" s="398">
        <v>23040</v>
      </c>
      <c r="AY129" s="398">
        <v>23680</v>
      </c>
      <c r="AZ129" s="398">
        <v>24820</v>
      </c>
      <c r="BA129" s="398">
        <v>25140</v>
      </c>
      <c r="BB129" s="398">
        <v>24480</v>
      </c>
      <c r="BC129" s="398">
        <v>24470</v>
      </c>
      <c r="BD129" s="398">
        <v>24140</v>
      </c>
      <c r="BE129" s="398">
        <v>24220</v>
      </c>
      <c r="BF129" s="398">
        <v>23830</v>
      </c>
    </row>
    <row r="130" spans="1:58" x14ac:dyDescent="0.2">
      <c r="A130" s="399" t="s">
        <v>71</v>
      </c>
      <c r="B130" s="247"/>
      <c r="C130" s="398">
        <v>4390</v>
      </c>
      <c r="D130" s="398">
        <v>5220</v>
      </c>
      <c r="E130" s="398">
        <v>5740</v>
      </c>
      <c r="F130" s="398">
        <v>5540</v>
      </c>
      <c r="G130" s="398">
        <v>6540</v>
      </c>
      <c r="H130" s="398">
        <v>7290</v>
      </c>
      <c r="I130" s="398">
        <v>8120</v>
      </c>
      <c r="J130" s="398">
        <v>10080</v>
      </c>
      <c r="K130" s="398">
        <v>10470</v>
      </c>
      <c r="L130" s="398">
        <v>10680</v>
      </c>
      <c r="M130" s="398">
        <v>11450</v>
      </c>
      <c r="N130" s="398">
        <v>11800</v>
      </c>
      <c r="O130" s="398">
        <v>12360</v>
      </c>
      <c r="P130" s="398">
        <v>12950</v>
      </c>
      <c r="Q130" s="398">
        <v>13830</v>
      </c>
      <c r="R130" s="398">
        <v>14550</v>
      </c>
      <c r="S130" s="398">
        <v>15390</v>
      </c>
      <c r="T130" s="398">
        <v>16050</v>
      </c>
      <c r="U130" s="398">
        <v>16700</v>
      </c>
      <c r="V130" s="398">
        <v>17750</v>
      </c>
      <c r="W130" s="398">
        <v>18290</v>
      </c>
      <c r="X130" s="398">
        <v>19420</v>
      </c>
      <c r="Y130" s="398">
        <v>20000</v>
      </c>
      <c r="Z130" s="398">
        <v>20330</v>
      </c>
      <c r="AA130" s="398">
        <v>19960</v>
      </c>
      <c r="AB130" s="398">
        <v>19500</v>
      </c>
      <c r="AC130" s="398">
        <v>19440</v>
      </c>
      <c r="AD130" s="398">
        <v>19590</v>
      </c>
      <c r="AE130" s="398">
        <v>19810</v>
      </c>
      <c r="AF130" s="398">
        <v>20160</v>
      </c>
      <c r="AG130" s="398">
        <v>20000</v>
      </c>
      <c r="AH130" s="398">
        <v>20610</v>
      </c>
      <c r="AI130" s="398">
        <v>20270</v>
      </c>
      <c r="AJ130" s="398">
        <v>19410</v>
      </c>
      <c r="AK130" s="398">
        <v>18700</v>
      </c>
      <c r="AL130" s="398">
        <v>17990</v>
      </c>
      <c r="AM130" s="398">
        <v>17220</v>
      </c>
      <c r="AN130" s="398">
        <v>17240</v>
      </c>
      <c r="AO130" s="398">
        <v>17110</v>
      </c>
      <c r="AP130" s="398">
        <v>17770</v>
      </c>
      <c r="AQ130" s="398">
        <v>18030</v>
      </c>
      <c r="AR130" s="398">
        <v>18370</v>
      </c>
      <c r="AS130" s="398">
        <v>18910</v>
      </c>
      <c r="AT130" s="398">
        <v>19520</v>
      </c>
      <c r="AU130" s="398">
        <v>19780</v>
      </c>
      <c r="AV130" s="398">
        <v>20070</v>
      </c>
      <c r="AW130" s="398">
        <v>20420</v>
      </c>
      <c r="AX130" s="398">
        <v>20450</v>
      </c>
      <c r="AY130" s="398">
        <v>21390</v>
      </c>
      <c r="AZ130" s="398">
        <v>21980</v>
      </c>
      <c r="BA130" s="398">
        <v>23040</v>
      </c>
      <c r="BB130" s="398">
        <v>23340</v>
      </c>
      <c r="BC130" s="398">
        <v>22730</v>
      </c>
      <c r="BD130" s="398">
        <v>22730</v>
      </c>
      <c r="BE130" s="398">
        <v>22420</v>
      </c>
      <c r="BF130" s="398">
        <v>22490</v>
      </c>
    </row>
    <row r="131" spans="1:58" x14ac:dyDescent="0.2">
      <c r="A131" s="399" t="s">
        <v>72</v>
      </c>
      <c r="B131" s="247"/>
      <c r="C131" s="398">
        <v>2970</v>
      </c>
      <c r="D131" s="398">
        <v>3580</v>
      </c>
      <c r="E131" s="398">
        <v>4280</v>
      </c>
      <c r="F131" s="398">
        <v>4750</v>
      </c>
      <c r="G131" s="398">
        <v>4600</v>
      </c>
      <c r="H131" s="398">
        <v>5450</v>
      </c>
      <c r="I131" s="398">
        <v>6100</v>
      </c>
      <c r="J131" s="398">
        <v>6820</v>
      </c>
      <c r="K131" s="398">
        <v>8480</v>
      </c>
      <c r="L131" s="398">
        <v>8840</v>
      </c>
      <c r="M131" s="398">
        <v>9030</v>
      </c>
      <c r="N131" s="398">
        <v>9700</v>
      </c>
      <c r="O131" s="398">
        <v>10000</v>
      </c>
      <c r="P131" s="398">
        <v>10480</v>
      </c>
      <c r="Q131" s="398">
        <v>10990</v>
      </c>
      <c r="R131" s="398">
        <v>11750</v>
      </c>
      <c r="S131" s="398">
        <v>12370</v>
      </c>
      <c r="T131" s="398">
        <v>13080</v>
      </c>
      <c r="U131" s="398">
        <v>13640</v>
      </c>
      <c r="V131" s="398">
        <v>14200</v>
      </c>
      <c r="W131" s="398">
        <v>15090</v>
      </c>
      <c r="X131" s="398">
        <v>15540</v>
      </c>
      <c r="Y131" s="398">
        <v>16500</v>
      </c>
      <c r="Z131" s="398">
        <v>16990</v>
      </c>
      <c r="AA131" s="398">
        <v>17260</v>
      </c>
      <c r="AB131" s="398">
        <v>16940</v>
      </c>
      <c r="AC131" s="398">
        <v>16540</v>
      </c>
      <c r="AD131" s="398">
        <v>16470</v>
      </c>
      <c r="AE131" s="398">
        <v>16580</v>
      </c>
      <c r="AF131" s="398">
        <v>16750</v>
      </c>
      <c r="AG131" s="398">
        <v>17030</v>
      </c>
      <c r="AH131" s="398">
        <v>16890</v>
      </c>
      <c r="AI131" s="398">
        <v>17400</v>
      </c>
      <c r="AJ131" s="398">
        <v>17120</v>
      </c>
      <c r="AK131" s="398">
        <v>16400</v>
      </c>
      <c r="AL131" s="398">
        <v>15800</v>
      </c>
      <c r="AM131" s="398">
        <v>15200</v>
      </c>
      <c r="AN131" s="398">
        <v>14550</v>
      </c>
      <c r="AO131" s="398">
        <v>14570</v>
      </c>
      <c r="AP131" s="398">
        <v>14460</v>
      </c>
      <c r="AQ131" s="398">
        <v>15020</v>
      </c>
      <c r="AR131" s="398">
        <v>15240</v>
      </c>
      <c r="AS131" s="398">
        <v>15530</v>
      </c>
      <c r="AT131" s="398">
        <v>15980</v>
      </c>
      <c r="AU131" s="398">
        <v>16500</v>
      </c>
      <c r="AV131" s="398">
        <v>16720</v>
      </c>
      <c r="AW131" s="398">
        <v>16970</v>
      </c>
      <c r="AX131" s="398">
        <v>17270</v>
      </c>
      <c r="AY131" s="398">
        <v>17290</v>
      </c>
      <c r="AZ131" s="398">
        <v>18080</v>
      </c>
      <c r="BA131" s="398">
        <v>18590</v>
      </c>
      <c r="BB131" s="398">
        <v>19480</v>
      </c>
      <c r="BC131" s="398">
        <v>19740</v>
      </c>
      <c r="BD131" s="398">
        <v>19230</v>
      </c>
      <c r="BE131" s="398">
        <v>19220</v>
      </c>
      <c r="BF131" s="398">
        <v>18960</v>
      </c>
    </row>
    <row r="132" spans="1:58" x14ac:dyDescent="0.2">
      <c r="A132" s="399" t="s">
        <v>73</v>
      </c>
      <c r="B132" s="247"/>
      <c r="C132" s="398">
        <v>2030</v>
      </c>
      <c r="D132" s="398">
        <v>2440</v>
      </c>
      <c r="E132" s="398">
        <v>2950</v>
      </c>
      <c r="F132" s="398">
        <v>3530</v>
      </c>
      <c r="G132" s="398">
        <v>3920</v>
      </c>
      <c r="H132" s="398">
        <v>3790</v>
      </c>
      <c r="I132" s="398">
        <v>4500</v>
      </c>
      <c r="J132" s="398">
        <v>5040</v>
      </c>
      <c r="K132" s="398">
        <v>5630</v>
      </c>
      <c r="L132" s="398">
        <v>7010</v>
      </c>
      <c r="M132" s="398">
        <v>7310</v>
      </c>
      <c r="N132" s="398">
        <v>7460</v>
      </c>
      <c r="O132" s="398">
        <v>8020</v>
      </c>
      <c r="P132" s="398">
        <v>8270</v>
      </c>
      <c r="Q132" s="398">
        <v>8660</v>
      </c>
      <c r="R132" s="398">
        <v>9080</v>
      </c>
      <c r="S132" s="398">
        <v>9700</v>
      </c>
      <c r="T132" s="398">
        <v>10210</v>
      </c>
      <c r="U132" s="398">
        <v>10790</v>
      </c>
      <c r="V132" s="398">
        <v>11250</v>
      </c>
      <c r="W132" s="398">
        <v>11700</v>
      </c>
      <c r="X132" s="398">
        <v>12420</v>
      </c>
      <c r="Y132" s="398">
        <v>12790</v>
      </c>
      <c r="Z132" s="398">
        <v>13570</v>
      </c>
      <c r="AA132" s="398">
        <v>13950</v>
      </c>
      <c r="AB132" s="398">
        <v>14160</v>
      </c>
      <c r="AC132" s="398">
        <v>13890</v>
      </c>
      <c r="AD132" s="398">
        <v>13550</v>
      </c>
      <c r="AE132" s="398">
        <v>13480</v>
      </c>
      <c r="AF132" s="398">
        <v>13550</v>
      </c>
      <c r="AG132" s="398">
        <v>13680</v>
      </c>
      <c r="AH132" s="398">
        <v>13890</v>
      </c>
      <c r="AI132" s="398">
        <v>13780</v>
      </c>
      <c r="AJ132" s="398">
        <v>14200</v>
      </c>
      <c r="AK132" s="398">
        <v>13970</v>
      </c>
      <c r="AL132" s="398">
        <v>13380</v>
      </c>
      <c r="AM132" s="398">
        <v>12900</v>
      </c>
      <c r="AN132" s="398">
        <v>12410</v>
      </c>
      <c r="AO132" s="398">
        <v>11880</v>
      </c>
      <c r="AP132" s="398">
        <v>11900</v>
      </c>
      <c r="AQ132" s="398">
        <v>11810</v>
      </c>
      <c r="AR132" s="398">
        <v>12270</v>
      </c>
      <c r="AS132" s="398">
        <v>12450</v>
      </c>
      <c r="AT132" s="398">
        <v>12680</v>
      </c>
      <c r="AU132" s="398">
        <v>13060</v>
      </c>
      <c r="AV132" s="398">
        <v>13480</v>
      </c>
      <c r="AW132" s="398">
        <v>13660</v>
      </c>
      <c r="AX132" s="398">
        <v>13860</v>
      </c>
      <c r="AY132" s="398">
        <v>14110</v>
      </c>
      <c r="AZ132" s="398">
        <v>14130</v>
      </c>
      <c r="BA132" s="398">
        <v>14780</v>
      </c>
      <c r="BB132" s="398">
        <v>15190</v>
      </c>
      <c r="BC132" s="398">
        <v>15920</v>
      </c>
      <c r="BD132" s="398">
        <v>16130</v>
      </c>
      <c r="BE132" s="398">
        <v>15710</v>
      </c>
      <c r="BF132" s="398">
        <v>15710</v>
      </c>
    </row>
    <row r="133" spans="1:58" x14ac:dyDescent="0.2">
      <c r="A133" s="399" t="s">
        <v>74</v>
      </c>
      <c r="B133" s="247"/>
      <c r="C133" s="398">
        <v>1700</v>
      </c>
      <c r="D133" s="398">
        <v>2020</v>
      </c>
      <c r="E133" s="398">
        <v>2400</v>
      </c>
      <c r="F133" s="398">
        <v>2870</v>
      </c>
      <c r="G133" s="398">
        <v>3410</v>
      </c>
      <c r="H133" s="398">
        <v>3760</v>
      </c>
      <c r="I133" s="398">
        <v>3620</v>
      </c>
      <c r="J133" s="398">
        <v>4270</v>
      </c>
      <c r="K133" s="398">
        <v>4770</v>
      </c>
      <c r="L133" s="398">
        <v>5310</v>
      </c>
      <c r="M133" s="398">
        <v>6590</v>
      </c>
      <c r="N133" s="398">
        <v>6850</v>
      </c>
      <c r="O133" s="398">
        <v>6970</v>
      </c>
      <c r="P133" s="398">
        <v>7470</v>
      </c>
      <c r="Q133" s="398">
        <v>7690</v>
      </c>
      <c r="R133" s="398">
        <v>8050</v>
      </c>
      <c r="S133" s="398">
        <v>8420</v>
      </c>
      <c r="T133" s="398">
        <v>8980</v>
      </c>
      <c r="U133" s="398">
        <v>9430</v>
      </c>
      <c r="V133" s="398">
        <v>9950</v>
      </c>
      <c r="W133" s="398">
        <v>10360</v>
      </c>
      <c r="X133" s="398">
        <v>10760</v>
      </c>
      <c r="Y133" s="398">
        <v>11410</v>
      </c>
      <c r="Z133" s="398">
        <v>11730</v>
      </c>
      <c r="AA133" s="398">
        <v>12420</v>
      </c>
      <c r="AB133" s="398">
        <v>12760</v>
      </c>
      <c r="AC133" s="398">
        <v>12930</v>
      </c>
      <c r="AD133" s="398">
        <v>12670</v>
      </c>
      <c r="AE133" s="398">
        <v>12340</v>
      </c>
      <c r="AF133" s="398">
        <v>12260</v>
      </c>
      <c r="AG133" s="398">
        <v>12310</v>
      </c>
      <c r="AH133" s="398">
        <v>12410</v>
      </c>
      <c r="AI133" s="398">
        <v>12610</v>
      </c>
      <c r="AJ133" s="398">
        <v>12510</v>
      </c>
      <c r="AK133" s="398">
        <v>12890</v>
      </c>
      <c r="AL133" s="398">
        <v>12680</v>
      </c>
      <c r="AM133" s="398">
        <v>12150</v>
      </c>
      <c r="AN133" s="398">
        <v>11710</v>
      </c>
      <c r="AO133" s="398">
        <v>11270</v>
      </c>
      <c r="AP133" s="398">
        <v>10790</v>
      </c>
      <c r="AQ133" s="398">
        <v>10810</v>
      </c>
      <c r="AR133" s="398">
        <v>10730</v>
      </c>
      <c r="AS133" s="398">
        <v>11150</v>
      </c>
      <c r="AT133" s="398">
        <v>11310</v>
      </c>
      <c r="AU133" s="398">
        <v>11530</v>
      </c>
      <c r="AV133" s="398">
        <v>11870</v>
      </c>
      <c r="AW133" s="398">
        <v>12260</v>
      </c>
      <c r="AX133" s="398">
        <v>12420</v>
      </c>
      <c r="AY133" s="398">
        <v>12600</v>
      </c>
      <c r="AZ133" s="398">
        <v>12830</v>
      </c>
      <c r="BA133" s="398">
        <v>12850</v>
      </c>
      <c r="BB133" s="398">
        <v>13440</v>
      </c>
      <c r="BC133" s="398">
        <v>13820</v>
      </c>
      <c r="BD133" s="398">
        <v>14480</v>
      </c>
      <c r="BE133" s="398">
        <v>14670</v>
      </c>
      <c r="BF133" s="398">
        <v>14290</v>
      </c>
    </row>
    <row r="134" spans="1:58" x14ac:dyDescent="0.2">
      <c r="A134" s="399" t="s">
        <v>75</v>
      </c>
      <c r="B134" s="247"/>
      <c r="C134" s="398">
        <v>1400</v>
      </c>
      <c r="D134" s="398">
        <v>1670</v>
      </c>
      <c r="E134" s="398">
        <v>1930</v>
      </c>
      <c r="F134" s="398">
        <v>2220</v>
      </c>
      <c r="G134" s="398">
        <v>2610</v>
      </c>
      <c r="H134" s="398">
        <v>3050</v>
      </c>
      <c r="I134" s="398">
        <v>3310</v>
      </c>
      <c r="J134" s="398">
        <v>3150</v>
      </c>
      <c r="K134" s="398">
        <v>3680</v>
      </c>
      <c r="L134" s="398">
        <v>4080</v>
      </c>
      <c r="M134" s="398">
        <v>4510</v>
      </c>
      <c r="N134" s="398">
        <v>5560</v>
      </c>
      <c r="O134" s="398">
        <v>5750</v>
      </c>
      <c r="P134" s="398">
        <v>5830</v>
      </c>
      <c r="Q134" s="398">
        <v>6230</v>
      </c>
      <c r="R134" s="398">
        <v>6400</v>
      </c>
      <c r="S134" s="398">
        <v>6670</v>
      </c>
      <c r="T134" s="398">
        <v>6970</v>
      </c>
      <c r="U134" s="398">
        <v>7430</v>
      </c>
      <c r="V134" s="398">
        <v>7800</v>
      </c>
      <c r="W134" s="398">
        <v>8240</v>
      </c>
      <c r="X134" s="398">
        <v>8590</v>
      </c>
      <c r="Y134" s="398">
        <v>8930</v>
      </c>
      <c r="Z134" s="398">
        <v>9490</v>
      </c>
      <c r="AA134" s="398">
        <v>9780</v>
      </c>
      <c r="AB134" s="398">
        <v>10400</v>
      </c>
      <c r="AC134" s="398">
        <v>10720</v>
      </c>
      <c r="AD134" s="398">
        <v>10920</v>
      </c>
      <c r="AE134" s="398">
        <v>10750</v>
      </c>
      <c r="AF134" s="398">
        <v>10540</v>
      </c>
      <c r="AG134" s="398">
        <v>10540</v>
      </c>
      <c r="AH134" s="398">
        <v>10670</v>
      </c>
      <c r="AI134" s="398">
        <v>10840</v>
      </c>
      <c r="AJ134" s="398">
        <v>11090</v>
      </c>
      <c r="AK134" s="398">
        <v>11070</v>
      </c>
      <c r="AL134" s="398">
        <v>11480</v>
      </c>
      <c r="AM134" s="398">
        <v>11350</v>
      </c>
      <c r="AN134" s="398">
        <v>10930</v>
      </c>
      <c r="AO134" s="398">
        <v>10580</v>
      </c>
      <c r="AP134" s="398">
        <v>10220</v>
      </c>
      <c r="AQ134" s="398">
        <v>9820</v>
      </c>
      <c r="AR134" s="398">
        <v>9870</v>
      </c>
      <c r="AS134" s="398">
        <v>9820</v>
      </c>
      <c r="AT134" s="398">
        <v>10230</v>
      </c>
      <c r="AU134" s="398">
        <v>10390</v>
      </c>
      <c r="AV134" s="398">
        <v>10610</v>
      </c>
      <c r="AW134" s="398">
        <v>10920</v>
      </c>
      <c r="AX134" s="398">
        <v>11280</v>
      </c>
      <c r="AY134" s="398">
        <v>11430</v>
      </c>
      <c r="AZ134" s="398">
        <v>11600</v>
      </c>
      <c r="BA134" s="398">
        <v>11810</v>
      </c>
      <c r="BB134" s="398">
        <v>11830</v>
      </c>
      <c r="BC134" s="398">
        <v>12370</v>
      </c>
      <c r="BD134" s="398">
        <v>12720</v>
      </c>
      <c r="BE134" s="398">
        <v>13330</v>
      </c>
      <c r="BF134" s="398">
        <v>13510</v>
      </c>
    </row>
    <row r="135" spans="1:58" x14ac:dyDescent="0.2">
      <c r="A135" s="399" t="s">
        <v>76</v>
      </c>
      <c r="B135" s="247"/>
      <c r="C135" s="398">
        <v>1150</v>
      </c>
      <c r="D135" s="398">
        <v>1390</v>
      </c>
      <c r="E135" s="398">
        <v>1650</v>
      </c>
      <c r="F135" s="398">
        <v>1880</v>
      </c>
      <c r="G135" s="398">
        <v>2160</v>
      </c>
      <c r="H135" s="398">
        <v>2510</v>
      </c>
      <c r="I135" s="398">
        <v>2940</v>
      </c>
      <c r="J135" s="398">
        <v>3180</v>
      </c>
      <c r="K135" s="398">
        <v>3020</v>
      </c>
      <c r="L135" s="398">
        <v>3520</v>
      </c>
      <c r="M135" s="398">
        <v>3890</v>
      </c>
      <c r="N135" s="398">
        <v>4300</v>
      </c>
      <c r="O135" s="398">
        <v>5290</v>
      </c>
      <c r="P135" s="398">
        <v>5460</v>
      </c>
      <c r="Q135" s="398">
        <v>5530</v>
      </c>
      <c r="R135" s="398">
        <v>5900</v>
      </c>
      <c r="S135" s="398">
        <v>6050</v>
      </c>
      <c r="T135" s="398">
        <v>6310</v>
      </c>
      <c r="U135" s="398">
        <v>6590</v>
      </c>
      <c r="V135" s="398">
        <v>7020</v>
      </c>
      <c r="W135" s="398">
        <v>7360</v>
      </c>
      <c r="X135" s="398">
        <v>7770</v>
      </c>
      <c r="Y135" s="398">
        <v>8090</v>
      </c>
      <c r="Z135" s="398">
        <v>8410</v>
      </c>
      <c r="AA135" s="398">
        <v>8930</v>
      </c>
      <c r="AB135" s="398">
        <v>9200</v>
      </c>
      <c r="AC135" s="398">
        <v>9780</v>
      </c>
      <c r="AD135" s="398">
        <v>10080</v>
      </c>
      <c r="AE135" s="398">
        <v>10260</v>
      </c>
      <c r="AF135" s="398">
        <v>10100</v>
      </c>
      <c r="AG135" s="398">
        <v>9890</v>
      </c>
      <c r="AH135" s="398">
        <v>9890</v>
      </c>
      <c r="AI135" s="398">
        <v>10010</v>
      </c>
      <c r="AJ135" s="398">
        <v>10160</v>
      </c>
      <c r="AK135" s="398">
        <v>10390</v>
      </c>
      <c r="AL135" s="398">
        <v>10380</v>
      </c>
      <c r="AM135" s="398">
        <v>10750</v>
      </c>
      <c r="AN135" s="398">
        <v>10630</v>
      </c>
      <c r="AO135" s="398">
        <v>10240</v>
      </c>
      <c r="AP135" s="398">
        <v>9910</v>
      </c>
      <c r="AQ135" s="398">
        <v>9570</v>
      </c>
      <c r="AR135" s="398">
        <v>9190</v>
      </c>
      <c r="AS135" s="398">
        <v>9240</v>
      </c>
      <c r="AT135" s="398">
        <v>9190</v>
      </c>
      <c r="AU135" s="398">
        <v>9570</v>
      </c>
      <c r="AV135" s="398">
        <v>9720</v>
      </c>
      <c r="AW135" s="398">
        <v>9910</v>
      </c>
      <c r="AX135" s="398">
        <v>10200</v>
      </c>
      <c r="AY135" s="398">
        <v>10540</v>
      </c>
      <c r="AZ135" s="398">
        <v>10680</v>
      </c>
      <c r="BA135" s="398">
        <v>10840</v>
      </c>
      <c r="BB135" s="398">
        <v>11030</v>
      </c>
      <c r="BC135" s="398">
        <v>11050</v>
      </c>
      <c r="BD135" s="398">
        <v>11560</v>
      </c>
      <c r="BE135" s="398">
        <v>11890</v>
      </c>
      <c r="BF135" s="398">
        <v>12460</v>
      </c>
    </row>
    <row r="136" spans="1:58" x14ac:dyDescent="0.2">
      <c r="A136" s="399" t="s">
        <v>77</v>
      </c>
      <c r="B136" s="247"/>
      <c r="C136" s="398">
        <v>980</v>
      </c>
      <c r="D136" s="398">
        <v>1150</v>
      </c>
      <c r="E136" s="398">
        <v>1380</v>
      </c>
      <c r="F136" s="398">
        <v>1620</v>
      </c>
      <c r="G136" s="398">
        <v>1840</v>
      </c>
      <c r="H136" s="398">
        <v>2100</v>
      </c>
      <c r="I136" s="398">
        <v>2430</v>
      </c>
      <c r="J136" s="398">
        <v>2820</v>
      </c>
      <c r="K136" s="398">
        <v>3050</v>
      </c>
      <c r="L136" s="398">
        <v>2890</v>
      </c>
      <c r="M136" s="398">
        <v>3360</v>
      </c>
      <c r="N136" s="398">
        <v>3710</v>
      </c>
      <c r="O136" s="398">
        <v>4080</v>
      </c>
      <c r="P136" s="398">
        <v>5020</v>
      </c>
      <c r="Q136" s="398">
        <v>5170</v>
      </c>
      <c r="R136" s="398">
        <v>5240</v>
      </c>
      <c r="S136" s="398">
        <v>5580</v>
      </c>
      <c r="T136" s="398">
        <v>5720</v>
      </c>
      <c r="U136" s="398">
        <v>5950</v>
      </c>
      <c r="V136" s="398">
        <v>6210</v>
      </c>
      <c r="W136" s="398">
        <v>6610</v>
      </c>
      <c r="X136" s="398">
        <v>6930</v>
      </c>
      <c r="Y136" s="398">
        <v>7310</v>
      </c>
      <c r="Z136" s="398">
        <v>7600</v>
      </c>
      <c r="AA136" s="398">
        <v>7900</v>
      </c>
      <c r="AB136" s="398">
        <v>8380</v>
      </c>
      <c r="AC136" s="398">
        <v>8630</v>
      </c>
      <c r="AD136" s="398">
        <v>9170</v>
      </c>
      <c r="AE136" s="398">
        <v>9440</v>
      </c>
      <c r="AF136" s="398">
        <v>9610</v>
      </c>
      <c r="AG136" s="398">
        <v>9450</v>
      </c>
      <c r="AH136" s="398">
        <v>9260</v>
      </c>
      <c r="AI136" s="398">
        <v>9260</v>
      </c>
      <c r="AJ136" s="398">
        <v>9360</v>
      </c>
      <c r="AK136" s="398">
        <v>9500</v>
      </c>
      <c r="AL136" s="398">
        <v>9720</v>
      </c>
      <c r="AM136" s="398">
        <v>9700</v>
      </c>
      <c r="AN136" s="398">
        <v>10050</v>
      </c>
      <c r="AO136" s="398">
        <v>9930</v>
      </c>
      <c r="AP136" s="398">
        <v>9560</v>
      </c>
      <c r="AQ136" s="398">
        <v>9250</v>
      </c>
      <c r="AR136" s="398">
        <v>8930</v>
      </c>
      <c r="AS136" s="398">
        <v>8580</v>
      </c>
      <c r="AT136" s="398">
        <v>8620</v>
      </c>
      <c r="AU136" s="398">
        <v>8570</v>
      </c>
      <c r="AV136" s="398">
        <v>8920</v>
      </c>
      <c r="AW136" s="398">
        <v>9060</v>
      </c>
      <c r="AX136" s="398">
        <v>9230</v>
      </c>
      <c r="AY136" s="398">
        <v>9510</v>
      </c>
      <c r="AZ136" s="398">
        <v>9820</v>
      </c>
      <c r="BA136" s="398">
        <v>9950</v>
      </c>
      <c r="BB136" s="398">
        <v>10100</v>
      </c>
      <c r="BC136" s="398">
        <v>10290</v>
      </c>
      <c r="BD136" s="398">
        <v>10300</v>
      </c>
      <c r="BE136" s="398">
        <v>10780</v>
      </c>
      <c r="BF136" s="398">
        <v>11080</v>
      </c>
    </row>
    <row r="137" spans="1:58" x14ac:dyDescent="0.2">
      <c r="A137" s="399" t="s">
        <v>78</v>
      </c>
      <c r="B137" s="247"/>
      <c r="C137" s="398">
        <v>850</v>
      </c>
      <c r="D137" s="398">
        <v>1000</v>
      </c>
      <c r="E137" s="398">
        <v>1150</v>
      </c>
      <c r="F137" s="398">
        <v>1370</v>
      </c>
      <c r="G137" s="398">
        <v>1590</v>
      </c>
      <c r="H137" s="398">
        <v>1790</v>
      </c>
      <c r="I137" s="398">
        <v>2030</v>
      </c>
      <c r="J137" s="398">
        <v>2340</v>
      </c>
      <c r="K137" s="398">
        <v>2710</v>
      </c>
      <c r="L137" s="398">
        <v>2920</v>
      </c>
      <c r="M137" s="398">
        <v>2760</v>
      </c>
      <c r="N137" s="398">
        <v>3200</v>
      </c>
      <c r="O137" s="398">
        <v>3520</v>
      </c>
      <c r="P137" s="398">
        <v>3870</v>
      </c>
      <c r="Q137" s="398">
        <v>4750</v>
      </c>
      <c r="R137" s="398">
        <v>4890</v>
      </c>
      <c r="S137" s="398">
        <v>4940</v>
      </c>
      <c r="T137" s="398">
        <v>5260</v>
      </c>
      <c r="U137" s="398">
        <v>5380</v>
      </c>
      <c r="V137" s="398">
        <v>5600</v>
      </c>
      <c r="W137" s="398">
        <v>5840</v>
      </c>
      <c r="X137" s="398">
        <v>6200</v>
      </c>
      <c r="Y137" s="398">
        <v>6500</v>
      </c>
      <c r="Z137" s="398">
        <v>6850</v>
      </c>
      <c r="AA137" s="398">
        <v>7120</v>
      </c>
      <c r="AB137" s="398">
        <v>7400</v>
      </c>
      <c r="AC137" s="398">
        <v>7840</v>
      </c>
      <c r="AD137" s="398">
        <v>8070</v>
      </c>
      <c r="AE137" s="398">
        <v>8570</v>
      </c>
      <c r="AF137" s="398">
        <v>8820</v>
      </c>
      <c r="AG137" s="398">
        <v>8970</v>
      </c>
      <c r="AH137" s="398">
        <v>8830</v>
      </c>
      <c r="AI137" s="398">
        <v>8640</v>
      </c>
      <c r="AJ137" s="398">
        <v>8630</v>
      </c>
      <c r="AK137" s="398">
        <v>8730</v>
      </c>
      <c r="AL137" s="398">
        <v>8860</v>
      </c>
      <c r="AM137" s="398">
        <v>9050</v>
      </c>
      <c r="AN137" s="398">
        <v>9030</v>
      </c>
      <c r="AO137" s="398">
        <v>9360</v>
      </c>
      <c r="AP137" s="398">
        <v>9250</v>
      </c>
      <c r="AQ137" s="398">
        <v>8900</v>
      </c>
      <c r="AR137" s="398">
        <v>8610</v>
      </c>
      <c r="AS137" s="398">
        <v>8310</v>
      </c>
      <c r="AT137" s="398">
        <v>7980</v>
      </c>
      <c r="AU137" s="398">
        <v>8020</v>
      </c>
      <c r="AV137" s="398">
        <v>7980</v>
      </c>
      <c r="AW137" s="398">
        <v>8290</v>
      </c>
      <c r="AX137" s="398">
        <v>8410</v>
      </c>
      <c r="AY137" s="398">
        <v>8580</v>
      </c>
      <c r="AZ137" s="398">
        <v>8840</v>
      </c>
      <c r="BA137" s="398">
        <v>9130</v>
      </c>
      <c r="BB137" s="398">
        <v>9250</v>
      </c>
      <c r="BC137" s="398">
        <v>9390</v>
      </c>
      <c r="BD137" s="398">
        <v>9560</v>
      </c>
      <c r="BE137" s="398">
        <v>9580</v>
      </c>
      <c r="BF137" s="398">
        <v>10020</v>
      </c>
    </row>
    <row r="138" spans="1:58" x14ac:dyDescent="0.2">
      <c r="A138" s="399" t="s">
        <v>79</v>
      </c>
      <c r="B138" s="247"/>
      <c r="C138" s="398">
        <v>720</v>
      </c>
      <c r="D138" s="398">
        <v>870</v>
      </c>
      <c r="E138" s="398">
        <v>1000</v>
      </c>
      <c r="F138" s="398">
        <v>1140</v>
      </c>
      <c r="G138" s="398">
        <v>1340</v>
      </c>
      <c r="H138" s="398">
        <v>1550</v>
      </c>
      <c r="I138" s="398">
        <v>1740</v>
      </c>
      <c r="J138" s="398">
        <v>1960</v>
      </c>
      <c r="K138" s="398">
        <v>2240</v>
      </c>
      <c r="L138" s="398">
        <v>2590</v>
      </c>
      <c r="M138" s="398">
        <v>2780</v>
      </c>
      <c r="N138" s="398">
        <v>2620</v>
      </c>
      <c r="O138" s="398">
        <v>3030</v>
      </c>
      <c r="P138" s="398">
        <v>3330</v>
      </c>
      <c r="Q138" s="398">
        <v>3660</v>
      </c>
      <c r="R138" s="398">
        <v>4480</v>
      </c>
      <c r="S138" s="398">
        <v>4600</v>
      </c>
      <c r="T138" s="398">
        <v>4650</v>
      </c>
      <c r="U138" s="398">
        <v>4940</v>
      </c>
      <c r="V138" s="398">
        <v>5050</v>
      </c>
      <c r="W138" s="398">
        <v>5250</v>
      </c>
      <c r="X138" s="398">
        <v>5460</v>
      </c>
      <c r="Y138" s="398">
        <v>5800</v>
      </c>
      <c r="Z138" s="398">
        <v>6080</v>
      </c>
      <c r="AA138" s="398">
        <v>6400</v>
      </c>
      <c r="AB138" s="398">
        <v>6650</v>
      </c>
      <c r="AC138" s="398">
        <v>6900</v>
      </c>
      <c r="AD138" s="398">
        <v>7310</v>
      </c>
      <c r="AE138" s="398">
        <v>7520</v>
      </c>
      <c r="AF138" s="398">
        <v>7980</v>
      </c>
      <c r="AG138" s="398">
        <v>8210</v>
      </c>
      <c r="AH138" s="398">
        <v>8350</v>
      </c>
      <c r="AI138" s="398">
        <v>8210</v>
      </c>
      <c r="AJ138" s="398">
        <v>8030</v>
      </c>
      <c r="AK138" s="398">
        <v>8020</v>
      </c>
      <c r="AL138" s="398">
        <v>8110</v>
      </c>
      <c r="AM138" s="398">
        <v>8230</v>
      </c>
      <c r="AN138" s="398">
        <v>8410</v>
      </c>
      <c r="AO138" s="398">
        <v>8390</v>
      </c>
      <c r="AP138" s="398">
        <v>8680</v>
      </c>
      <c r="AQ138" s="398">
        <v>8580</v>
      </c>
      <c r="AR138" s="398">
        <v>8260</v>
      </c>
      <c r="AS138" s="398">
        <v>7990</v>
      </c>
      <c r="AT138" s="398">
        <v>7710</v>
      </c>
      <c r="AU138" s="398">
        <v>7410</v>
      </c>
      <c r="AV138" s="398">
        <v>7440</v>
      </c>
      <c r="AW138" s="398">
        <v>7390</v>
      </c>
      <c r="AX138" s="398">
        <v>7680</v>
      </c>
      <c r="AY138" s="398">
        <v>7790</v>
      </c>
      <c r="AZ138" s="398">
        <v>7950</v>
      </c>
      <c r="BA138" s="398">
        <v>8190</v>
      </c>
      <c r="BB138" s="398">
        <v>8460</v>
      </c>
      <c r="BC138" s="398">
        <v>8570</v>
      </c>
      <c r="BD138" s="398">
        <v>8710</v>
      </c>
      <c r="BE138" s="398">
        <v>8860</v>
      </c>
      <c r="BF138" s="398">
        <v>8880</v>
      </c>
    </row>
    <row r="139" spans="1:58" x14ac:dyDescent="0.2">
      <c r="A139" s="399" t="s">
        <v>80</v>
      </c>
      <c r="B139" s="247"/>
      <c r="C139" s="398">
        <v>620</v>
      </c>
      <c r="D139" s="398">
        <v>730</v>
      </c>
      <c r="E139" s="398">
        <v>870</v>
      </c>
      <c r="F139" s="398">
        <v>990</v>
      </c>
      <c r="G139" s="398">
        <v>1120</v>
      </c>
      <c r="H139" s="398">
        <v>1300</v>
      </c>
      <c r="I139" s="398">
        <v>1490</v>
      </c>
      <c r="J139" s="398">
        <v>1670</v>
      </c>
      <c r="K139" s="398">
        <v>1870</v>
      </c>
      <c r="L139" s="398">
        <v>2130</v>
      </c>
      <c r="M139" s="398">
        <v>2460</v>
      </c>
      <c r="N139" s="398">
        <v>2630</v>
      </c>
      <c r="O139" s="398">
        <v>2470</v>
      </c>
      <c r="P139" s="398">
        <v>2860</v>
      </c>
      <c r="Q139" s="398">
        <v>3130</v>
      </c>
      <c r="R139" s="398">
        <v>3430</v>
      </c>
      <c r="S139" s="398">
        <v>4190</v>
      </c>
      <c r="T139" s="398">
        <v>4310</v>
      </c>
      <c r="U139" s="398">
        <v>4340</v>
      </c>
      <c r="V139" s="398">
        <v>4610</v>
      </c>
      <c r="W139" s="398">
        <v>4710</v>
      </c>
      <c r="X139" s="398">
        <v>4890</v>
      </c>
      <c r="Y139" s="398">
        <v>5090</v>
      </c>
      <c r="Z139" s="398">
        <v>5400</v>
      </c>
      <c r="AA139" s="398">
        <v>5650</v>
      </c>
      <c r="AB139" s="398">
        <v>5950</v>
      </c>
      <c r="AC139" s="398">
        <v>6180</v>
      </c>
      <c r="AD139" s="398">
        <v>6410</v>
      </c>
      <c r="AE139" s="398">
        <v>6790</v>
      </c>
      <c r="AF139" s="398">
        <v>6980</v>
      </c>
      <c r="AG139" s="398">
        <v>7400</v>
      </c>
      <c r="AH139" s="398">
        <v>7610</v>
      </c>
      <c r="AI139" s="398">
        <v>7740</v>
      </c>
      <c r="AJ139" s="398">
        <v>7600</v>
      </c>
      <c r="AK139" s="398">
        <v>7440</v>
      </c>
      <c r="AL139" s="398">
        <v>7430</v>
      </c>
      <c r="AM139" s="398">
        <v>7510</v>
      </c>
      <c r="AN139" s="398">
        <v>7620</v>
      </c>
      <c r="AO139" s="398">
        <v>7780</v>
      </c>
      <c r="AP139" s="398">
        <v>7760</v>
      </c>
      <c r="AQ139" s="398">
        <v>8030</v>
      </c>
      <c r="AR139" s="398">
        <v>7930</v>
      </c>
      <c r="AS139" s="398">
        <v>7630</v>
      </c>
      <c r="AT139" s="398">
        <v>7380</v>
      </c>
      <c r="AU139" s="398">
        <v>7130</v>
      </c>
      <c r="AV139" s="398">
        <v>6840</v>
      </c>
      <c r="AW139" s="398">
        <v>6860</v>
      </c>
      <c r="AX139" s="398">
        <v>6820</v>
      </c>
      <c r="AY139" s="398">
        <v>7090</v>
      </c>
      <c r="AZ139" s="398">
        <v>7200</v>
      </c>
      <c r="BA139" s="398">
        <v>7340</v>
      </c>
      <c r="BB139" s="398">
        <v>7560</v>
      </c>
      <c r="BC139" s="398">
        <v>7810</v>
      </c>
      <c r="BD139" s="398">
        <v>7920</v>
      </c>
      <c r="BE139" s="398">
        <v>8040</v>
      </c>
      <c r="BF139" s="398">
        <v>8190</v>
      </c>
    </row>
    <row r="140" spans="1:58" x14ac:dyDescent="0.2">
      <c r="A140" s="399" t="s">
        <v>81</v>
      </c>
      <c r="B140" s="247"/>
      <c r="C140" s="398">
        <v>510</v>
      </c>
      <c r="D140" s="398">
        <v>640</v>
      </c>
      <c r="E140" s="398">
        <v>740</v>
      </c>
      <c r="F140" s="398">
        <v>870</v>
      </c>
      <c r="G140" s="398">
        <v>980</v>
      </c>
      <c r="H140" s="398">
        <v>1090</v>
      </c>
      <c r="I140" s="398">
        <v>1260</v>
      </c>
      <c r="J140" s="398">
        <v>1430</v>
      </c>
      <c r="K140" s="398">
        <v>1590</v>
      </c>
      <c r="L140" s="398">
        <v>1770</v>
      </c>
      <c r="M140" s="398">
        <v>2020</v>
      </c>
      <c r="N140" s="398">
        <v>2320</v>
      </c>
      <c r="O140" s="398">
        <v>2470</v>
      </c>
      <c r="P140" s="398">
        <v>2320</v>
      </c>
      <c r="Q140" s="398">
        <v>2680</v>
      </c>
      <c r="R140" s="398">
        <v>2930</v>
      </c>
      <c r="S140" s="398">
        <v>3210</v>
      </c>
      <c r="T140" s="398">
        <v>3910</v>
      </c>
      <c r="U140" s="398">
        <v>4010</v>
      </c>
      <c r="V140" s="398">
        <v>4040</v>
      </c>
      <c r="W140" s="398">
        <v>4290</v>
      </c>
      <c r="X140" s="398">
        <v>4380</v>
      </c>
      <c r="Y140" s="398">
        <v>4540</v>
      </c>
      <c r="Z140" s="398">
        <v>4720</v>
      </c>
      <c r="AA140" s="398">
        <v>5010</v>
      </c>
      <c r="AB140" s="398">
        <v>5240</v>
      </c>
      <c r="AC140" s="398">
        <v>5510</v>
      </c>
      <c r="AD140" s="398">
        <v>5720</v>
      </c>
      <c r="AE140" s="398">
        <v>5930</v>
      </c>
      <c r="AF140" s="398">
        <v>6270</v>
      </c>
      <c r="AG140" s="398">
        <v>6450</v>
      </c>
      <c r="AH140" s="398">
        <v>6830</v>
      </c>
      <c r="AI140" s="398">
        <v>7030</v>
      </c>
      <c r="AJ140" s="398">
        <v>7140</v>
      </c>
      <c r="AK140" s="398">
        <v>7020</v>
      </c>
      <c r="AL140" s="398">
        <v>6860</v>
      </c>
      <c r="AM140" s="398">
        <v>6850</v>
      </c>
      <c r="AN140" s="398">
        <v>6920</v>
      </c>
      <c r="AO140" s="398">
        <v>7020</v>
      </c>
      <c r="AP140" s="398">
        <v>7170</v>
      </c>
      <c r="AQ140" s="398">
        <v>7150</v>
      </c>
      <c r="AR140" s="398">
        <v>7400</v>
      </c>
      <c r="AS140" s="398">
        <v>7310</v>
      </c>
      <c r="AT140" s="398">
        <v>7030</v>
      </c>
      <c r="AU140" s="398">
        <v>6800</v>
      </c>
      <c r="AV140" s="398">
        <v>6560</v>
      </c>
      <c r="AW140" s="398">
        <v>6290</v>
      </c>
      <c r="AX140" s="398">
        <v>6310</v>
      </c>
      <c r="AY140" s="398">
        <v>6270</v>
      </c>
      <c r="AZ140" s="398">
        <v>6520</v>
      </c>
      <c r="BA140" s="398">
        <v>6620</v>
      </c>
      <c r="BB140" s="398">
        <v>6750</v>
      </c>
      <c r="BC140" s="398">
        <v>6960</v>
      </c>
      <c r="BD140" s="398">
        <v>7190</v>
      </c>
      <c r="BE140" s="398">
        <v>7290</v>
      </c>
      <c r="BF140" s="398">
        <v>7410</v>
      </c>
    </row>
    <row r="141" spans="1:58" x14ac:dyDescent="0.2">
      <c r="A141" s="399" t="s">
        <v>82</v>
      </c>
      <c r="B141" s="247"/>
      <c r="C141" s="398">
        <v>420</v>
      </c>
      <c r="D141" s="398">
        <v>560</v>
      </c>
      <c r="E141" s="398">
        <v>670</v>
      </c>
      <c r="F141" s="398">
        <v>760</v>
      </c>
      <c r="G141" s="398">
        <v>870</v>
      </c>
      <c r="H141" s="398">
        <v>960</v>
      </c>
      <c r="I141" s="398">
        <v>1060</v>
      </c>
      <c r="J141" s="398">
        <v>1210</v>
      </c>
      <c r="K141" s="398">
        <v>1370</v>
      </c>
      <c r="L141" s="398">
        <v>1520</v>
      </c>
      <c r="M141" s="398">
        <v>1690</v>
      </c>
      <c r="N141" s="398">
        <v>1910</v>
      </c>
      <c r="O141" s="398">
        <v>2190</v>
      </c>
      <c r="P141" s="398">
        <v>2330</v>
      </c>
      <c r="Q141" s="398">
        <v>2180</v>
      </c>
      <c r="R141" s="398">
        <v>2510</v>
      </c>
      <c r="S141" s="398">
        <v>2740</v>
      </c>
      <c r="T141" s="398">
        <v>2990</v>
      </c>
      <c r="U141" s="398">
        <v>3640</v>
      </c>
      <c r="V141" s="398">
        <v>3730</v>
      </c>
      <c r="W141" s="398">
        <v>3750</v>
      </c>
      <c r="X141" s="398">
        <v>3980</v>
      </c>
      <c r="Y141" s="398">
        <v>4050</v>
      </c>
      <c r="Z141" s="398">
        <v>4200</v>
      </c>
      <c r="AA141" s="398">
        <v>4360</v>
      </c>
      <c r="AB141" s="398">
        <v>4620</v>
      </c>
      <c r="AC141" s="398">
        <v>4830</v>
      </c>
      <c r="AD141" s="398">
        <v>5080</v>
      </c>
      <c r="AE141" s="398">
        <v>5270</v>
      </c>
      <c r="AF141" s="398">
        <v>5460</v>
      </c>
      <c r="AG141" s="398">
        <v>5770</v>
      </c>
      <c r="AH141" s="398">
        <v>5930</v>
      </c>
      <c r="AI141" s="398">
        <v>6280</v>
      </c>
      <c r="AJ141" s="398">
        <v>6460</v>
      </c>
      <c r="AK141" s="398">
        <v>6560</v>
      </c>
      <c r="AL141" s="398">
        <v>6440</v>
      </c>
      <c r="AM141" s="398">
        <v>6300</v>
      </c>
      <c r="AN141" s="398">
        <v>6290</v>
      </c>
      <c r="AO141" s="398">
        <v>6350</v>
      </c>
      <c r="AP141" s="398">
        <v>6440</v>
      </c>
      <c r="AQ141" s="398">
        <v>6570</v>
      </c>
      <c r="AR141" s="398">
        <v>6550</v>
      </c>
      <c r="AS141" s="398">
        <v>6780</v>
      </c>
      <c r="AT141" s="398">
        <v>6700</v>
      </c>
      <c r="AU141" s="398">
        <v>6440</v>
      </c>
      <c r="AV141" s="398">
        <v>6230</v>
      </c>
      <c r="AW141" s="398">
        <v>6010</v>
      </c>
      <c r="AX141" s="398">
        <v>5760</v>
      </c>
      <c r="AY141" s="398">
        <v>5780</v>
      </c>
      <c r="AZ141" s="398">
        <v>5740</v>
      </c>
      <c r="BA141" s="398">
        <v>5970</v>
      </c>
      <c r="BB141" s="398">
        <v>6070</v>
      </c>
      <c r="BC141" s="398">
        <v>6190</v>
      </c>
      <c r="BD141" s="398">
        <v>6380</v>
      </c>
      <c r="BE141" s="398">
        <v>6590</v>
      </c>
      <c r="BF141" s="398">
        <v>6690</v>
      </c>
    </row>
    <row r="142" spans="1:58" x14ac:dyDescent="0.2">
      <c r="A142" s="399" t="s">
        <v>83</v>
      </c>
      <c r="B142" s="247"/>
      <c r="C142" s="398">
        <v>360</v>
      </c>
      <c r="D142" s="398">
        <v>460</v>
      </c>
      <c r="E142" s="398">
        <v>580</v>
      </c>
      <c r="F142" s="398">
        <v>680</v>
      </c>
      <c r="G142" s="398">
        <v>750</v>
      </c>
      <c r="H142" s="398">
        <v>850</v>
      </c>
      <c r="I142" s="398">
        <v>930</v>
      </c>
      <c r="J142" s="398">
        <v>1020</v>
      </c>
      <c r="K142" s="398">
        <v>1160</v>
      </c>
      <c r="L142" s="398">
        <v>1300</v>
      </c>
      <c r="M142" s="398">
        <v>1430</v>
      </c>
      <c r="N142" s="398">
        <v>1590</v>
      </c>
      <c r="O142" s="398">
        <v>1790</v>
      </c>
      <c r="P142" s="398">
        <v>2040</v>
      </c>
      <c r="Q142" s="398">
        <v>2170</v>
      </c>
      <c r="R142" s="398">
        <v>2030</v>
      </c>
      <c r="S142" s="398">
        <v>2330</v>
      </c>
      <c r="T142" s="398">
        <v>2540</v>
      </c>
      <c r="U142" s="398">
        <v>2770</v>
      </c>
      <c r="V142" s="398">
        <v>3360</v>
      </c>
      <c r="W142" s="398">
        <v>3440</v>
      </c>
      <c r="X142" s="398">
        <v>3460</v>
      </c>
      <c r="Y142" s="398">
        <v>3660</v>
      </c>
      <c r="Z142" s="398">
        <v>3730</v>
      </c>
      <c r="AA142" s="398">
        <v>3860</v>
      </c>
      <c r="AB142" s="398">
        <v>4010</v>
      </c>
      <c r="AC142" s="398">
        <v>4240</v>
      </c>
      <c r="AD142" s="398">
        <v>4430</v>
      </c>
      <c r="AE142" s="398">
        <v>4650</v>
      </c>
      <c r="AF142" s="398">
        <v>4820</v>
      </c>
      <c r="AG142" s="398">
        <v>5000</v>
      </c>
      <c r="AH142" s="398">
        <v>5290</v>
      </c>
      <c r="AI142" s="398">
        <v>5430</v>
      </c>
      <c r="AJ142" s="398">
        <v>5750</v>
      </c>
      <c r="AK142" s="398">
        <v>5910</v>
      </c>
      <c r="AL142" s="398">
        <v>6000</v>
      </c>
      <c r="AM142" s="398">
        <v>5890</v>
      </c>
      <c r="AN142" s="398">
        <v>5760</v>
      </c>
      <c r="AO142" s="398">
        <v>5740</v>
      </c>
      <c r="AP142" s="398">
        <v>5800</v>
      </c>
      <c r="AQ142" s="398">
        <v>5880</v>
      </c>
      <c r="AR142" s="398">
        <v>6000</v>
      </c>
      <c r="AS142" s="398">
        <v>5980</v>
      </c>
      <c r="AT142" s="398">
        <v>6190</v>
      </c>
      <c r="AU142" s="398">
        <v>6110</v>
      </c>
      <c r="AV142" s="398">
        <v>5880</v>
      </c>
      <c r="AW142" s="398">
        <v>5680</v>
      </c>
      <c r="AX142" s="398">
        <v>5470</v>
      </c>
      <c r="AY142" s="398">
        <v>5250</v>
      </c>
      <c r="AZ142" s="398">
        <v>5270</v>
      </c>
      <c r="BA142" s="398">
        <v>5240</v>
      </c>
      <c r="BB142" s="398">
        <v>5450</v>
      </c>
      <c r="BC142" s="398">
        <v>5540</v>
      </c>
      <c r="BD142" s="398">
        <v>5650</v>
      </c>
      <c r="BE142" s="398">
        <v>5820</v>
      </c>
      <c r="BF142" s="398">
        <v>6020</v>
      </c>
    </row>
    <row r="143" spans="1:58" x14ac:dyDescent="0.2">
      <c r="A143" s="399" t="s">
        <v>84</v>
      </c>
      <c r="B143" s="247"/>
      <c r="C143" s="398">
        <v>290</v>
      </c>
      <c r="D143" s="398">
        <v>390</v>
      </c>
      <c r="E143" s="398">
        <v>480</v>
      </c>
      <c r="F143" s="398">
        <v>590</v>
      </c>
      <c r="G143" s="398">
        <v>680</v>
      </c>
      <c r="H143" s="398">
        <v>740</v>
      </c>
      <c r="I143" s="398">
        <v>820</v>
      </c>
      <c r="J143" s="398">
        <v>890</v>
      </c>
      <c r="K143" s="398">
        <v>970</v>
      </c>
      <c r="L143" s="398">
        <v>1090</v>
      </c>
      <c r="M143" s="398">
        <v>1220</v>
      </c>
      <c r="N143" s="398">
        <v>1340</v>
      </c>
      <c r="O143" s="398">
        <v>1480</v>
      </c>
      <c r="P143" s="398">
        <v>1670</v>
      </c>
      <c r="Q143" s="398">
        <v>1890</v>
      </c>
      <c r="R143" s="398">
        <v>2000</v>
      </c>
      <c r="S143" s="398">
        <v>1870</v>
      </c>
      <c r="T143" s="398">
        <v>2140</v>
      </c>
      <c r="U143" s="398">
        <v>2330</v>
      </c>
      <c r="V143" s="398">
        <v>2540</v>
      </c>
      <c r="W143" s="398">
        <v>3080</v>
      </c>
      <c r="X143" s="398">
        <v>3150</v>
      </c>
      <c r="Y143" s="398">
        <v>3160</v>
      </c>
      <c r="Z143" s="398">
        <v>3350</v>
      </c>
      <c r="AA143" s="398">
        <v>3410</v>
      </c>
      <c r="AB143" s="398">
        <v>3530</v>
      </c>
      <c r="AC143" s="398">
        <v>3660</v>
      </c>
      <c r="AD143" s="398">
        <v>3870</v>
      </c>
      <c r="AE143" s="398">
        <v>4040</v>
      </c>
      <c r="AF143" s="398">
        <v>4240</v>
      </c>
      <c r="AG143" s="398">
        <v>4390</v>
      </c>
      <c r="AH143" s="398">
        <v>4550</v>
      </c>
      <c r="AI143" s="398">
        <v>4810</v>
      </c>
      <c r="AJ143" s="398">
        <v>4930</v>
      </c>
      <c r="AK143" s="398">
        <v>5220</v>
      </c>
      <c r="AL143" s="398">
        <v>5370</v>
      </c>
      <c r="AM143" s="398">
        <v>5450</v>
      </c>
      <c r="AN143" s="398">
        <v>5350</v>
      </c>
      <c r="AO143" s="398">
        <v>5230</v>
      </c>
      <c r="AP143" s="398">
        <v>5210</v>
      </c>
      <c r="AQ143" s="398">
        <v>5260</v>
      </c>
      <c r="AR143" s="398">
        <v>5340</v>
      </c>
      <c r="AS143" s="398">
        <v>5450</v>
      </c>
      <c r="AT143" s="398">
        <v>5430</v>
      </c>
      <c r="AU143" s="398">
        <v>5620</v>
      </c>
      <c r="AV143" s="398">
        <v>5550</v>
      </c>
      <c r="AW143" s="398">
        <v>5330</v>
      </c>
      <c r="AX143" s="398">
        <v>5150</v>
      </c>
      <c r="AY143" s="398">
        <v>4960</v>
      </c>
      <c r="AZ143" s="398">
        <v>4760</v>
      </c>
      <c r="BA143" s="398">
        <v>4780</v>
      </c>
      <c r="BB143" s="398">
        <v>4750</v>
      </c>
      <c r="BC143" s="398">
        <v>4950</v>
      </c>
      <c r="BD143" s="398">
        <v>5030</v>
      </c>
      <c r="BE143" s="398">
        <v>5130</v>
      </c>
      <c r="BF143" s="398">
        <v>5290</v>
      </c>
    </row>
    <row r="144" spans="1:58" x14ac:dyDescent="0.2">
      <c r="A144" s="399" t="s">
        <v>955</v>
      </c>
      <c r="B144" s="247"/>
      <c r="C144" s="398">
        <v>1020</v>
      </c>
      <c r="D144" s="398">
        <v>1490</v>
      </c>
      <c r="E144" s="398">
        <v>1960</v>
      </c>
      <c r="F144" s="398">
        <v>2420</v>
      </c>
      <c r="G144" s="398">
        <v>2900</v>
      </c>
      <c r="H144" s="398">
        <v>3370</v>
      </c>
      <c r="I144" s="398">
        <v>3790</v>
      </c>
      <c r="J144" s="398">
        <v>4210</v>
      </c>
      <c r="K144" s="398">
        <v>4620</v>
      </c>
      <c r="L144" s="398">
        <v>5010</v>
      </c>
      <c r="M144" s="398">
        <v>5440</v>
      </c>
      <c r="N144" s="398">
        <v>5920</v>
      </c>
      <c r="O144" s="398">
        <v>6420</v>
      </c>
      <c r="P144" s="398">
        <v>6970</v>
      </c>
      <c r="Q144" s="398">
        <v>7600</v>
      </c>
      <c r="R144" s="398">
        <v>8340</v>
      </c>
      <c r="S144" s="398">
        <v>9080</v>
      </c>
      <c r="T144" s="398">
        <v>9580</v>
      </c>
      <c r="U144" s="398">
        <v>10250</v>
      </c>
      <c r="V144" s="398">
        <v>10980</v>
      </c>
      <c r="W144" s="398">
        <v>11780</v>
      </c>
      <c r="X144" s="398">
        <v>12960</v>
      </c>
      <c r="Y144" s="398">
        <v>14040</v>
      </c>
      <c r="Z144" s="398">
        <v>14980</v>
      </c>
      <c r="AA144" s="398">
        <v>15930</v>
      </c>
      <c r="AB144" s="398">
        <v>16790</v>
      </c>
      <c r="AC144" s="398">
        <v>17620</v>
      </c>
      <c r="AD144" s="398">
        <v>18430</v>
      </c>
      <c r="AE144" s="398">
        <v>19300</v>
      </c>
      <c r="AF144" s="398">
        <v>20180</v>
      </c>
      <c r="AG144" s="398">
        <v>21100</v>
      </c>
      <c r="AH144" s="398">
        <v>22020</v>
      </c>
      <c r="AI144" s="398">
        <v>22930</v>
      </c>
      <c r="AJ144" s="398">
        <v>23940</v>
      </c>
      <c r="AK144" s="398">
        <v>24900</v>
      </c>
      <c r="AL144" s="398">
        <v>25990</v>
      </c>
      <c r="AM144" s="398">
        <v>27040</v>
      </c>
      <c r="AN144" s="398">
        <v>28010</v>
      </c>
      <c r="AO144" s="398">
        <v>28750</v>
      </c>
      <c r="AP144" s="398">
        <v>29250</v>
      </c>
      <c r="AQ144" s="398">
        <v>29640</v>
      </c>
      <c r="AR144" s="398">
        <v>30000</v>
      </c>
      <c r="AS144" s="398">
        <v>30350</v>
      </c>
      <c r="AT144" s="398">
        <v>30730</v>
      </c>
      <c r="AU144" s="398">
        <v>31030</v>
      </c>
      <c r="AV144" s="398">
        <v>31440</v>
      </c>
      <c r="AW144" s="398">
        <v>31690</v>
      </c>
      <c r="AX144" s="398">
        <v>31700</v>
      </c>
      <c r="AY144" s="398">
        <v>31550</v>
      </c>
      <c r="AZ144" s="398">
        <v>31260</v>
      </c>
      <c r="BA144" s="398">
        <v>30820</v>
      </c>
      <c r="BB144" s="398">
        <v>30450</v>
      </c>
      <c r="BC144" s="398">
        <v>30100</v>
      </c>
      <c r="BD144" s="398">
        <v>29980</v>
      </c>
      <c r="BE144" s="398">
        <v>29970</v>
      </c>
      <c r="BF144" s="398">
        <v>30070</v>
      </c>
    </row>
    <row r="145" spans="1:58" x14ac:dyDescent="0.2">
      <c r="A145" s="395" t="s">
        <v>814</v>
      </c>
      <c r="B145" s="247"/>
      <c r="C145" s="394">
        <f>SUM(C$79:C$144)/1000000</f>
        <v>1.0420199999999999</v>
      </c>
      <c r="D145" s="394">
        <f t="shared" ref="D145:BF145" si="3">SUM(D$79:D$144)/1000000</f>
        <v>1.06087</v>
      </c>
      <c r="E145" s="394">
        <f t="shared" si="3"/>
        <v>1.0775399999999999</v>
      </c>
      <c r="F145" s="394">
        <f t="shared" si="3"/>
        <v>1.08663</v>
      </c>
      <c r="G145" s="394">
        <f t="shared" si="3"/>
        <v>1.10049</v>
      </c>
      <c r="H145" s="394">
        <f t="shared" si="3"/>
        <v>1.11354</v>
      </c>
      <c r="I145" s="394">
        <f t="shared" si="3"/>
        <v>1.1267100000000001</v>
      </c>
      <c r="J145" s="394">
        <f t="shared" si="3"/>
        <v>1.14036</v>
      </c>
      <c r="K145" s="394">
        <f t="shared" si="3"/>
        <v>1.1554</v>
      </c>
      <c r="L145" s="394">
        <f t="shared" si="3"/>
        <v>1.1715500000000001</v>
      </c>
      <c r="M145" s="394">
        <f t="shared" si="3"/>
        <v>1.1877899999999999</v>
      </c>
      <c r="N145" s="394">
        <f t="shared" si="3"/>
        <v>1.20306</v>
      </c>
      <c r="O145" s="394">
        <f t="shared" si="3"/>
        <v>1.2172799999999999</v>
      </c>
      <c r="P145" s="394">
        <f t="shared" si="3"/>
        <v>1.23092</v>
      </c>
      <c r="Q145" s="394">
        <f t="shared" si="3"/>
        <v>1.24373</v>
      </c>
      <c r="R145" s="394">
        <f t="shared" si="3"/>
        <v>1.25604</v>
      </c>
      <c r="S145" s="394">
        <f t="shared" si="3"/>
        <v>1.26799</v>
      </c>
      <c r="T145" s="394">
        <f t="shared" si="3"/>
        <v>1.27986</v>
      </c>
      <c r="U145" s="394">
        <f t="shared" si="3"/>
        <v>1.29115</v>
      </c>
      <c r="V145" s="394">
        <f t="shared" si="3"/>
        <v>1.3022199999999999</v>
      </c>
      <c r="W145" s="394">
        <f t="shared" si="3"/>
        <v>1.31246</v>
      </c>
      <c r="X145" s="394">
        <f t="shared" si="3"/>
        <v>1.3218300000000001</v>
      </c>
      <c r="Y145" s="394">
        <f t="shared" si="3"/>
        <v>1.33047</v>
      </c>
      <c r="Z145" s="394">
        <f t="shared" si="3"/>
        <v>1.33857</v>
      </c>
      <c r="AA145" s="394">
        <f t="shared" si="3"/>
        <v>1.3460399999999999</v>
      </c>
      <c r="AB145" s="394">
        <f t="shared" si="3"/>
        <v>1.3532500000000001</v>
      </c>
      <c r="AC145" s="394">
        <f t="shared" si="3"/>
        <v>1.3602099999999999</v>
      </c>
      <c r="AD145" s="394">
        <f t="shared" si="3"/>
        <v>1.36686</v>
      </c>
      <c r="AE145" s="394">
        <f t="shared" si="3"/>
        <v>1.3731899999999999</v>
      </c>
      <c r="AF145" s="394">
        <f t="shared" si="3"/>
        <v>1.3791599999999999</v>
      </c>
      <c r="AG145" s="394">
        <f t="shared" si="3"/>
        <v>1.38486</v>
      </c>
      <c r="AH145" s="394">
        <f t="shared" si="3"/>
        <v>1.39036</v>
      </c>
      <c r="AI145" s="394">
        <f t="shared" si="3"/>
        <v>1.3958299999999999</v>
      </c>
      <c r="AJ145" s="394">
        <f t="shared" si="3"/>
        <v>1.4013199999999999</v>
      </c>
      <c r="AK145" s="394">
        <f t="shared" si="3"/>
        <v>1.4071100000000001</v>
      </c>
      <c r="AL145" s="394">
        <f t="shared" si="3"/>
        <v>1.41306</v>
      </c>
      <c r="AM145" s="394">
        <f t="shared" si="3"/>
        <v>1.41926</v>
      </c>
      <c r="AN145" s="394">
        <f t="shared" si="3"/>
        <v>1.4255500000000001</v>
      </c>
      <c r="AO145" s="394">
        <f t="shared" si="3"/>
        <v>1.43188</v>
      </c>
      <c r="AP145" s="394">
        <f t="shared" si="3"/>
        <v>1.43818</v>
      </c>
      <c r="AQ145" s="394">
        <f t="shared" si="3"/>
        <v>1.4441900000000001</v>
      </c>
      <c r="AR145" s="394">
        <f t="shared" si="3"/>
        <v>1.4500599999999999</v>
      </c>
      <c r="AS145" s="394">
        <f t="shared" si="3"/>
        <v>1.4556100000000001</v>
      </c>
      <c r="AT145" s="394">
        <f t="shared" si="3"/>
        <v>1.46082</v>
      </c>
      <c r="AU145" s="394">
        <f t="shared" si="3"/>
        <v>1.46576</v>
      </c>
      <c r="AV145" s="394">
        <f t="shared" si="3"/>
        <v>1.47031</v>
      </c>
      <c r="AW145" s="394">
        <f t="shared" si="3"/>
        <v>1.4744900000000001</v>
      </c>
      <c r="AX145" s="394">
        <f t="shared" si="3"/>
        <v>1.47827</v>
      </c>
      <c r="AY145" s="394">
        <f t="shared" si="3"/>
        <v>1.4819199999999999</v>
      </c>
      <c r="AZ145" s="394">
        <f t="shared" si="3"/>
        <v>1.4852399999999999</v>
      </c>
      <c r="BA145" s="394">
        <f t="shared" si="3"/>
        <v>1.4883</v>
      </c>
      <c r="BB145" s="394">
        <f t="shared" si="3"/>
        <v>1.4911099999999999</v>
      </c>
      <c r="BC145" s="394">
        <f t="shared" si="3"/>
        <v>1.4938</v>
      </c>
      <c r="BD145" s="394">
        <f t="shared" si="3"/>
        <v>1.49648</v>
      </c>
      <c r="BE145" s="394">
        <f t="shared" si="3"/>
        <v>1.49932</v>
      </c>
      <c r="BF145" s="394">
        <f t="shared" si="3"/>
        <v>1.5021500000000001</v>
      </c>
    </row>
    <row r="146" spans="1:58" x14ac:dyDescent="0.2">
      <c r="A146" s="397"/>
      <c r="B146" s="247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6"/>
      <c r="T146" s="396"/>
      <c r="U146" s="396"/>
      <c r="V146" s="396"/>
      <c r="W146" s="396"/>
      <c r="X146" s="396"/>
      <c r="Y146" s="396"/>
      <c r="Z146" s="396"/>
      <c r="AA146" s="396"/>
      <c r="AB146" s="396"/>
      <c r="AC146" s="396"/>
      <c r="AD146" s="396"/>
      <c r="AE146" s="396"/>
      <c r="AF146" s="396"/>
      <c r="AG146" s="396"/>
      <c r="AH146" s="396"/>
      <c r="AI146" s="396"/>
      <c r="AJ146" s="396"/>
      <c r="AK146" s="396"/>
      <c r="AL146" s="396"/>
      <c r="AM146" s="396"/>
      <c r="AN146" s="396"/>
      <c r="AO146" s="396"/>
      <c r="AP146" s="396"/>
      <c r="AQ146" s="396"/>
      <c r="AR146" s="396"/>
      <c r="AS146" s="396"/>
      <c r="AT146" s="396"/>
      <c r="AU146" s="396"/>
      <c r="AV146" s="396"/>
      <c r="AW146" s="396"/>
      <c r="AX146" s="396"/>
      <c r="AY146" s="396"/>
      <c r="AZ146" s="396"/>
      <c r="BA146" s="396"/>
      <c r="BB146" s="396"/>
      <c r="BC146" s="396"/>
      <c r="BD146" s="396"/>
      <c r="BE146" s="396"/>
      <c r="BF146" s="396"/>
    </row>
    <row r="147" spans="1:58" x14ac:dyDescent="0.2">
      <c r="A147" s="395" t="s">
        <v>806</v>
      </c>
      <c r="B147" s="247"/>
      <c r="C147" s="394">
        <f t="shared" ref="C147:BE147" si="4">SUM(C$10:C$75,C$79:C$144)/1000000</f>
        <v>2.2436500000000001</v>
      </c>
      <c r="D147" s="394">
        <f t="shared" si="4"/>
        <v>2.27949</v>
      </c>
      <c r="E147" s="394">
        <f t="shared" si="4"/>
        <v>2.3120099999999999</v>
      </c>
      <c r="F147" s="394">
        <f t="shared" si="4"/>
        <v>2.3308800000000001</v>
      </c>
      <c r="G147" s="394">
        <f t="shared" si="4"/>
        <v>2.3586100000000001</v>
      </c>
      <c r="H147" s="394">
        <f t="shared" si="4"/>
        <v>2.3846500000000002</v>
      </c>
      <c r="I147" s="394">
        <f t="shared" si="4"/>
        <v>2.4099900000000001</v>
      </c>
      <c r="J147" s="394">
        <f t="shared" si="4"/>
        <v>2.43676</v>
      </c>
      <c r="K147" s="394">
        <f t="shared" si="4"/>
        <v>2.4668700000000001</v>
      </c>
      <c r="L147" s="394">
        <f t="shared" si="4"/>
        <v>2.4997199999999999</v>
      </c>
      <c r="M147" s="394">
        <f t="shared" si="4"/>
        <v>2.53267</v>
      </c>
      <c r="N147" s="394">
        <f t="shared" si="4"/>
        <v>2.56352</v>
      </c>
      <c r="O147" s="394">
        <f t="shared" si="4"/>
        <v>2.5926100000000001</v>
      </c>
      <c r="P147" s="394">
        <f t="shared" si="4"/>
        <v>2.6204900000000002</v>
      </c>
      <c r="Q147" s="394">
        <f t="shared" si="4"/>
        <v>2.6467499999999999</v>
      </c>
      <c r="R147" s="394">
        <f t="shared" si="4"/>
        <v>2.67198</v>
      </c>
      <c r="S147" s="394">
        <f t="shared" si="4"/>
        <v>2.6967300000000001</v>
      </c>
      <c r="T147" s="394">
        <f t="shared" si="4"/>
        <v>2.72153</v>
      </c>
      <c r="U147" s="394">
        <f t="shared" si="4"/>
        <v>2.7455400000000001</v>
      </c>
      <c r="V147" s="394">
        <f t="shared" si="4"/>
        <v>2.7690999999999999</v>
      </c>
      <c r="W147" s="394">
        <f t="shared" si="4"/>
        <v>2.7913899999999998</v>
      </c>
      <c r="X147" s="394">
        <f t="shared" si="4"/>
        <v>2.8121200000000002</v>
      </c>
      <c r="Y147" s="394">
        <f t="shared" si="4"/>
        <v>2.83168</v>
      </c>
      <c r="Z147" s="394">
        <f t="shared" si="4"/>
        <v>2.85025</v>
      </c>
      <c r="AA147" s="394">
        <f t="shared" si="4"/>
        <v>2.8678300000000001</v>
      </c>
      <c r="AB147" s="394">
        <f t="shared" si="4"/>
        <v>2.8849100000000001</v>
      </c>
      <c r="AC147" s="394">
        <f t="shared" si="4"/>
        <v>2.90158</v>
      </c>
      <c r="AD147" s="394">
        <f t="shared" si="4"/>
        <v>2.9178700000000002</v>
      </c>
      <c r="AE147" s="394">
        <f t="shared" si="4"/>
        <v>2.93377</v>
      </c>
      <c r="AF147" s="394">
        <f t="shared" si="4"/>
        <v>2.94929</v>
      </c>
      <c r="AG147" s="394">
        <f t="shared" si="4"/>
        <v>2.9645299999999999</v>
      </c>
      <c r="AH147" s="394">
        <f t="shared" si="4"/>
        <v>2.9795099999999999</v>
      </c>
      <c r="AI147" s="394">
        <f t="shared" si="4"/>
        <v>2.9945400000000002</v>
      </c>
      <c r="AJ147" s="394">
        <f t="shared" si="4"/>
        <v>3.00969</v>
      </c>
      <c r="AK147" s="394">
        <f t="shared" si="4"/>
        <v>3.0252500000000002</v>
      </c>
      <c r="AL147" s="394">
        <f t="shared" si="4"/>
        <v>3.0410400000000002</v>
      </c>
      <c r="AM147" s="394">
        <f t="shared" si="4"/>
        <v>3.05714</v>
      </c>
      <c r="AN147" s="394">
        <f t="shared" si="4"/>
        <v>3.0735000000000001</v>
      </c>
      <c r="AO147" s="394">
        <f t="shared" si="4"/>
        <v>3.08989</v>
      </c>
      <c r="AP147" s="394">
        <f t="shared" si="4"/>
        <v>3.10616</v>
      </c>
      <c r="AQ147" s="394">
        <f t="shared" si="4"/>
        <v>3.1219199999999998</v>
      </c>
      <c r="AR147" s="394">
        <f t="shared" si="4"/>
        <v>3.13734</v>
      </c>
      <c r="AS147" s="394">
        <f t="shared" si="4"/>
        <v>3.1522399999999999</v>
      </c>
      <c r="AT147" s="394">
        <f t="shared" si="4"/>
        <v>3.1663600000000001</v>
      </c>
      <c r="AU147" s="394">
        <f t="shared" si="4"/>
        <v>3.17984</v>
      </c>
      <c r="AV147" s="394">
        <f t="shared" si="4"/>
        <v>3.1925500000000002</v>
      </c>
      <c r="AW147" s="394">
        <f t="shared" si="4"/>
        <v>3.20438</v>
      </c>
      <c r="AX147" s="394">
        <f t="shared" si="4"/>
        <v>3.2154099999999999</v>
      </c>
      <c r="AY147" s="394">
        <f t="shared" si="4"/>
        <v>3.2259699999999998</v>
      </c>
      <c r="AZ147" s="394">
        <f t="shared" si="4"/>
        <v>3.2358500000000001</v>
      </c>
      <c r="BA147" s="394">
        <f t="shared" si="4"/>
        <v>3.24512</v>
      </c>
      <c r="BB147" s="394">
        <f t="shared" si="4"/>
        <v>3.2537099999999999</v>
      </c>
      <c r="BC147" s="394">
        <f t="shared" si="4"/>
        <v>3.2618999999999998</v>
      </c>
      <c r="BD147" s="394">
        <f t="shared" si="4"/>
        <v>3.2698200000000002</v>
      </c>
      <c r="BE147" s="394">
        <f t="shared" si="4"/>
        <v>3.27765</v>
      </c>
      <c r="BF147" s="394">
        <f>SUM(BF$10:BF$75,BF$79:BF$144)/1000000</f>
        <v>3.2852600000000001</v>
      </c>
    </row>
    <row r="151" spans="1:58" x14ac:dyDescent="0.2">
      <c r="C151" s="405"/>
    </row>
    <row r="152" spans="1:58" x14ac:dyDescent="0.2">
      <c r="C152" s="405"/>
    </row>
    <row r="153" spans="1:58" x14ac:dyDescent="0.2">
      <c r="C153" s="405"/>
    </row>
    <row r="154" spans="1:58" x14ac:dyDescent="0.2">
      <c r="C154" s="405"/>
    </row>
    <row r="155" spans="1:58" x14ac:dyDescent="0.2">
      <c r="C155" s="405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1"/>
  <sheetViews>
    <sheetView topLeftCell="H1" workbookViewId="0">
      <selection activeCell="N93" sqref="N93"/>
    </sheetView>
  </sheetViews>
  <sheetFormatPr defaultRowHeight="12.75" x14ac:dyDescent="0.2"/>
  <cols>
    <col min="1" max="1" width="35.7109375" customWidth="1"/>
    <col min="5" max="5" width="10" bestFit="1" customWidth="1"/>
    <col min="6" max="7" width="9.5703125" bestFit="1" customWidth="1"/>
    <col min="12" max="13" width="9.140625" customWidth="1"/>
  </cols>
  <sheetData>
    <row r="1" spans="1:69" ht="15.75" x14ac:dyDescent="0.25">
      <c r="A1" s="6" t="s">
        <v>251</v>
      </c>
    </row>
    <row r="2" spans="1:69" x14ac:dyDescent="0.2">
      <c r="A2" s="266"/>
    </row>
    <row r="3" spans="1:69" ht="18.75" x14ac:dyDescent="0.3">
      <c r="A3" s="7" t="s">
        <v>404</v>
      </c>
      <c r="B3" s="8"/>
      <c r="C3" s="8"/>
      <c r="D3" s="14" t="s">
        <v>529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x14ac:dyDescent="0.2">
      <c r="A4" s="8"/>
      <c r="B4" s="8"/>
      <c r="C4" s="65" t="s">
        <v>440</v>
      </c>
      <c r="D4" s="65" t="s">
        <v>441</v>
      </c>
      <c r="E4" s="65" t="s">
        <v>442</v>
      </c>
      <c r="F4" s="65" t="s">
        <v>443</v>
      </c>
      <c r="G4" s="65" t="s">
        <v>444</v>
      </c>
      <c r="H4" s="65" t="s">
        <v>445</v>
      </c>
      <c r="I4" s="65" t="s">
        <v>446</v>
      </c>
      <c r="J4" s="65" t="s">
        <v>447</v>
      </c>
      <c r="K4" s="65" t="s">
        <v>448</v>
      </c>
      <c r="L4" s="65" t="s">
        <v>449</v>
      </c>
      <c r="M4" s="65" t="s">
        <v>450</v>
      </c>
      <c r="N4" s="63" t="s">
        <v>451</v>
      </c>
      <c r="O4" s="63" t="s">
        <v>452</v>
      </c>
      <c r="P4" s="63" t="s">
        <v>453</v>
      </c>
      <c r="Q4" s="63" t="s">
        <v>454</v>
      </c>
      <c r="R4" s="63" t="s">
        <v>455</v>
      </c>
      <c r="S4" s="9" t="s">
        <v>456</v>
      </c>
      <c r="T4" s="9" t="s">
        <v>457</v>
      </c>
      <c r="U4" s="9" t="s">
        <v>458</v>
      </c>
      <c r="V4" s="9" t="s">
        <v>459</v>
      </c>
      <c r="W4" s="9" t="s">
        <v>460</v>
      </c>
      <c r="X4" s="9" t="s">
        <v>461</v>
      </c>
      <c r="Y4" s="9" t="s">
        <v>462</v>
      </c>
      <c r="Z4" s="9" t="s">
        <v>463</v>
      </c>
      <c r="AA4" s="9" t="s">
        <v>464</v>
      </c>
      <c r="AB4" s="9" t="s">
        <v>465</v>
      </c>
      <c r="AC4" s="9" t="s">
        <v>466</v>
      </c>
      <c r="AD4" s="9" t="s">
        <v>467</v>
      </c>
      <c r="AE4" s="9" t="s">
        <v>468</v>
      </c>
      <c r="AF4" s="9" t="s">
        <v>469</v>
      </c>
      <c r="AG4" s="9" t="s">
        <v>470</v>
      </c>
      <c r="AH4" s="9" t="s">
        <v>471</v>
      </c>
      <c r="AI4" s="9" t="s">
        <v>472</v>
      </c>
      <c r="AJ4" s="9" t="s">
        <v>473</v>
      </c>
      <c r="AK4" s="9" t="s">
        <v>474</v>
      </c>
      <c r="AL4" s="9" t="s">
        <v>475</v>
      </c>
      <c r="AM4" s="9" t="s">
        <v>476</v>
      </c>
      <c r="AN4" s="9" t="s">
        <v>477</v>
      </c>
      <c r="AO4" s="9" t="s">
        <v>478</v>
      </c>
      <c r="AP4" s="9" t="s">
        <v>479</v>
      </c>
      <c r="AQ4" s="9" t="s">
        <v>480</v>
      </c>
      <c r="AR4" s="9" t="s">
        <v>481</v>
      </c>
      <c r="AS4" s="9" t="s">
        <v>482</v>
      </c>
      <c r="AT4" s="9" t="s">
        <v>483</v>
      </c>
      <c r="AU4" s="9" t="s">
        <v>484</v>
      </c>
      <c r="AV4" s="9" t="s">
        <v>485</v>
      </c>
      <c r="AW4" s="9" t="s">
        <v>486</v>
      </c>
      <c r="AX4" s="9" t="s">
        <v>487</v>
      </c>
      <c r="AY4" s="9" t="s">
        <v>488</v>
      </c>
      <c r="AZ4" s="9" t="s">
        <v>489</v>
      </c>
      <c r="BA4" s="9" t="s">
        <v>490</v>
      </c>
      <c r="BB4" s="9" t="s">
        <v>491</v>
      </c>
      <c r="BC4" s="9" t="s">
        <v>492</v>
      </c>
      <c r="BD4" s="9" t="s">
        <v>494</v>
      </c>
      <c r="BE4" s="9" t="s">
        <v>495</v>
      </c>
      <c r="BF4" s="9" t="s">
        <v>496</v>
      </c>
      <c r="BG4" s="9" t="s">
        <v>497</v>
      </c>
      <c r="BH4" s="9" t="s">
        <v>498</v>
      </c>
      <c r="BI4" s="9" t="s">
        <v>499</v>
      </c>
      <c r="BJ4" s="9" t="s">
        <v>500</v>
      </c>
      <c r="BK4" s="9" t="s">
        <v>501</v>
      </c>
      <c r="BL4" s="9" t="s">
        <v>502</v>
      </c>
      <c r="BM4" s="9" t="s">
        <v>503</v>
      </c>
      <c r="BN4" s="9" t="s">
        <v>504</v>
      </c>
      <c r="BO4" s="9" t="s">
        <v>505</v>
      </c>
      <c r="BP4" s="9" t="s">
        <v>506</v>
      </c>
      <c r="BQ4" s="9" t="s">
        <v>507</v>
      </c>
    </row>
    <row r="5" spans="1:69" x14ac:dyDescent="0.2">
      <c r="A5" s="10" t="s">
        <v>516</v>
      </c>
      <c r="B5" s="8"/>
      <c r="C5" s="64">
        <v>0.6</v>
      </c>
      <c r="D5" s="64">
        <v>1.2</v>
      </c>
      <c r="E5" s="64">
        <v>1.8789999999999996</v>
      </c>
      <c r="F5" s="104">
        <v>2.1070000000000002</v>
      </c>
      <c r="G5" s="104">
        <v>2.3369999999999997</v>
      </c>
      <c r="H5" s="104">
        <v>2.0489999999999999</v>
      </c>
      <c r="I5" s="104">
        <v>2.1040000000000001</v>
      </c>
      <c r="J5" s="104">
        <v>2.2429999999999999</v>
      </c>
      <c r="K5" s="104">
        <v>0.25</v>
      </c>
      <c r="L5" s="104">
        <v>0</v>
      </c>
      <c r="M5" s="104">
        <v>0</v>
      </c>
      <c r="N5" s="357">
        <v>0</v>
      </c>
      <c r="O5" s="357">
        <v>0</v>
      </c>
      <c r="P5" s="357">
        <v>0</v>
      </c>
      <c r="Q5" s="357">
        <v>0</v>
      </c>
      <c r="R5" s="357">
        <v>0</v>
      </c>
      <c r="S5" s="356">
        <v>0</v>
      </c>
      <c r="T5" s="356">
        <v>2.1160000000000001</v>
      </c>
      <c r="U5" s="356">
        <v>2.1619999999999999</v>
      </c>
      <c r="V5" s="356">
        <v>2.089</v>
      </c>
      <c r="W5" s="356">
        <v>2.0110000000000001</v>
      </c>
      <c r="X5" s="356">
        <v>1.9119999999999999</v>
      </c>
      <c r="Y5" s="356">
        <v>1.702</v>
      </c>
      <c r="Z5" s="356">
        <v>1.462</v>
      </c>
      <c r="AA5" s="356">
        <v>1.1659999999999999</v>
      </c>
      <c r="AB5" s="356">
        <v>0.83199999999999996</v>
      </c>
      <c r="AC5" s="356">
        <v>0.48299999999999998</v>
      </c>
      <c r="AD5" s="356">
        <v>0.14599999999999999</v>
      </c>
      <c r="AE5" s="356">
        <v>-0.159</v>
      </c>
      <c r="AF5" s="356">
        <v>-0.45200000000000001</v>
      </c>
      <c r="AG5" s="356">
        <v>-0.73599999999999999</v>
      </c>
      <c r="AH5" s="356">
        <v>-1.028</v>
      </c>
      <c r="AI5" s="356">
        <v>-1.3380000000000001</v>
      </c>
      <c r="AJ5" s="356">
        <v>-1.6279999999999999</v>
      </c>
      <c r="AK5" s="356">
        <v>-1.948</v>
      </c>
      <c r="AL5" s="356">
        <v>-2.2370000000000001</v>
      </c>
      <c r="AM5" s="356">
        <v>-2.4380000000000002</v>
      </c>
      <c r="AN5" s="356">
        <v>-2.5539999999999998</v>
      </c>
      <c r="AO5" s="356">
        <v>-2.5819999999999999</v>
      </c>
      <c r="AP5" s="356">
        <v>-2.5150000000000001</v>
      </c>
      <c r="AQ5" s="356">
        <v>-2.4089999999999998</v>
      </c>
      <c r="AR5" s="356">
        <v>-2.2429999999999999</v>
      </c>
      <c r="AS5" s="356">
        <v>-2.0950000000000002</v>
      </c>
      <c r="AT5" s="356">
        <v>-1.9570000000000001</v>
      </c>
      <c r="AU5" s="356">
        <v>-1.8340000000000001</v>
      </c>
      <c r="AV5" s="356">
        <v>-1.752</v>
      </c>
      <c r="AW5" s="356">
        <v>-1.7290000000000001</v>
      </c>
      <c r="AX5" s="356">
        <v>-1.7210000000000001</v>
      </c>
      <c r="AY5" s="356">
        <v>-1.74</v>
      </c>
      <c r="AZ5" s="356">
        <v>-1.8129999999999999</v>
      </c>
      <c r="BA5" s="356">
        <v>-1.93</v>
      </c>
      <c r="BB5" s="356">
        <v>-2.1949999999999998</v>
      </c>
      <c r="BC5" s="356">
        <v>-2.5779999999999998</v>
      </c>
      <c r="BD5" s="356">
        <v>-3.1469999999999998</v>
      </c>
      <c r="BE5" s="356">
        <v>-3.855</v>
      </c>
      <c r="BF5" s="356">
        <v>-4.53</v>
      </c>
      <c r="BG5" s="356">
        <v>-5.2480000000000002</v>
      </c>
      <c r="BH5" s="356">
        <v>-5.9610000000000003</v>
      </c>
      <c r="BI5" s="356">
        <v>-6.7380000000000004</v>
      </c>
      <c r="BJ5" s="356">
        <v>-7.5060000000000002</v>
      </c>
      <c r="BK5" s="356">
        <v>-8.2119999999999997</v>
      </c>
      <c r="BL5" s="356">
        <v>-8.9610000000000003</v>
      </c>
      <c r="BM5" s="356">
        <v>-9.6929999999999996</v>
      </c>
      <c r="BN5" s="356">
        <v>-10.605</v>
      </c>
      <c r="BO5" s="356">
        <v>-11.471</v>
      </c>
      <c r="BP5" s="356">
        <v>-12.212</v>
      </c>
      <c r="BQ5" s="356">
        <v>-13.016</v>
      </c>
    </row>
    <row r="6" spans="1:69" x14ac:dyDescent="0.2">
      <c r="A6" s="10" t="s">
        <v>526</v>
      </c>
      <c r="B6" s="8"/>
      <c r="C6" s="64">
        <v>1.4999999999999999E-2</v>
      </c>
      <c r="D6" s="64">
        <v>6.9000000000000006E-2</v>
      </c>
      <c r="E6" s="64">
        <v>0.27</v>
      </c>
      <c r="F6" s="64">
        <v>0.72599999999999998</v>
      </c>
      <c r="G6" s="64">
        <v>1.4369999999999998</v>
      </c>
      <c r="H6" s="64">
        <v>1.8009999999999999</v>
      </c>
      <c r="I6" s="64">
        <v>-0.64400000000000002</v>
      </c>
      <c r="J6" s="64">
        <v>-2.7890000000000001</v>
      </c>
      <c r="K6" s="64">
        <v>1.6809999999999998</v>
      </c>
      <c r="L6" s="64">
        <v>3.8669999999999995</v>
      </c>
      <c r="M6" s="64">
        <v>0.20300000000000007</v>
      </c>
      <c r="N6" s="357">
        <v>2.57</v>
      </c>
      <c r="O6" s="357">
        <v>1.8869999999999998</v>
      </c>
      <c r="P6" s="357">
        <v>2.024</v>
      </c>
      <c r="Q6" s="357">
        <v>2.1800000000000002</v>
      </c>
      <c r="R6" s="357">
        <v>2.351</v>
      </c>
      <c r="S6" s="356">
        <v>2.3547030000000002</v>
      </c>
      <c r="T6" s="356">
        <v>2.5998208314282349</v>
      </c>
      <c r="U6" s="356">
        <v>2.959293838087242</v>
      </c>
      <c r="V6" s="356">
        <v>3.341985922160938</v>
      </c>
      <c r="W6" s="356">
        <v>3.7438510950433836</v>
      </c>
      <c r="X6" s="356">
        <v>4.1650860492631159</v>
      </c>
      <c r="Y6" s="356">
        <v>4.6014731888519611</v>
      </c>
      <c r="Z6" s="356">
        <v>5.0477596953298054</v>
      </c>
      <c r="AA6" s="356">
        <v>5.5009458579099197</v>
      </c>
      <c r="AB6" s="356">
        <v>5.9573912159571538</v>
      </c>
      <c r="AC6" s="356">
        <v>6.4149735366134708</v>
      </c>
      <c r="AD6" s="356">
        <v>6.8735821174712965</v>
      </c>
      <c r="AE6" s="356">
        <v>7.3351464256833729</v>
      </c>
      <c r="AF6" s="356">
        <v>7.8018103372889849</v>
      </c>
      <c r="AG6" s="356">
        <v>8.274830845221322</v>
      </c>
      <c r="AH6" s="356">
        <v>8.7547140383921302</v>
      </c>
      <c r="AI6" s="356">
        <v>9.2408173816627492</v>
      </c>
      <c r="AJ6" s="356">
        <v>9.7335643596002548</v>
      </c>
      <c r="AK6" s="356">
        <v>10.233074598493568</v>
      </c>
      <c r="AL6" s="356">
        <v>10.739715997214207</v>
      </c>
      <c r="AM6" s="356">
        <v>11.258993141482675</v>
      </c>
      <c r="AN6" s="356">
        <v>11.799242986712184</v>
      </c>
      <c r="AO6" s="356">
        <v>12.369349485688435</v>
      </c>
      <c r="AP6" s="356">
        <v>12.979217056353182</v>
      </c>
      <c r="AQ6" s="356">
        <v>13.637429497947181</v>
      </c>
      <c r="AR6" s="356">
        <v>14.351469788886751</v>
      </c>
      <c r="AS6" s="356">
        <v>15.127068099235009</v>
      </c>
      <c r="AT6" s="356">
        <v>15.967129345591918</v>
      </c>
      <c r="AU6" s="356">
        <v>16.874910807344996</v>
      </c>
      <c r="AV6" s="356">
        <v>17.852592257262025</v>
      </c>
      <c r="AW6" s="356">
        <v>18.900579840360276</v>
      </c>
      <c r="AX6" s="356">
        <v>20.02029992396022</v>
      </c>
      <c r="AY6" s="356">
        <v>21.214777454316899</v>
      </c>
      <c r="AZ6" s="356">
        <v>22.48558554244299</v>
      </c>
      <c r="BA6" s="356">
        <v>23.833589162112879</v>
      </c>
      <c r="BB6" s="356">
        <v>25.255887733829368</v>
      </c>
      <c r="BC6" s="356">
        <v>26.745901130571845</v>
      </c>
      <c r="BD6" s="356">
        <v>28.295171874685376</v>
      </c>
      <c r="BE6" s="356">
        <v>29.893522423583939</v>
      </c>
      <c r="BF6" s="356">
        <v>31.539298470791909</v>
      </c>
      <c r="BG6" s="356">
        <v>33.235412824845575</v>
      </c>
      <c r="BH6" s="356">
        <v>34.983499763768592</v>
      </c>
      <c r="BI6" s="356">
        <v>36.784643277066031</v>
      </c>
      <c r="BJ6" s="356">
        <v>38.639871849610451</v>
      </c>
      <c r="BK6" s="356">
        <v>40.555774950860418</v>
      </c>
      <c r="BL6" s="356">
        <v>42.537470683809779</v>
      </c>
      <c r="BM6" s="356">
        <v>44.588124440507535</v>
      </c>
      <c r="BN6" s="356">
        <v>46.705734158869674</v>
      </c>
      <c r="BO6" s="356">
        <v>48.888520132238881</v>
      </c>
      <c r="BP6" s="356">
        <v>51.148086307951949</v>
      </c>
      <c r="BQ6" s="356">
        <v>53.492667945039777</v>
      </c>
    </row>
    <row r="7" spans="1:69" x14ac:dyDescent="0.2">
      <c r="A7" s="10" t="s">
        <v>527</v>
      </c>
      <c r="B7" s="8"/>
      <c r="C7" s="64">
        <v>0</v>
      </c>
      <c r="D7" s="64">
        <v>0</v>
      </c>
      <c r="E7" s="64">
        <v>7.6999999999999999E-2</v>
      </c>
      <c r="F7" s="104">
        <v>0.23400000000000001</v>
      </c>
      <c r="G7" s="104">
        <v>0.46800000000000003</v>
      </c>
      <c r="H7" s="104">
        <v>0.70699999999999996</v>
      </c>
      <c r="I7" s="104">
        <v>0.23699999999999999</v>
      </c>
      <c r="J7" s="104">
        <v>4.0000000000000001E-3</v>
      </c>
      <c r="K7" s="104">
        <v>-2.7E-2</v>
      </c>
      <c r="L7" s="104">
        <v>0.872</v>
      </c>
      <c r="M7" s="104">
        <v>0.16</v>
      </c>
      <c r="N7" s="357">
        <v>0.60199999999999998</v>
      </c>
      <c r="O7" s="357">
        <v>0.45600000000000002</v>
      </c>
      <c r="P7" s="357">
        <v>0.49</v>
      </c>
      <c r="Q7" s="357">
        <v>0.52800000000000002</v>
      </c>
      <c r="R7" s="357">
        <v>0.56999999999999995</v>
      </c>
      <c r="S7" s="356">
        <v>0.56512872000000003</v>
      </c>
      <c r="T7" s="356">
        <v>0.62395699954277639</v>
      </c>
      <c r="U7" s="356">
        <v>0.7102305211409381</v>
      </c>
      <c r="V7" s="356">
        <v>0.80207662131862512</v>
      </c>
      <c r="W7" s="356">
        <v>0.89852426281041209</v>
      </c>
      <c r="X7" s="356">
        <v>0.99962065182314774</v>
      </c>
      <c r="Y7" s="356">
        <v>1.1043535653244707</v>
      </c>
      <c r="Z7" s="356">
        <v>1.2114623268791533</v>
      </c>
      <c r="AA7" s="356">
        <v>1.3202270058983807</v>
      </c>
      <c r="AB7" s="356">
        <v>1.4297738918297169</v>
      </c>
      <c r="AC7" s="356">
        <v>1.539593648787233</v>
      </c>
      <c r="AD7" s="356">
        <v>1.649659708193111</v>
      </c>
      <c r="AE7" s="356">
        <v>1.7604351421640094</v>
      </c>
      <c r="AF7" s="356">
        <v>1.8724344809493563</v>
      </c>
      <c r="AG7" s="356">
        <v>1.9859594028531171</v>
      </c>
      <c r="AH7" s="356">
        <v>2.1011313692141114</v>
      </c>
      <c r="AI7" s="356">
        <v>2.2177961715990597</v>
      </c>
      <c r="AJ7" s="356">
        <v>2.3360554463040613</v>
      </c>
      <c r="AK7" s="356">
        <v>2.4559379036384561</v>
      </c>
      <c r="AL7" s="356">
        <v>2.5775318393314097</v>
      </c>
      <c r="AM7" s="356">
        <v>2.7021583539558418</v>
      </c>
      <c r="AN7" s="356">
        <v>2.8318183168109239</v>
      </c>
      <c r="AO7" s="356">
        <v>2.9686438765652241</v>
      </c>
      <c r="AP7" s="356">
        <v>3.1150120935247636</v>
      </c>
      <c r="AQ7" s="356">
        <v>3.2729830795073234</v>
      </c>
      <c r="AR7" s="356">
        <v>3.4443527493328201</v>
      </c>
      <c r="AS7" s="356">
        <v>3.630496343816402</v>
      </c>
      <c r="AT7" s="356">
        <v>3.83211104294206</v>
      </c>
      <c r="AU7" s="356">
        <v>4.0499785937627992</v>
      </c>
      <c r="AV7" s="356">
        <v>4.2846221417428856</v>
      </c>
      <c r="AW7" s="356">
        <v>4.5361391616864664</v>
      </c>
      <c r="AX7" s="356">
        <v>4.8048719817504528</v>
      </c>
      <c r="AY7" s="356">
        <v>5.0915465890360556</v>
      </c>
      <c r="AZ7" s="356">
        <v>5.3965405301863179</v>
      </c>
      <c r="BA7" s="356">
        <v>5.7200613989070908</v>
      </c>
      <c r="BB7" s="356">
        <v>6.061413056119048</v>
      </c>
      <c r="BC7" s="356">
        <v>6.4190162713372425</v>
      </c>
      <c r="BD7" s="356">
        <v>6.7908412499244903</v>
      </c>
      <c r="BE7" s="356">
        <v>7.1744453816601448</v>
      </c>
      <c r="BF7" s="356">
        <v>7.5694316329900575</v>
      </c>
      <c r="BG7" s="356">
        <v>7.9764990779629379</v>
      </c>
      <c r="BH7" s="356">
        <v>8.3960399433044621</v>
      </c>
      <c r="BI7" s="356">
        <v>8.8283143864958475</v>
      </c>
      <c r="BJ7" s="356">
        <v>9.2735692439065076</v>
      </c>
      <c r="BK7" s="356">
        <v>9.7333859882064999</v>
      </c>
      <c r="BL7" s="356">
        <v>10.208992964114346</v>
      </c>
      <c r="BM7" s="356">
        <v>10.701149865721808</v>
      </c>
      <c r="BN7" s="356">
        <v>11.209376198128721</v>
      </c>
      <c r="BO7" s="356">
        <v>11.733244831737331</v>
      </c>
      <c r="BP7" s="356">
        <v>12.275540713908468</v>
      </c>
      <c r="BQ7" s="356">
        <v>12.838240306809546</v>
      </c>
    </row>
    <row r="8" spans="1:69" x14ac:dyDescent="0.2">
      <c r="A8" s="10" t="s">
        <v>560</v>
      </c>
      <c r="B8" s="8"/>
      <c r="C8" s="64">
        <v>0</v>
      </c>
      <c r="D8" s="64">
        <v>0</v>
      </c>
      <c r="E8" s="64">
        <v>0</v>
      </c>
      <c r="F8" s="64">
        <v>0</v>
      </c>
      <c r="G8" s="64">
        <v>-6.0000000000000001E-3</v>
      </c>
      <c r="H8" s="64">
        <v>-2.5000000000000001E-2</v>
      </c>
      <c r="I8" s="64">
        <v>1.6E-2</v>
      </c>
      <c r="J8" s="64">
        <v>2.5999999999999999E-2</v>
      </c>
      <c r="K8" s="64">
        <v>0.01</v>
      </c>
      <c r="L8" s="64">
        <v>1E-3</v>
      </c>
      <c r="M8" s="64">
        <v>8.0000000000000002E-3</v>
      </c>
      <c r="N8" s="357">
        <v>1.9E-2</v>
      </c>
      <c r="O8" s="357">
        <v>0.03</v>
      </c>
      <c r="P8" s="357">
        <v>3.1E-2</v>
      </c>
      <c r="Q8" s="357">
        <v>3.5000000000000003E-2</v>
      </c>
      <c r="R8" s="357">
        <v>3.7999999999999999E-2</v>
      </c>
      <c r="S8" s="356">
        <v>3.8059852828583582E-2</v>
      </c>
      <c r="T8" s="356">
        <v>4.2021774391438928E-2</v>
      </c>
      <c r="U8" s="356">
        <v>4.783205693207792E-2</v>
      </c>
      <c r="V8" s="356">
        <v>5.4017637193583858E-2</v>
      </c>
      <c r="W8" s="356">
        <v>6.0513118507719517E-2</v>
      </c>
      <c r="X8" s="356">
        <v>6.7321680081666696E-2</v>
      </c>
      <c r="Y8" s="356">
        <v>7.4375151499946626E-2</v>
      </c>
      <c r="Z8" s="356">
        <v>8.1588629699078097E-2</v>
      </c>
      <c r="AA8" s="356">
        <v>8.8913629349458512E-2</v>
      </c>
      <c r="AB8" s="356">
        <v>9.629130846719347E-2</v>
      </c>
      <c r="AC8" s="356">
        <v>0.1036873646921786</v>
      </c>
      <c r="AD8" s="356">
        <v>0.11110000870434251</v>
      </c>
      <c r="AE8" s="356">
        <v>0.11856042712716638</v>
      </c>
      <c r="AF8" s="356">
        <v>0.12610327214673817</v>
      </c>
      <c r="AG8" s="356">
        <v>0.13374886096061686</v>
      </c>
      <c r="AH8" s="356">
        <v>0.14150537365329688</v>
      </c>
      <c r="AI8" s="356">
        <v>0.14936242471424266</v>
      </c>
      <c r="AJ8" s="356">
        <v>0.15732685906627381</v>
      </c>
      <c r="AK8" s="356">
        <v>0.16540061026914318</v>
      </c>
      <c r="AL8" s="356">
        <v>0.17358962479546572</v>
      </c>
      <c r="AM8" s="356">
        <v>0.18198287510690841</v>
      </c>
      <c r="AN8" s="356">
        <v>0.19071511420462059</v>
      </c>
      <c r="AO8" s="356">
        <v>0.19992993639139114</v>
      </c>
      <c r="AP8" s="356">
        <v>0.20978743008992812</v>
      </c>
      <c r="AQ8" s="356">
        <v>0.22042633812079668</v>
      </c>
      <c r="AR8" s="356">
        <v>0.23196761036907554</v>
      </c>
      <c r="AS8" s="356">
        <v>0.24450386549167605</v>
      </c>
      <c r="AT8" s="356">
        <v>0.25808205662802758</v>
      </c>
      <c r="AU8" s="356">
        <v>0.27275483227524872</v>
      </c>
      <c r="AV8" s="356">
        <v>0.28855742483026658</v>
      </c>
      <c r="AW8" s="356">
        <v>0.30549639895095287</v>
      </c>
      <c r="AX8" s="356">
        <v>0.32359480948978653</v>
      </c>
      <c r="AY8" s="356">
        <v>0.34290154966569197</v>
      </c>
      <c r="AZ8" s="356">
        <v>0.36344204619856796</v>
      </c>
      <c r="BA8" s="356">
        <v>0.38523027994908082</v>
      </c>
      <c r="BB8" s="356">
        <v>0.40821936787984497</v>
      </c>
      <c r="BC8" s="356">
        <v>0.43230295319512108</v>
      </c>
      <c r="BD8" s="356">
        <v>0.45734433485242187</v>
      </c>
      <c r="BE8" s="356">
        <v>0.48317900982398521</v>
      </c>
      <c r="BF8" s="356">
        <v>0.50978023900046454</v>
      </c>
      <c r="BG8" s="356">
        <v>0.53719510308129792</v>
      </c>
      <c r="BH8" s="356">
        <v>0.56545001744925816</v>
      </c>
      <c r="BI8" s="356">
        <v>0.59456250298958246</v>
      </c>
      <c r="BJ8" s="356">
        <v>0.62454918344755261</v>
      </c>
      <c r="BK8" s="356">
        <v>0.65551656662386004</v>
      </c>
      <c r="BL8" s="356">
        <v>0.68754737813048517</v>
      </c>
      <c r="BM8" s="356">
        <v>0.7206927812587347</v>
      </c>
      <c r="BN8" s="356">
        <v>0.7549204160089521</v>
      </c>
      <c r="BO8" s="356">
        <v>0.79020151638667635</v>
      </c>
      <c r="BP8" s="356">
        <v>0.826723640877147</v>
      </c>
      <c r="BQ8" s="356">
        <v>0.86461989872884304</v>
      </c>
    </row>
    <row r="9" spans="1:69" x14ac:dyDescent="0.2">
      <c r="A9" s="10" t="s">
        <v>146</v>
      </c>
      <c r="B9" s="8"/>
      <c r="C9" s="64">
        <v>0.61499999999999999</v>
      </c>
      <c r="D9" s="64">
        <v>1.8839999999999999</v>
      </c>
      <c r="E9" s="64">
        <v>3.956</v>
      </c>
      <c r="F9" s="104">
        <v>6.5549999999999997</v>
      </c>
      <c r="G9" s="104">
        <v>9.8550000000000004</v>
      </c>
      <c r="H9" s="104">
        <v>12.973000000000001</v>
      </c>
      <c r="I9" s="104">
        <v>14.212</v>
      </c>
      <c r="J9" s="104">
        <v>13.688000000000001</v>
      </c>
      <c r="K9" s="104">
        <v>15.656000000000001</v>
      </c>
      <c r="L9" s="104">
        <v>18.652000000000001</v>
      </c>
      <c r="M9" s="104">
        <v>18.702999999999999</v>
      </c>
      <c r="N9" s="357">
        <v>20.689999999999998</v>
      </c>
      <c r="O9" s="357">
        <v>22.151</v>
      </c>
      <c r="P9" s="357">
        <v>23.715999999999998</v>
      </c>
      <c r="Q9" s="357">
        <v>25.402999999999999</v>
      </c>
      <c r="R9" s="357">
        <v>27.221999999999998</v>
      </c>
      <c r="S9" s="356">
        <v>29.049634132828583</v>
      </c>
      <c r="T9" s="356">
        <v>33.183519739105478</v>
      </c>
      <c r="U9" s="356">
        <v>37.642415112983862</v>
      </c>
      <c r="V9" s="356">
        <v>42.325342051019753</v>
      </c>
      <c r="W9" s="356">
        <v>47.242182001760447</v>
      </c>
      <c r="X9" s="356">
        <v>52.386969079282082</v>
      </c>
      <c r="Y9" s="356">
        <v>57.660463854309512</v>
      </c>
      <c r="Z9" s="356">
        <v>63.040349852459244</v>
      </c>
      <c r="AA9" s="356">
        <v>68.475982333820241</v>
      </c>
      <c r="AB9" s="356">
        <v>73.931890966414855</v>
      </c>
      <c r="AC9" s="356">
        <v>79.393958218933278</v>
      </c>
      <c r="AD9" s="356">
        <v>84.874980636915808</v>
      </c>
      <c r="AE9" s="356">
        <v>90.40925234756233</v>
      </c>
      <c r="AF9" s="356">
        <v>96.0127314760487</v>
      </c>
      <c r="AG9" s="356">
        <v>101.69935177937752</v>
      </c>
      <c r="AH9" s="356">
        <v>107.46643982220884</v>
      </c>
      <c r="AI9" s="356">
        <v>113.30082345698678</v>
      </c>
      <c r="AJ9" s="356">
        <v>119.22765922934924</v>
      </c>
      <c r="AK9" s="356">
        <v>125.22219653447351</v>
      </c>
      <c r="AL9" s="356">
        <v>131.32097031715176</v>
      </c>
      <c r="AM9" s="356">
        <v>137.62178797978552</v>
      </c>
      <c r="AN9" s="356">
        <v>144.22592776389138</v>
      </c>
      <c r="AO9" s="356">
        <v>151.24456330940598</v>
      </c>
      <c r="AP9" s="356">
        <v>158.80355570232433</v>
      </c>
      <c r="AQ9" s="356">
        <v>166.979428458885</v>
      </c>
      <c r="AR9" s="356">
        <v>175.87551310880801</v>
      </c>
      <c r="AS9" s="356">
        <v>185.5215887297183</v>
      </c>
      <c r="AT9" s="356">
        <v>195.9576890889962</v>
      </c>
      <c r="AU9" s="356">
        <v>207.22137613485364</v>
      </c>
      <c r="AV9" s="356">
        <v>219.32590367520302</v>
      </c>
      <c r="AW9" s="356">
        <v>232.26684075282779</v>
      </c>
      <c r="AX9" s="356">
        <v>246.08486350452733</v>
      </c>
      <c r="AY9" s="356">
        <v>260.81099591947384</v>
      </c>
      <c r="AZ9" s="356">
        <v>276.45048297792908</v>
      </c>
      <c r="BA9" s="356">
        <v>293.01924102108399</v>
      </c>
      <c r="BB9" s="356">
        <v>310.42693506667416</v>
      </c>
      <c r="BC9" s="356">
        <v>328.60812287910392</v>
      </c>
      <c r="BD9" s="356">
        <v>347.4227978387172</v>
      </c>
      <c r="BE9" s="356">
        <v>366.77005389046496</v>
      </c>
      <c r="BF9" s="356">
        <v>386.71970096726733</v>
      </c>
      <c r="BG9" s="356">
        <v>407.26780981723124</v>
      </c>
      <c r="BH9" s="356">
        <v>428.45971965514462</v>
      </c>
      <c r="BI9" s="356">
        <v>450.27261104870439</v>
      </c>
      <c r="BJ9" s="356">
        <v>472.75746283785583</v>
      </c>
      <c r="BK9" s="356">
        <v>496.02336836713363</v>
      </c>
      <c r="BL9" s="356">
        <v>520.0783934649595</v>
      </c>
      <c r="BM9" s="356">
        <v>544.99306082100406</v>
      </c>
      <c r="BN9" s="356">
        <v>570.639339197754</v>
      </c>
      <c r="BO9" s="356">
        <v>597.11381601464223</v>
      </c>
      <c r="BP9" s="356">
        <v>624.60108524956286</v>
      </c>
      <c r="BQ9" s="356">
        <v>653.10413278652197</v>
      </c>
    </row>
    <row r="10" spans="1:69" x14ac:dyDescent="0.2">
      <c r="A10" s="4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</row>
    <row r="11" spans="1:69" ht="18.75" x14ac:dyDescent="0.3">
      <c r="A11" s="11" t="s">
        <v>512</v>
      </c>
      <c r="B11" s="3"/>
      <c r="C11" s="3"/>
      <c r="D11" s="15" t="s">
        <v>529</v>
      </c>
      <c r="E11" s="3"/>
      <c r="F11" s="4"/>
      <c r="G11" s="4"/>
      <c r="H11" s="66" t="s">
        <v>445</v>
      </c>
      <c r="I11" s="66" t="s">
        <v>446</v>
      </c>
      <c r="J11" s="66" t="s">
        <v>447</v>
      </c>
      <c r="K11" s="66" t="s">
        <v>448</v>
      </c>
      <c r="L11" s="66" t="s">
        <v>449</v>
      </c>
      <c r="M11" s="149" t="s">
        <v>450</v>
      </c>
      <c r="N11" s="149" t="s">
        <v>451</v>
      </c>
      <c r="O11" s="149" t="s">
        <v>452</v>
      </c>
      <c r="P11" s="149" t="s">
        <v>453</v>
      </c>
      <c r="Q11" s="149" t="s">
        <v>454</v>
      </c>
      <c r="R11" s="12" t="s">
        <v>455</v>
      </c>
      <c r="S11" s="12" t="s">
        <v>456</v>
      </c>
      <c r="T11" s="12" t="s">
        <v>457</v>
      </c>
      <c r="U11" s="12" t="s">
        <v>458</v>
      </c>
      <c r="V11" s="12" t="s">
        <v>459</v>
      </c>
      <c r="W11" s="12" t="s">
        <v>460</v>
      </c>
      <c r="X11" s="12" t="s">
        <v>461</v>
      </c>
      <c r="Y11" s="12" t="s">
        <v>462</v>
      </c>
      <c r="Z11" s="12" t="s">
        <v>463</v>
      </c>
      <c r="AA11" s="12" t="s">
        <v>464</v>
      </c>
      <c r="AB11" s="12" t="s">
        <v>465</v>
      </c>
      <c r="AC11" s="12" t="s">
        <v>466</v>
      </c>
      <c r="AD11" s="12" t="s">
        <v>467</v>
      </c>
      <c r="AE11" s="12" t="s">
        <v>468</v>
      </c>
      <c r="AF11" s="12" t="s">
        <v>469</v>
      </c>
      <c r="AG11" s="12" t="s">
        <v>470</v>
      </c>
      <c r="AH11" s="12" t="s">
        <v>471</v>
      </c>
      <c r="AI11" s="12" t="s">
        <v>472</v>
      </c>
      <c r="AJ11" s="12" t="s">
        <v>473</v>
      </c>
      <c r="AK11" s="12" t="s">
        <v>474</v>
      </c>
      <c r="AL11" s="12" t="s">
        <v>475</v>
      </c>
      <c r="AM11" s="12" t="s">
        <v>476</v>
      </c>
      <c r="AN11" s="12" t="s">
        <v>477</v>
      </c>
      <c r="AO11" s="12" t="s">
        <v>478</v>
      </c>
      <c r="AP11" s="12" t="s">
        <v>479</v>
      </c>
      <c r="AQ11" s="12" t="s">
        <v>480</v>
      </c>
      <c r="AR11" s="12" t="s">
        <v>481</v>
      </c>
      <c r="AS11" s="12" t="s">
        <v>482</v>
      </c>
      <c r="AT11" s="12" t="s">
        <v>483</v>
      </c>
      <c r="AU11" s="12" t="s">
        <v>484</v>
      </c>
      <c r="AV11" s="12" t="s">
        <v>485</v>
      </c>
      <c r="AW11" s="12" t="s">
        <v>486</v>
      </c>
      <c r="AX11" s="12" t="s">
        <v>487</v>
      </c>
      <c r="AY11" s="12" t="s">
        <v>488</v>
      </c>
      <c r="AZ11" s="12" t="s">
        <v>489</v>
      </c>
      <c r="BA11" s="12" t="s">
        <v>490</v>
      </c>
      <c r="BB11" s="12" t="s">
        <v>491</v>
      </c>
      <c r="BC11" s="12" t="s">
        <v>492</v>
      </c>
      <c r="BD11" s="12" t="s">
        <v>494</v>
      </c>
      <c r="BE11" s="12" t="s">
        <v>495</v>
      </c>
      <c r="BF11" s="12" t="s">
        <v>496</v>
      </c>
      <c r="BG11" s="12" t="s">
        <v>497</v>
      </c>
      <c r="BH11" s="12" t="s">
        <v>498</v>
      </c>
      <c r="BI11" s="12" t="s">
        <v>499</v>
      </c>
      <c r="BJ11" s="12" t="s">
        <v>500</v>
      </c>
      <c r="BK11" s="12" t="s">
        <v>501</v>
      </c>
      <c r="BL11" s="12" t="s">
        <v>502</v>
      </c>
      <c r="BM11" s="12" t="s">
        <v>503</v>
      </c>
      <c r="BN11" s="12" t="s">
        <v>504</v>
      </c>
      <c r="BO11" s="12" t="s">
        <v>505</v>
      </c>
      <c r="BP11" s="12" t="s">
        <v>506</v>
      </c>
      <c r="BQ11" s="12" t="s">
        <v>507</v>
      </c>
    </row>
    <row r="12" spans="1:69" x14ac:dyDescent="0.2">
      <c r="A12" s="13" t="s">
        <v>528</v>
      </c>
      <c r="B12" s="3"/>
      <c r="C12" s="67"/>
      <c r="D12" s="67"/>
      <c r="E12" s="3"/>
      <c r="F12" s="4"/>
      <c r="G12" s="4"/>
      <c r="H12" s="67">
        <v>0.64500000000000002</v>
      </c>
      <c r="I12" s="67">
        <v>0.69</v>
      </c>
      <c r="J12" s="67">
        <v>0.65500000000000003</v>
      </c>
      <c r="K12" s="67">
        <v>0.32800000000000001</v>
      </c>
      <c r="L12" s="67">
        <v>0.30499999999999999</v>
      </c>
      <c r="M12" s="236">
        <v>0.14099999999999999</v>
      </c>
      <c r="N12" s="236">
        <v>0.49199999999999999</v>
      </c>
      <c r="O12" s="236">
        <v>0.30099999999999999</v>
      </c>
      <c r="P12" s="236">
        <v>0.36199999999999999</v>
      </c>
      <c r="Q12" s="236">
        <v>0.40600000000000003</v>
      </c>
      <c r="R12" s="4">
        <v>0.433</v>
      </c>
      <c r="S12" s="4">
        <v>0.44800000000000001</v>
      </c>
      <c r="T12" s="4">
        <v>0.45</v>
      </c>
      <c r="U12" s="4">
        <v>0.44</v>
      </c>
      <c r="V12" s="4">
        <v>0.42799999999999999</v>
      </c>
      <c r="W12" s="4">
        <v>0.41299999999999998</v>
      </c>
      <c r="X12" s="4">
        <v>0.40600000000000003</v>
      </c>
      <c r="Y12" s="4">
        <v>0.40899999999999997</v>
      </c>
      <c r="Z12" s="4">
        <v>0.41099999999999998</v>
      </c>
      <c r="AA12" s="4">
        <v>0.41299999999999998</v>
      </c>
      <c r="AB12" s="4">
        <v>0.41399999999999998</v>
      </c>
      <c r="AC12" s="4">
        <v>0.40899999999999997</v>
      </c>
      <c r="AD12" s="4">
        <v>0.39300000000000002</v>
      </c>
      <c r="AE12" s="4">
        <v>0.378</v>
      </c>
      <c r="AF12" s="4">
        <v>0.36099999999999999</v>
      </c>
      <c r="AG12" s="4">
        <v>0.34399999999999997</v>
      </c>
      <c r="AH12" s="4">
        <v>0.32700000000000001</v>
      </c>
      <c r="AI12" s="4">
        <v>0.31</v>
      </c>
      <c r="AJ12" s="4">
        <v>0.29199999999999998</v>
      </c>
      <c r="AK12" s="4">
        <v>0.27600000000000002</v>
      </c>
      <c r="AL12" s="4">
        <v>0.26</v>
      </c>
      <c r="AM12" s="4">
        <v>0.24299999999999999</v>
      </c>
      <c r="AN12" s="4">
        <v>0.22600000000000001</v>
      </c>
      <c r="AO12" s="4">
        <v>0.21099999999999999</v>
      </c>
      <c r="AP12" s="4">
        <v>0.19600000000000001</v>
      </c>
      <c r="AQ12" s="4">
        <v>0.18099999999999999</v>
      </c>
      <c r="AR12" s="4">
        <v>0.16700000000000001</v>
      </c>
      <c r="AS12" s="4">
        <v>0.152</v>
      </c>
      <c r="AT12" s="4">
        <v>0.14000000000000001</v>
      </c>
      <c r="AU12" s="4">
        <v>0.127</v>
      </c>
      <c r="AV12" s="4">
        <v>0.115</v>
      </c>
      <c r="AW12" s="4">
        <v>0.104</v>
      </c>
      <c r="AX12" s="4">
        <v>9.4E-2</v>
      </c>
      <c r="AY12" s="4">
        <v>8.4000000000000005E-2</v>
      </c>
      <c r="AZ12" s="4">
        <v>7.4999999999999997E-2</v>
      </c>
      <c r="BA12" s="4">
        <v>6.7000000000000004E-2</v>
      </c>
      <c r="BB12" s="4">
        <v>0.06</v>
      </c>
      <c r="BC12" s="4">
        <v>5.2999999999999999E-2</v>
      </c>
      <c r="BD12" s="4">
        <v>4.5999999999999999E-2</v>
      </c>
      <c r="BE12" s="4">
        <v>0.04</v>
      </c>
      <c r="BF12" s="4">
        <v>3.5000000000000003E-2</v>
      </c>
      <c r="BG12" s="4">
        <v>3.1E-2</v>
      </c>
      <c r="BH12" s="4">
        <v>2.5999999999999999E-2</v>
      </c>
      <c r="BI12" s="4">
        <v>2.3E-2</v>
      </c>
      <c r="BJ12" s="4">
        <v>1.9E-2</v>
      </c>
      <c r="BK12" s="4">
        <v>1.6E-2</v>
      </c>
      <c r="BL12" s="4">
        <v>1.2999999999999999E-2</v>
      </c>
      <c r="BM12" s="4">
        <v>1.0999999999999999E-2</v>
      </c>
      <c r="BN12" s="4">
        <v>8.9999999999999993E-3</v>
      </c>
      <c r="BO12" s="4">
        <v>8.0000000000000002E-3</v>
      </c>
      <c r="BP12" s="4">
        <v>6.0000000000000001E-3</v>
      </c>
      <c r="BQ12" s="4">
        <v>5.0000000000000001E-3</v>
      </c>
    </row>
    <row r="13" spans="1:69" x14ac:dyDescent="0.2">
      <c r="A13" s="13" t="s">
        <v>493</v>
      </c>
      <c r="B13" s="3"/>
      <c r="C13" s="67"/>
      <c r="D13" s="67"/>
      <c r="E13" s="3"/>
      <c r="F13" s="4"/>
      <c r="G13" s="4"/>
      <c r="H13" s="67">
        <v>11.167</v>
      </c>
      <c r="I13" s="67">
        <v>11.831</v>
      </c>
      <c r="J13" s="67">
        <v>11.792</v>
      </c>
      <c r="K13" s="67">
        <v>12.881</v>
      </c>
      <c r="L13" s="67">
        <v>13.311</v>
      </c>
      <c r="M13" s="236">
        <v>14.96</v>
      </c>
      <c r="N13" s="236">
        <v>14.605</v>
      </c>
      <c r="O13" s="236">
        <v>14.288</v>
      </c>
      <c r="P13" s="236">
        <v>14.006</v>
      </c>
      <c r="Q13" s="236">
        <v>13.744999999999999</v>
      </c>
      <c r="R13" s="4">
        <v>13.493</v>
      </c>
      <c r="S13" s="4">
        <v>13.244999999999999</v>
      </c>
      <c r="T13" s="4">
        <v>12.984999999999999</v>
      </c>
      <c r="U13" s="4">
        <v>12.689</v>
      </c>
      <c r="V13" s="4">
        <v>12.366</v>
      </c>
      <c r="W13" s="4">
        <v>12.019</v>
      </c>
      <c r="X13" s="4">
        <v>11.656000000000001</v>
      </c>
      <c r="Y13" s="4">
        <v>11.29</v>
      </c>
      <c r="Z13" s="4">
        <v>10.92</v>
      </c>
      <c r="AA13" s="4">
        <v>10.553000000000001</v>
      </c>
      <c r="AB13" s="4">
        <v>10.186999999999999</v>
      </c>
      <c r="AC13" s="4">
        <v>9.8190000000000008</v>
      </c>
      <c r="AD13" s="4">
        <v>9.44</v>
      </c>
      <c r="AE13" s="4">
        <v>9.0530000000000008</v>
      </c>
      <c r="AF13" s="4">
        <v>8.6560000000000006</v>
      </c>
      <c r="AG13" s="4">
        <v>8.2539999999999996</v>
      </c>
      <c r="AH13" s="4">
        <v>7.843</v>
      </c>
      <c r="AI13" s="4">
        <v>7.4290000000000003</v>
      </c>
      <c r="AJ13" s="4">
        <v>7.0140000000000002</v>
      </c>
      <c r="AK13" s="4">
        <v>6.6130000000000004</v>
      </c>
      <c r="AL13" s="4">
        <v>6.2169999999999996</v>
      </c>
      <c r="AM13" s="4">
        <v>5.827</v>
      </c>
      <c r="AN13" s="4">
        <v>5.444</v>
      </c>
      <c r="AO13" s="4">
        <v>5.0709999999999997</v>
      </c>
      <c r="AP13" s="4">
        <v>4.7069999999999999</v>
      </c>
      <c r="AQ13" s="4">
        <v>4.3550000000000004</v>
      </c>
      <c r="AR13" s="4">
        <v>4.016</v>
      </c>
      <c r="AS13" s="4">
        <v>3.6909999999999998</v>
      </c>
      <c r="AT13" s="4">
        <v>3.379</v>
      </c>
      <c r="AU13" s="4">
        <v>3.0830000000000002</v>
      </c>
      <c r="AV13" s="4">
        <v>2.8010000000000002</v>
      </c>
      <c r="AW13" s="4">
        <v>2.536</v>
      </c>
      <c r="AX13" s="4">
        <v>2.2869999999999999</v>
      </c>
      <c r="AY13" s="4">
        <v>2.0539999999999998</v>
      </c>
      <c r="AZ13" s="4">
        <v>1.8380000000000001</v>
      </c>
      <c r="BA13" s="4">
        <v>1.637</v>
      </c>
      <c r="BB13" s="4">
        <v>1.452</v>
      </c>
      <c r="BC13" s="4">
        <v>1.282</v>
      </c>
      <c r="BD13" s="4">
        <v>1.1259999999999999</v>
      </c>
      <c r="BE13" s="4">
        <v>0.98399999999999999</v>
      </c>
      <c r="BF13" s="4">
        <v>0.85599999999999998</v>
      </c>
      <c r="BG13" s="4">
        <v>0.74099999999999999</v>
      </c>
      <c r="BH13" s="4">
        <v>0.63900000000000001</v>
      </c>
      <c r="BI13" s="4">
        <v>0.54800000000000004</v>
      </c>
      <c r="BJ13" s="4">
        <v>0.46800000000000003</v>
      </c>
      <c r="BK13" s="4">
        <v>0.39900000000000002</v>
      </c>
      <c r="BL13" s="4">
        <v>0.33700000000000002</v>
      </c>
      <c r="BM13" s="4">
        <v>0.28299999999999997</v>
      </c>
      <c r="BN13" s="4">
        <v>0.23499999999999999</v>
      </c>
      <c r="BO13" s="4">
        <v>0.19400000000000001</v>
      </c>
      <c r="BP13" s="4">
        <v>0.159</v>
      </c>
      <c r="BQ13" s="4">
        <v>0.129</v>
      </c>
    </row>
    <row r="14" spans="1:69" x14ac:dyDescent="0.2">
      <c r="A14" s="13" t="s">
        <v>381</v>
      </c>
      <c r="B14" s="3"/>
      <c r="C14" s="67"/>
      <c r="D14" s="67"/>
      <c r="E14" s="3"/>
      <c r="F14" s="4"/>
      <c r="G14" s="4"/>
      <c r="H14" s="67">
        <v>4.0069999999999997</v>
      </c>
      <c r="I14" s="67">
        <v>3.5739999999999998</v>
      </c>
      <c r="J14" s="67">
        <v>2.8039999999999998</v>
      </c>
      <c r="K14" s="67">
        <v>2.9449999999999998</v>
      </c>
      <c r="L14" s="67">
        <v>3.1589999999999998</v>
      </c>
      <c r="M14" s="236">
        <v>3.0779999999999998</v>
      </c>
      <c r="N14" s="236">
        <v>3.1280000000000001</v>
      </c>
      <c r="O14" s="236">
        <v>3.1720000000000002</v>
      </c>
      <c r="P14" s="236">
        <v>3.2109999999999999</v>
      </c>
      <c r="Q14" s="236">
        <v>3.2450000000000001</v>
      </c>
      <c r="R14" s="4">
        <v>3.2749999999999999</v>
      </c>
      <c r="S14" s="4">
        <v>3.2650000000000001</v>
      </c>
      <c r="T14" s="4">
        <v>3.246</v>
      </c>
      <c r="U14" s="4">
        <v>3.2149999999999999</v>
      </c>
      <c r="V14" s="4">
        <v>3.1739999999999999</v>
      </c>
      <c r="W14" s="4">
        <v>3.1240000000000001</v>
      </c>
      <c r="X14" s="4">
        <v>3.0649999999999999</v>
      </c>
      <c r="Y14" s="4">
        <v>2.9990000000000001</v>
      </c>
      <c r="Z14" s="4">
        <v>2.9239999999999999</v>
      </c>
      <c r="AA14" s="4">
        <v>2.843</v>
      </c>
      <c r="AB14" s="4">
        <v>2.7570000000000001</v>
      </c>
      <c r="AC14" s="4">
        <v>2.6659999999999999</v>
      </c>
      <c r="AD14" s="4">
        <v>2.5710000000000002</v>
      </c>
      <c r="AE14" s="4">
        <v>2.4729999999999999</v>
      </c>
      <c r="AF14" s="4">
        <v>2.371</v>
      </c>
      <c r="AG14" s="4">
        <v>2.2669999999999999</v>
      </c>
      <c r="AH14" s="4">
        <v>2.16</v>
      </c>
      <c r="AI14" s="4">
        <v>2.052</v>
      </c>
      <c r="AJ14" s="4">
        <v>1.9419999999999999</v>
      </c>
      <c r="AK14" s="4">
        <v>1.8360000000000001</v>
      </c>
      <c r="AL14" s="4">
        <v>1.73</v>
      </c>
      <c r="AM14" s="4">
        <v>1.6259999999999999</v>
      </c>
      <c r="AN14" s="4">
        <v>1.5229999999999999</v>
      </c>
      <c r="AO14" s="4">
        <v>1.4219999999999999</v>
      </c>
      <c r="AP14" s="4">
        <v>1.323</v>
      </c>
      <c r="AQ14" s="4">
        <v>1.228</v>
      </c>
      <c r="AR14" s="4">
        <v>1.135</v>
      </c>
      <c r="AS14" s="4">
        <v>1.046</v>
      </c>
      <c r="AT14" s="4">
        <v>0.96</v>
      </c>
      <c r="AU14" s="4">
        <v>0.878</v>
      </c>
      <c r="AV14" s="4">
        <v>0.8</v>
      </c>
      <c r="AW14" s="4">
        <v>0.72599999999999998</v>
      </c>
      <c r="AX14" s="4">
        <v>0.65600000000000003</v>
      </c>
      <c r="AY14" s="4">
        <v>0.59099999999999997</v>
      </c>
      <c r="AZ14" s="4">
        <v>0.53</v>
      </c>
      <c r="BA14" s="4">
        <v>0.47299999999999998</v>
      </c>
      <c r="BB14" s="4">
        <v>0.42099999999999999</v>
      </c>
      <c r="BC14" s="4">
        <v>0.373</v>
      </c>
      <c r="BD14" s="4">
        <v>0.32800000000000001</v>
      </c>
      <c r="BE14" s="4">
        <v>0.28799999999999998</v>
      </c>
      <c r="BF14" s="4">
        <v>0.251</v>
      </c>
      <c r="BG14" s="4">
        <v>0.218</v>
      </c>
      <c r="BH14" s="4">
        <v>0.188</v>
      </c>
      <c r="BI14" s="4">
        <v>0.16200000000000001</v>
      </c>
      <c r="BJ14" s="4">
        <v>0.13900000000000001</v>
      </c>
      <c r="BK14" s="4">
        <v>0.11899999999999999</v>
      </c>
      <c r="BL14" s="4">
        <v>0.1</v>
      </c>
      <c r="BM14" s="4">
        <v>8.4000000000000005E-2</v>
      </c>
      <c r="BN14" s="4">
        <v>7.0000000000000007E-2</v>
      </c>
      <c r="BO14" s="4">
        <v>5.8000000000000003E-2</v>
      </c>
      <c r="BP14" s="4">
        <v>4.8000000000000001E-2</v>
      </c>
      <c r="BQ14" s="4">
        <v>3.9E-2</v>
      </c>
    </row>
    <row r="15" spans="1:69" x14ac:dyDescent="0.2">
      <c r="A15" s="13" t="s">
        <v>838</v>
      </c>
      <c r="B15" s="3"/>
      <c r="C15" s="67"/>
      <c r="D15" s="67"/>
      <c r="E15" s="3"/>
      <c r="F15" s="4"/>
      <c r="G15" s="4"/>
      <c r="H15" s="67">
        <f t="shared" ref="H15:BQ15" si="0">H13-H14</f>
        <v>7.16</v>
      </c>
      <c r="I15" s="67">
        <f t="shared" si="0"/>
        <v>8.2569999999999997</v>
      </c>
      <c r="J15" s="67">
        <f t="shared" si="0"/>
        <v>8.9879999999999995</v>
      </c>
      <c r="K15" s="67">
        <f t="shared" si="0"/>
        <v>9.9359999999999999</v>
      </c>
      <c r="L15" s="67">
        <f t="shared" si="0"/>
        <v>10.152000000000001</v>
      </c>
      <c r="M15" s="236">
        <f t="shared" si="0"/>
        <v>11.882000000000001</v>
      </c>
      <c r="N15" s="236">
        <f t="shared" si="0"/>
        <v>11.477</v>
      </c>
      <c r="O15" s="236">
        <f t="shared" si="0"/>
        <v>11.116</v>
      </c>
      <c r="P15" s="236">
        <f t="shared" si="0"/>
        <v>10.795</v>
      </c>
      <c r="Q15" s="236">
        <f t="shared" si="0"/>
        <v>10.5</v>
      </c>
      <c r="R15" s="4">
        <f t="shared" si="0"/>
        <v>10.218</v>
      </c>
      <c r="S15" s="4">
        <f t="shared" si="0"/>
        <v>9.9799999999999986</v>
      </c>
      <c r="T15" s="4">
        <f t="shared" si="0"/>
        <v>9.738999999999999</v>
      </c>
      <c r="U15" s="4">
        <f t="shared" si="0"/>
        <v>9.4740000000000002</v>
      </c>
      <c r="V15" s="4">
        <f t="shared" si="0"/>
        <v>9.1920000000000002</v>
      </c>
      <c r="W15" s="4">
        <f t="shared" si="0"/>
        <v>8.8949999999999996</v>
      </c>
      <c r="X15" s="4">
        <f t="shared" si="0"/>
        <v>8.5910000000000011</v>
      </c>
      <c r="Y15" s="4">
        <f t="shared" si="0"/>
        <v>8.2909999999999986</v>
      </c>
      <c r="Z15" s="4">
        <f t="shared" si="0"/>
        <v>7.9960000000000004</v>
      </c>
      <c r="AA15" s="4">
        <f t="shared" si="0"/>
        <v>7.7100000000000009</v>
      </c>
      <c r="AB15" s="4">
        <f t="shared" si="0"/>
        <v>7.43</v>
      </c>
      <c r="AC15" s="4">
        <f t="shared" si="0"/>
        <v>7.1530000000000005</v>
      </c>
      <c r="AD15" s="4">
        <f t="shared" si="0"/>
        <v>6.8689999999999998</v>
      </c>
      <c r="AE15" s="4">
        <f t="shared" si="0"/>
        <v>6.580000000000001</v>
      </c>
      <c r="AF15" s="4">
        <f t="shared" si="0"/>
        <v>6.2850000000000001</v>
      </c>
      <c r="AG15" s="4">
        <f t="shared" si="0"/>
        <v>5.9870000000000001</v>
      </c>
      <c r="AH15" s="4">
        <f t="shared" si="0"/>
        <v>5.6829999999999998</v>
      </c>
      <c r="AI15" s="4">
        <f t="shared" si="0"/>
        <v>5.3770000000000007</v>
      </c>
      <c r="AJ15" s="4">
        <f t="shared" si="0"/>
        <v>5.0720000000000001</v>
      </c>
      <c r="AK15" s="4">
        <f t="shared" si="0"/>
        <v>4.7770000000000001</v>
      </c>
      <c r="AL15" s="4">
        <f t="shared" si="0"/>
        <v>4.4870000000000001</v>
      </c>
      <c r="AM15" s="4">
        <f t="shared" si="0"/>
        <v>4.2010000000000005</v>
      </c>
      <c r="AN15" s="4">
        <f t="shared" si="0"/>
        <v>3.9210000000000003</v>
      </c>
      <c r="AO15" s="4">
        <f t="shared" si="0"/>
        <v>3.649</v>
      </c>
      <c r="AP15" s="4">
        <f t="shared" si="0"/>
        <v>3.3839999999999999</v>
      </c>
      <c r="AQ15" s="4">
        <f t="shared" si="0"/>
        <v>3.1270000000000007</v>
      </c>
      <c r="AR15" s="4">
        <f t="shared" si="0"/>
        <v>2.8810000000000002</v>
      </c>
      <c r="AS15" s="4">
        <f t="shared" si="0"/>
        <v>2.6449999999999996</v>
      </c>
      <c r="AT15" s="4">
        <f t="shared" si="0"/>
        <v>2.419</v>
      </c>
      <c r="AU15" s="4">
        <f t="shared" si="0"/>
        <v>2.2050000000000001</v>
      </c>
      <c r="AV15" s="4">
        <f t="shared" si="0"/>
        <v>2.0010000000000003</v>
      </c>
      <c r="AW15" s="4">
        <f t="shared" si="0"/>
        <v>1.81</v>
      </c>
      <c r="AX15" s="4">
        <f t="shared" si="0"/>
        <v>1.6309999999999998</v>
      </c>
      <c r="AY15" s="4">
        <f t="shared" si="0"/>
        <v>1.4629999999999999</v>
      </c>
      <c r="AZ15" s="4">
        <f t="shared" si="0"/>
        <v>1.3080000000000001</v>
      </c>
      <c r="BA15" s="4">
        <f t="shared" si="0"/>
        <v>1.1640000000000001</v>
      </c>
      <c r="BB15" s="4">
        <f t="shared" si="0"/>
        <v>1.0309999999999999</v>
      </c>
      <c r="BC15" s="4">
        <f t="shared" si="0"/>
        <v>0.90900000000000003</v>
      </c>
      <c r="BD15" s="4">
        <f t="shared" si="0"/>
        <v>0.79799999999999982</v>
      </c>
      <c r="BE15" s="4">
        <f t="shared" si="0"/>
        <v>0.69599999999999995</v>
      </c>
      <c r="BF15" s="4">
        <f t="shared" si="0"/>
        <v>0.60499999999999998</v>
      </c>
      <c r="BG15" s="4">
        <f t="shared" si="0"/>
        <v>0.52300000000000002</v>
      </c>
      <c r="BH15" s="4">
        <f t="shared" si="0"/>
        <v>0.45100000000000001</v>
      </c>
      <c r="BI15" s="4">
        <f t="shared" si="0"/>
        <v>0.38600000000000001</v>
      </c>
      <c r="BJ15" s="4">
        <f t="shared" si="0"/>
        <v>0.32900000000000001</v>
      </c>
      <c r="BK15" s="4">
        <f t="shared" si="0"/>
        <v>0.28000000000000003</v>
      </c>
      <c r="BL15" s="4">
        <f t="shared" si="0"/>
        <v>0.23700000000000002</v>
      </c>
      <c r="BM15" s="4">
        <f t="shared" si="0"/>
        <v>0.19899999999999995</v>
      </c>
      <c r="BN15" s="4">
        <f t="shared" si="0"/>
        <v>0.16499999999999998</v>
      </c>
      <c r="BO15" s="4">
        <f t="shared" si="0"/>
        <v>0.13600000000000001</v>
      </c>
      <c r="BP15" s="4">
        <f t="shared" si="0"/>
        <v>0.111</v>
      </c>
      <c r="BQ15" s="4">
        <f t="shared" si="0"/>
        <v>0.09</v>
      </c>
    </row>
    <row r="16" spans="1:69" x14ac:dyDescent="0.2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</row>
    <row r="17" spans="1:69" ht="18.75" x14ac:dyDescent="0.3">
      <c r="A17" s="359" t="s">
        <v>3</v>
      </c>
      <c r="B17" s="360"/>
      <c r="C17" s="360"/>
      <c r="D17" s="360"/>
      <c r="E17" s="415" t="s">
        <v>530</v>
      </c>
      <c r="F17" s="362"/>
      <c r="G17" s="362"/>
      <c r="H17" s="370" t="s">
        <v>445</v>
      </c>
      <c r="I17" s="370" t="s">
        <v>446</v>
      </c>
      <c r="J17" s="370" t="s">
        <v>447</v>
      </c>
      <c r="K17" s="370" t="s">
        <v>448</v>
      </c>
      <c r="L17" s="370" t="s">
        <v>449</v>
      </c>
      <c r="M17" s="370" t="s">
        <v>450</v>
      </c>
      <c r="N17" s="365" t="s">
        <v>451</v>
      </c>
      <c r="O17" s="365" t="s">
        <v>452</v>
      </c>
      <c r="P17" s="365" t="s">
        <v>453</v>
      </c>
      <c r="Q17" s="365" t="s">
        <v>454</v>
      </c>
      <c r="R17" s="364" t="s">
        <v>455</v>
      </c>
      <c r="S17" s="364" t="s">
        <v>456</v>
      </c>
      <c r="T17" s="364" t="s">
        <v>457</v>
      </c>
      <c r="U17" s="364" t="s">
        <v>458</v>
      </c>
      <c r="V17" s="364" t="s">
        <v>459</v>
      </c>
      <c r="W17" s="364" t="s">
        <v>460</v>
      </c>
      <c r="X17" s="364" t="s">
        <v>461</v>
      </c>
      <c r="Y17" s="364" t="s">
        <v>462</v>
      </c>
      <c r="Z17" s="364" t="s">
        <v>463</v>
      </c>
      <c r="AA17" s="364" t="s">
        <v>464</v>
      </c>
      <c r="AB17" s="364" t="s">
        <v>465</v>
      </c>
      <c r="AC17" s="364" t="s">
        <v>466</v>
      </c>
      <c r="AD17" s="364" t="s">
        <v>467</v>
      </c>
      <c r="AE17" s="364" t="s">
        <v>468</v>
      </c>
      <c r="AF17" s="364" t="s">
        <v>469</v>
      </c>
      <c r="AG17" s="364" t="s">
        <v>470</v>
      </c>
      <c r="AH17" s="364" t="s">
        <v>471</v>
      </c>
      <c r="AI17" s="364" t="s">
        <v>472</v>
      </c>
      <c r="AJ17" s="364" t="s">
        <v>473</v>
      </c>
      <c r="AK17" s="364" t="s">
        <v>474</v>
      </c>
      <c r="AL17" s="364" t="s">
        <v>475</v>
      </c>
      <c r="AM17" s="364" t="s">
        <v>476</v>
      </c>
      <c r="AN17" s="364" t="s">
        <v>477</v>
      </c>
      <c r="AO17" s="364" t="s">
        <v>478</v>
      </c>
      <c r="AP17" s="364" t="s">
        <v>479</v>
      </c>
      <c r="AQ17" s="364" t="s">
        <v>480</v>
      </c>
      <c r="AR17" s="364" t="s">
        <v>481</v>
      </c>
      <c r="AS17" s="364" t="s">
        <v>482</v>
      </c>
      <c r="AT17" s="364" t="s">
        <v>483</v>
      </c>
      <c r="AU17" s="364" t="s">
        <v>484</v>
      </c>
      <c r="AV17" s="364" t="s">
        <v>485</v>
      </c>
      <c r="AW17" s="364" t="s">
        <v>486</v>
      </c>
      <c r="AX17" s="364" t="s">
        <v>487</v>
      </c>
      <c r="AY17" s="364" t="s">
        <v>488</v>
      </c>
      <c r="AZ17" s="364" t="s">
        <v>489</v>
      </c>
      <c r="BA17" s="364" t="s">
        <v>490</v>
      </c>
      <c r="BB17" s="364" t="s">
        <v>491</v>
      </c>
      <c r="BC17" s="364" t="s">
        <v>492</v>
      </c>
      <c r="BD17" s="364" t="s">
        <v>494</v>
      </c>
      <c r="BE17" s="364" t="s">
        <v>495</v>
      </c>
      <c r="BF17" s="364" t="s">
        <v>496</v>
      </c>
      <c r="BG17" s="364" t="s">
        <v>497</v>
      </c>
      <c r="BH17" s="364" t="s">
        <v>498</v>
      </c>
      <c r="BI17" s="364" t="s">
        <v>499</v>
      </c>
      <c r="BJ17" s="364" t="s">
        <v>500</v>
      </c>
      <c r="BK17" s="364" t="s">
        <v>501</v>
      </c>
      <c r="BL17" s="364" t="s">
        <v>502</v>
      </c>
      <c r="BM17" s="364" t="s">
        <v>1030</v>
      </c>
      <c r="BN17" s="364" t="s">
        <v>504</v>
      </c>
      <c r="BO17" s="364" t="s">
        <v>505</v>
      </c>
      <c r="BP17" s="364" t="s">
        <v>506</v>
      </c>
      <c r="BQ17" s="364" t="s">
        <v>507</v>
      </c>
    </row>
    <row r="18" spans="1:69" x14ac:dyDescent="0.2">
      <c r="A18" s="361" t="s">
        <v>630</v>
      </c>
      <c r="B18" s="362"/>
      <c r="C18" s="362"/>
      <c r="D18" s="362"/>
      <c r="E18" s="362"/>
      <c r="F18" s="362"/>
      <c r="G18" s="362"/>
      <c r="H18" s="372">
        <v>1176</v>
      </c>
      <c r="I18" s="372">
        <v>1201</v>
      </c>
      <c r="J18" s="372">
        <v>1350</v>
      </c>
      <c r="K18" s="372">
        <v>1525</v>
      </c>
      <c r="L18" s="372">
        <v>1564</v>
      </c>
      <c r="M18" s="372">
        <v>1490</v>
      </c>
      <c r="N18" s="366">
        <v>1495</v>
      </c>
      <c r="O18" s="366">
        <v>1561</v>
      </c>
      <c r="P18" s="366">
        <v>1582</v>
      </c>
      <c r="Q18" s="366">
        <v>1630</v>
      </c>
      <c r="R18" s="367">
        <v>1675</v>
      </c>
      <c r="S18" s="367">
        <v>1696</v>
      </c>
      <c r="T18" s="367">
        <v>1742</v>
      </c>
      <c r="U18" s="367">
        <v>1802</v>
      </c>
      <c r="V18" s="367">
        <v>1851</v>
      </c>
      <c r="W18" s="367">
        <v>1907</v>
      </c>
      <c r="X18" s="367">
        <v>1972</v>
      </c>
      <c r="Y18" s="367">
        <v>2027</v>
      </c>
      <c r="Z18" s="367">
        <v>2086</v>
      </c>
      <c r="AA18" s="367">
        <v>2161</v>
      </c>
      <c r="AB18" s="367">
        <v>2244</v>
      </c>
      <c r="AC18" s="367">
        <v>2325</v>
      </c>
      <c r="AD18" s="367">
        <v>2410</v>
      </c>
      <c r="AE18" s="367">
        <v>2503</v>
      </c>
      <c r="AF18" s="367">
        <v>2592</v>
      </c>
      <c r="AG18" s="367">
        <v>2668</v>
      </c>
      <c r="AH18" s="367">
        <v>2752</v>
      </c>
      <c r="AI18" s="367">
        <v>2844</v>
      </c>
      <c r="AJ18" s="367">
        <v>2918</v>
      </c>
      <c r="AK18" s="367">
        <v>3012</v>
      </c>
      <c r="AL18" s="367">
        <v>3108</v>
      </c>
      <c r="AM18" s="367">
        <v>3218</v>
      </c>
      <c r="AN18" s="367">
        <v>3334</v>
      </c>
      <c r="AO18" s="367">
        <v>3420</v>
      </c>
      <c r="AP18" s="367">
        <v>3522</v>
      </c>
      <c r="AQ18" s="367">
        <v>3663</v>
      </c>
      <c r="AR18" s="367">
        <v>3793</v>
      </c>
      <c r="AS18" s="367">
        <v>3924</v>
      </c>
      <c r="AT18" s="367">
        <v>4071</v>
      </c>
      <c r="AU18" s="367">
        <v>4202</v>
      </c>
      <c r="AV18" s="367">
        <v>4323</v>
      </c>
      <c r="AW18" s="367">
        <v>4473</v>
      </c>
      <c r="AX18" s="367">
        <v>4602</v>
      </c>
      <c r="AY18" s="367">
        <v>4726</v>
      </c>
      <c r="AZ18" s="367">
        <v>4876</v>
      </c>
      <c r="BA18" s="367">
        <v>5048</v>
      </c>
      <c r="BB18" s="367">
        <v>5216</v>
      </c>
      <c r="BC18" s="367">
        <v>5380</v>
      </c>
      <c r="BD18" s="367">
        <v>5554</v>
      </c>
      <c r="BE18" s="367">
        <v>5692</v>
      </c>
      <c r="BF18" s="367">
        <v>5857</v>
      </c>
      <c r="BG18" s="367">
        <v>6052</v>
      </c>
      <c r="BH18" s="367">
        <v>6250</v>
      </c>
      <c r="BI18" s="367">
        <v>6419</v>
      </c>
      <c r="BJ18" s="367">
        <v>6614</v>
      </c>
      <c r="BK18" s="367">
        <v>6835</v>
      </c>
      <c r="BL18" s="367">
        <v>7071</v>
      </c>
      <c r="BM18" s="367">
        <v>7280</v>
      </c>
      <c r="BN18" s="367">
        <v>7472</v>
      </c>
      <c r="BO18" s="367">
        <v>7686</v>
      </c>
      <c r="BP18" s="367">
        <v>7883</v>
      </c>
      <c r="BQ18" s="367">
        <v>8125</v>
      </c>
    </row>
    <row r="19" spans="1:69" x14ac:dyDescent="0.2">
      <c r="A19" s="361" t="s">
        <v>555</v>
      </c>
      <c r="B19" s="362"/>
      <c r="C19" s="362"/>
      <c r="D19" s="362"/>
      <c r="E19" s="362"/>
      <c r="F19" s="362"/>
      <c r="G19" s="362"/>
      <c r="H19" s="372">
        <v>488</v>
      </c>
      <c r="I19" s="372">
        <v>487</v>
      </c>
      <c r="J19" s="372">
        <v>532</v>
      </c>
      <c r="K19" s="372">
        <v>728</v>
      </c>
      <c r="L19" s="372">
        <v>713</v>
      </c>
      <c r="M19" s="372">
        <v>702</v>
      </c>
      <c r="N19" s="366">
        <v>584</v>
      </c>
      <c r="O19" s="366">
        <v>617</v>
      </c>
      <c r="P19" s="366">
        <v>635</v>
      </c>
      <c r="Q19" s="366">
        <v>663</v>
      </c>
      <c r="R19" s="367">
        <v>694</v>
      </c>
      <c r="S19" s="367">
        <v>715</v>
      </c>
      <c r="T19" s="367">
        <v>748</v>
      </c>
      <c r="U19" s="367">
        <v>788</v>
      </c>
      <c r="V19" s="367">
        <v>823</v>
      </c>
      <c r="W19" s="367">
        <v>862</v>
      </c>
      <c r="X19" s="367">
        <v>907</v>
      </c>
      <c r="Y19" s="367">
        <v>939</v>
      </c>
      <c r="Z19" s="367">
        <v>973</v>
      </c>
      <c r="AA19" s="367">
        <v>1013</v>
      </c>
      <c r="AB19" s="367">
        <v>1058</v>
      </c>
      <c r="AC19" s="367">
        <v>1103</v>
      </c>
      <c r="AD19" s="367">
        <v>1150</v>
      </c>
      <c r="AE19" s="367">
        <v>1205</v>
      </c>
      <c r="AF19" s="367">
        <v>1255</v>
      </c>
      <c r="AG19" s="367">
        <v>1301</v>
      </c>
      <c r="AH19" s="367">
        <v>1351</v>
      </c>
      <c r="AI19" s="367">
        <v>1402</v>
      </c>
      <c r="AJ19" s="367">
        <v>1443</v>
      </c>
      <c r="AK19" s="367">
        <v>1494</v>
      </c>
      <c r="AL19" s="367">
        <v>1544</v>
      </c>
      <c r="AM19" s="367">
        <v>1599</v>
      </c>
      <c r="AN19" s="367">
        <v>1659</v>
      </c>
      <c r="AO19" s="367">
        <v>1702</v>
      </c>
      <c r="AP19" s="367">
        <v>1755</v>
      </c>
      <c r="AQ19" s="367">
        <v>1827</v>
      </c>
      <c r="AR19" s="367">
        <v>1890</v>
      </c>
      <c r="AS19" s="367">
        <v>1956</v>
      </c>
      <c r="AT19" s="367">
        <v>2031</v>
      </c>
      <c r="AU19" s="367">
        <v>2097</v>
      </c>
      <c r="AV19" s="367">
        <v>2157</v>
      </c>
      <c r="AW19" s="367">
        <v>2233</v>
      </c>
      <c r="AX19" s="367">
        <v>2296</v>
      </c>
      <c r="AY19" s="367">
        <v>2359</v>
      </c>
      <c r="AZ19" s="367">
        <v>2439</v>
      </c>
      <c r="BA19" s="367">
        <v>2531</v>
      </c>
      <c r="BB19" s="367">
        <v>2616</v>
      </c>
      <c r="BC19" s="367">
        <v>2700</v>
      </c>
      <c r="BD19" s="367">
        <v>2791</v>
      </c>
      <c r="BE19" s="367">
        <v>2861</v>
      </c>
      <c r="BF19" s="367">
        <v>2944</v>
      </c>
      <c r="BG19" s="367">
        <v>3044</v>
      </c>
      <c r="BH19" s="367">
        <v>3146</v>
      </c>
      <c r="BI19" s="367">
        <v>3225</v>
      </c>
      <c r="BJ19" s="367">
        <v>3324</v>
      </c>
      <c r="BK19" s="367">
        <v>3437</v>
      </c>
      <c r="BL19" s="367">
        <v>3557</v>
      </c>
      <c r="BM19" s="367">
        <v>3664</v>
      </c>
      <c r="BN19" s="367">
        <v>3764</v>
      </c>
      <c r="BO19" s="367">
        <v>3870</v>
      </c>
      <c r="BP19" s="367">
        <v>3969</v>
      </c>
      <c r="BQ19" s="367">
        <v>4087</v>
      </c>
    </row>
    <row r="20" spans="1:69" x14ac:dyDescent="0.2">
      <c r="A20" s="361" t="s">
        <v>304</v>
      </c>
      <c r="B20" s="362"/>
      <c r="C20" s="362"/>
      <c r="D20" s="362"/>
      <c r="E20" s="362"/>
      <c r="F20" s="362"/>
      <c r="G20" s="362"/>
      <c r="H20" s="372">
        <v>555</v>
      </c>
      <c r="I20" s="372">
        <v>629</v>
      </c>
      <c r="J20" s="372">
        <v>710</v>
      </c>
      <c r="K20" s="372">
        <v>754</v>
      </c>
      <c r="L20" s="372">
        <v>802</v>
      </c>
      <c r="M20" s="372">
        <v>768</v>
      </c>
      <c r="N20" s="366">
        <v>895</v>
      </c>
      <c r="O20" s="366">
        <v>1059</v>
      </c>
      <c r="P20" s="366">
        <v>1112</v>
      </c>
      <c r="Q20" s="366">
        <v>1156</v>
      </c>
      <c r="R20" s="367">
        <v>1206</v>
      </c>
      <c r="S20" s="367">
        <v>1292</v>
      </c>
      <c r="T20" s="367">
        <v>1348</v>
      </c>
      <c r="U20" s="367">
        <v>1402</v>
      </c>
      <c r="V20" s="367">
        <v>1441</v>
      </c>
      <c r="W20" s="367">
        <v>1480</v>
      </c>
      <c r="X20" s="367">
        <v>1524</v>
      </c>
      <c r="Y20" s="367">
        <v>1568</v>
      </c>
      <c r="Z20" s="367">
        <v>1618</v>
      </c>
      <c r="AA20" s="367">
        <v>1658</v>
      </c>
      <c r="AB20" s="367">
        <v>1702</v>
      </c>
      <c r="AC20" s="367">
        <v>1749</v>
      </c>
      <c r="AD20" s="367">
        <v>1804</v>
      </c>
      <c r="AE20" s="367">
        <v>1865</v>
      </c>
      <c r="AF20" s="367">
        <v>1928</v>
      </c>
      <c r="AG20" s="367">
        <v>1983</v>
      </c>
      <c r="AH20" s="367">
        <v>2042</v>
      </c>
      <c r="AI20" s="367">
        <v>2110</v>
      </c>
      <c r="AJ20" s="367">
        <v>2185</v>
      </c>
      <c r="AK20" s="367">
        <v>2251</v>
      </c>
      <c r="AL20" s="367">
        <v>2328</v>
      </c>
      <c r="AM20" s="367">
        <v>2396</v>
      </c>
      <c r="AN20" s="367">
        <v>2463</v>
      </c>
      <c r="AO20" s="367">
        <v>2544</v>
      </c>
      <c r="AP20" s="367">
        <v>2621</v>
      </c>
      <c r="AQ20" s="367">
        <v>2705</v>
      </c>
      <c r="AR20" s="367">
        <v>2792</v>
      </c>
      <c r="AS20" s="367">
        <v>2889</v>
      </c>
      <c r="AT20" s="367">
        <v>2974</v>
      </c>
      <c r="AU20" s="367">
        <v>3067</v>
      </c>
      <c r="AV20" s="367">
        <v>3181</v>
      </c>
      <c r="AW20" s="367">
        <v>3285</v>
      </c>
      <c r="AX20" s="367">
        <v>3377</v>
      </c>
      <c r="AY20" s="367">
        <v>3509</v>
      </c>
      <c r="AZ20" s="367">
        <v>3631</v>
      </c>
      <c r="BA20" s="367">
        <v>3737</v>
      </c>
      <c r="BB20" s="367">
        <v>3855</v>
      </c>
      <c r="BC20" s="367">
        <v>3983</v>
      </c>
      <c r="BD20" s="367">
        <v>4120</v>
      </c>
      <c r="BE20" s="367">
        <v>4247</v>
      </c>
      <c r="BF20" s="367">
        <v>4390</v>
      </c>
      <c r="BG20" s="367">
        <v>4533</v>
      </c>
      <c r="BH20" s="367">
        <v>4671</v>
      </c>
      <c r="BI20" s="367">
        <v>4820</v>
      </c>
      <c r="BJ20" s="367">
        <v>4957</v>
      </c>
      <c r="BK20" s="367">
        <v>5102</v>
      </c>
      <c r="BL20" s="367">
        <v>5256</v>
      </c>
      <c r="BM20" s="367">
        <v>5417</v>
      </c>
      <c r="BN20" s="367">
        <v>5605</v>
      </c>
      <c r="BO20" s="367">
        <v>5759</v>
      </c>
      <c r="BP20" s="367">
        <v>5953</v>
      </c>
      <c r="BQ20" s="367">
        <v>6155</v>
      </c>
    </row>
    <row r="21" spans="1:69" x14ac:dyDescent="0.2">
      <c r="A21" s="361" t="s">
        <v>305</v>
      </c>
      <c r="B21" s="362"/>
      <c r="C21" s="362"/>
      <c r="D21" s="362"/>
      <c r="E21" s="362"/>
      <c r="F21" s="362"/>
      <c r="G21" s="362"/>
      <c r="H21" s="372">
        <v>360</v>
      </c>
      <c r="I21" s="372">
        <v>407</v>
      </c>
      <c r="J21" s="372">
        <v>465</v>
      </c>
      <c r="K21" s="372">
        <v>463</v>
      </c>
      <c r="L21" s="372">
        <v>484</v>
      </c>
      <c r="M21" s="372">
        <v>526</v>
      </c>
      <c r="N21" s="366">
        <v>555</v>
      </c>
      <c r="O21" s="366">
        <v>581</v>
      </c>
      <c r="P21" s="366">
        <v>602</v>
      </c>
      <c r="Q21" s="366">
        <v>620</v>
      </c>
      <c r="R21" s="367">
        <v>638</v>
      </c>
      <c r="S21" s="367">
        <v>654</v>
      </c>
      <c r="T21" s="367">
        <v>670</v>
      </c>
      <c r="U21" s="367">
        <v>687</v>
      </c>
      <c r="V21" s="367">
        <v>705</v>
      </c>
      <c r="W21" s="367">
        <v>724</v>
      </c>
      <c r="X21" s="367">
        <v>745</v>
      </c>
      <c r="Y21" s="367">
        <v>767</v>
      </c>
      <c r="Z21" s="367">
        <v>791</v>
      </c>
      <c r="AA21" s="367">
        <v>817</v>
      </c>
      <c r="AB21" s="367">
        <v>845</v>
      </c>
      <c r="AC21" s="367">
        <v>875</v>
      </c>
      <c r="AD21" s="367">
        <v>908</v>
      </c>
      <c r="AE21" s="367">
        <v>942</v>
      </c>
      <c r="AF21" s="367">
        <v>978</v>
      </c>
      <c r="AG21" s="367">
        <v>1016</v>
      </c>
      <c r="AH21" s="367">
        <v>1056</v>
      </c>
      <c r="AI21" s="367">
        <v>1096</v>
      </c>
      <c r="AJ21" s="367">
        <v>1138</v>
      </c>
      <c r="AK21" s="367">
        <v>1180</v>
      </c>
      <c r="AL21" s="367">
        <v>1223</v>
      </c>
      <c r="AM21" s="367">
        <v>1267</v>
      </c>
      <c r="AN21" s="367">
        <v>1314</v>
      </c>
      <c r="AO21" s="367">
        <v>1361</v>
      </c>
      <c r="AP21" s="367">
        <v>1410</v>
      </c>
      <c r="AQ21" s="367">
        <v>1460</v>
      </c>
      <c r="AR21" s="367">
        <v>1512</v>
      </c>
      <c r="AS21" s="367">
        <v>1566</v>
      </c>
      <c r="AT21" s="367">
        <v>1622</v>
      </c>
      <c r="AU21" s="367">
        <v>1681</v>
      </c>
      <c r="AV21" s="367">
        <v>1740</v>
      </c>
      <c r="AW21" s="367">
        <v>1801</v>
      </c>
      <c r="AX21" s="367">
        <v>1864</v>
      </c>
      <c r="AY21" s="367">
        <v>1927</v>
      </c>
      <c r="AZ21" s="367">
        <v>1990</v>
      </c>
      <c r="BA21" s="367">
        <v>2056</v>
      </c>
      <c r="BB21" s="367">
        <v>2124</v>
      </c>
      <c r="BC21" s="367">
        <v>2194</v>
      </c>
      <c r="BD21" s="367">
        <v>2265</v>
      </c>
      <c r="BE21" s="367">
        <v>2338</v>
      </c>
      <c r="BF21" s="367">
        <v>2411</v>
      </c>
      <c r="BG21" s="367">
        <v>2485</v>
      </c>
      <c r="BH21" s="367">
        <v>2562</v>
      </c>
      <c r="BI21" s="367">
        <v>2642</v>
      </c>
      <c r="BJ21" s="367">
        <v>2724</v>
      </c>
      <c r="BK21" s="367">
        <v>2809</v>
      </c>
      <c r="BL21" s="367">
        <v>2898</v>
      </c>
      <c r="BM21" s="367">
        <v>2990</v>
      </c>
      <c r="BN21" s="367">
        <v>3083</v>
      </c>
      <c r="BO21" s="367">
        <v>3178</v>
      </c>
      <c r="BP21" s="367">
        <v>3275</v>
      </c>
      <c r="BQ21" s="367">
        <v>3371</v>
      </c>
    </row>
    <row r="22" spans="1:69" x14ac:dyDescent="0.2">
      <c r="A22" s="361" t="s">
        <v>306</v>
      </c>
      <c r="B22" s="362"/>
      <c r="C22" s="362"/>
      <c r="D22" s="362"/>
      <c r="E22" s="362"/>
      <c r="F22" s="362"/>
      <c r="G22" s="362"/>
      <c r="H22" s="372">
        <v>151</v>
      </c>
      <c r="I22" s="372">
        <v>-231</v>
      </c>
      <c r="J22" s="372">
        <v>779</v>
      </c>
      <c r="K22" s="372">
        <v>280</v>
      </c>
      <c r="L22" s="372">
        <v>-125</v>
      </c>
      <c r="M22" s="372">
        <v>-286</v>
      </c>
      <c r="N22" s="366">
        <v>0</v>
      </c>
      <c r="O22" s="366">
        <v>0</v>
      </c>
      <c r="P22" s="366">
        <v>0</v>
      </c>
      <c r="Q22" s="366">
        <v>0</v>
      </c>
      <c r="R22" s="373">
        <v>0</v>
      </c>
      <c r="S22" s="373">
        <v>0</v>
      </c>
      <c r="T22" s="373">
        <v>0</v>
      </c>
      <c r="U22" s="373">
        <v>0</v>
      </c>
      <c r="V22" s="373">
        <v>0</v>
      </c>
      <c r="W22" s="373">
        <v>0</v>
      </c>
      <c r="X22" s="373">
        <v>0</v>
      </c>
      <c r="Y22" s="373">
        <v>0</v>
      </c>
      <c r="Z22" s="373">
        <v>0</v>
      </c>
      <c r="AA22" s="373">
        <v>0</v>
      </c>
      <c r="AB22" s="373">
        <v>0</v>
      </c>
      <c r="AC22" s="373">
        <v>0</v>
      </c>
      <c r="AD22" s="373">
        <v>0</v>
      </c>
      <c r="AE22" s="373">
        <v>0</v>
      </c>
      <c r="AF22" s="373">
        <v>0</v>
      </c>
      <c r="AG22" s="373">
        <v>0</v>
      </c>
      <c r="AH22" s="373">
        <v>0</v>
      </c>
      <c r="AI22" s="373">
        <v>0</v>
      </c>
      <c r="AJ22" s="373">
        <v>0</v>
      </c>
      <c r="AK22" s="373">
        <v>0</v>
      </c>
      <c r="AL22" s="373">
        <v>0</v>
      </c>
      <c r="AM22" s="373">
        <v>0</v>
      </c>
      <c r="AN22" s="373">
        <v>0</v>
      </c>
      <c r="AO22" s="373">
        <v>0</v>
      </c>
      <c r="AP22" s="373">
        <v>0</v>
      </c>
      <c r="AQ22" s="373">
        <v>0</v>
      </c>
      <c r="AR22" s="373">
        <v>0</v>
      </c>
      <c r="AS22" s="373">
        <v>0</v>
      </c>
      <c r="AT22" s="373">
        <v>0</v>
      </c>
      <c r="AU22" s="373">
        <v>0</v>
      </c>
      <c r="AV22" s="373">
        <v>0</v>
      </c>
      <c r="AW22" s="373">
        <v>0</v>
      </c>
      <c r="AX22" s="373">
        <v>0</v>
      </c>
      <c r="AY22" s="373">
        <v>0</v>
      </c>
      <c r="AZ22" s="373">
        <v>0</v>
      </c>
      <c r="BA22" s="373">
        <v>0</v>
      </c>
      <c r="BB22" s="373">
        <v>0</v>
      </c>
      <c r="BC22" s="373">
        <v>0</v>
      </c>
      <c r="BD22" s="373">
        <v>0</v>
      </c>
      <c r="BE22" s="373">
        <v>0</v>
      </c>
      <c r="BF22" s="373">
        <v>0</v>
      </c>
      <c r="BG22" s="373">
        <v>0</v>
      </c>
      <c r="BH22" s="373">
        <v>0</v>
      </c>
      <c r="BI22" s="373">
        <v>0</v>
      </c>
      <c r="BJ22" s="373">
        <v>0</v>
      </c>
      <c r="BK22" s="373">
        <v>0</v>
      </c>
      <c r="BL22" s="373">
        <v>0</v>
      </c>
      <c r="BM22" s="373">
        <v>0</v>
      </c>
      <c r="BN22" s="373">
        <v>0</v>
      </c>
      <c r="BO22" s="373">
        <v>0</v>
      </c>
      <c r="BP22" s="373">
        <v>0</v>
      </c>
      <c r="BQ22" s="373">
        <v>0</v>
      </c>
    </row>
    <row r="23" spans="1:69" x14ac:dyDescent="0.2">
      <c r="A23" s="361" t="s">
        <v>307</v>
      </c>
      <c r="B23" s="362"/>
      <c r="C23" s="362"/>
      <c r="D23" s="362"/>
      <c r="E23" s="362"/>
      <c r="F23" s="362"/>
      <c r="G23" s="362"/>
      <c r="H23" s="372">
        <v>100</v>
      </c>
      <c r="I23" s="372">
        <v>7</v>
      </c>
      <c r="J23" s="372">
        <v>18</v>
      </c>
      <c r="K23" s="372">
        <v>11</v>
      </c>
      <c r="L23" s="372">
        <v>12</v>
      </c>
      <c r="M23" s="372">
        <v>-1</v>
      </c>
      <c r="N23" s="366">
        <v>0</v>
      </c>
      <c r="O23" s="366">
        <v>0</v>
      </c>
      <c r="P23" s="366">
        <v>0</v>
      </c>
      <c r="Q23" s="366">
        <v>0</v>
      </c>
      <c r="R23" s="373">
        <v>0</v>
      </c>
      <c r="S23" s="373">
        <v>0</v>
      </c>
      <c r="T23" s="373">
        <v>0</v>
      </c>
      <c r="U23" s="373">
        <v>0</v>
      </c>
      <c r="V23" s="373">
        <v>0</v>
      </c>
      <c r="W23" s="373">
        <v>0</v>
      </c>
      <c r="X23" s="373">
        <v>0</v>
      </c>
      <c r="Y23" s="373">
        <v>0</v>
      </c>
      <c r="Z23" s="373">
        <v>0</v>
      </c>
      <c r="AA23" s="373">
        <v>0</v>
      </c>
      <c r="AB23" s="373">
        <v>0</v>
      </c>
      <c r="AC23" s="373">
        <v>0</v>
      </c>
      <c r="AD23" s="373">
        <v>0</v>
      </c>
      <c r="AE23" s="373">
        <v>0</v>
      </c>
      <c r="AF23" s="373">
        <v>0</v>
      </c>
      <c r="AG23" s="373">
        <v>0</v>
      </c>
      <c r="AH23" s="373">
        <v>0</v>
      </c>
      <c r="AI23" s="373">
        <v>0</v>
      </c>
      <c r="AJ23" s="373">
        <v>0</v>
      </c>
      <c r="AK23" s="373">
        <v>0</v>
      </c>
      <c r="AL23" s="373">
        <v>0</v>
      </c>
      <c r="AM23" s="373">
        <v>0</v>
      </c>
      <c r="AN23" s="373">
        <v>0</v>
      </c>
      <c r="AO23" s="373">
        <v>0</v>
      </c>
      <c r="AP23" s="373">
        <v>0</v>
      </c>
      <c r="AQ23" s="373">
        <v>0</v>
      </c>
      <c r="AR23" s="373">
        <v>0</v>
      </c>
      <c r="AS23" s="373">
        <v>0</v>
      </c>
      <c r="AT23" s="373">
        <v>0</v>
      </c>
      <c r="AU23" s="373">
        <v>0</v>
      </c>
      <c r="AV23" s="373">
        <v>0</v>
      </c>
      <c r="AW23" s="373">
        <v>0</v>
      </c>
      <c r="AX23" s="373">
        <v>0</v>
      </c>
      <c r="AY23" s="373">
        <v>0</v>
      </c>
      <c r="AZ23" s="373">
        <v>0</v>
      </c>
      <c r="BA23" s="373">
        <v>0</v>
      </c>
      <c r="BB23" s="373">
        <v>0</v>
      </c>
      <c r="BC23" s="373">
        <v>0</v>
      </c>
      <c r="BD23" s="373">
        <v>0</v>
      </c>
      <c r="BE23" s="373">
        <v>0</v>
      </c>
      <c r="BF23" s="373">
        <v>0</v>
      </c>
      <c r="BG23" s="373">
        <v>0</v>
      </c>
      <c r="BH23" s="373">
        <v>0</v>
      </c>
      <c r="BI23" s="373">
        <v>0</v>
      </c>
      <c r="BJ23" s="373">
        <v>0</v>
      </c>
      <c r="BK23" s="373">
        <v>0</v>
      </c>
      <c r="BL23" s="373">
        <v>0</v>
      </c>
      <c r="BM23" s="373">
        <v>0</v>
      </c>
      <c r="BN23" s="373">
        <v>0</v>
      </c>
      <c r="BO23" s="373">
        <v>0</v>
      </c>
      <c r="BP23" s="373">
        <v>0</v>
      </c>
      <c r="BQ23" s="373">
        <v>0</v>
      </c>
    </row>
    <row r="24" spans="1:69" x14ac:dyDescent="0.2">
      <c r="A24" s="363" t="s">
        <v>631</v>
      </c>
      <c r="B24" s="362"/>
      <c r="C24" s="362"/>
      <c r="D24" s="362"/>
      <c r="E24" s="362"/>
      <c r="F24" s="362"/>
      <c r="G24" s="371">
        <v>5569</v>
      </c>
      <c r="H24" s="371">
        <v>6011</v>
      </c>
      <c r="I24" s="371">
        <v>6741</v>
      </c>
      <c r="J24" s="371">
        <v>6553</v>
      </c>
      <c r="K24" s="371">
        <v>6790</v>
      </c>
      <c r="L24" s="371">
        <v>7460</v>
      </c>
      <c r="M24" s="371">
        <v>8291</v>
      </c>
      <c r="N24" s="368">
        <v>8862</v>
      </c>
      <c r="O24" s="368">
        <v>9328</v>
      </c>
      <c r="P24" s="368">
        <v>9765</v>
      </c>
      <c r="Q24" s="368">
        <v>10196</v>
      </c>
      <c r="R24" s="369">
        <v>10609</v>
      </c>
      <c r="S24" s="369">
        <v>10952</v>
      </c>
      <c r="T24" s="369">
        <v>11268</v>
      </c>
      <c r="U24" s="369">
        <v>11567</v>
      </c>
      <c r="V24" s="369">
        <v>11859</v>
      </c>
      <c r="W24" s="369">
        <v>12148</v>
      </c>
      <c r="X24" s="369">
        <v>12434</v>
      </c>
      <c r="Y24" s="369">
        <v>12721</v>
      </c>
      <c r="Z24" s="369">
        <v>13007</v>
      </c>
      <c r="AA24" s="369">
        <v>13314</v>
      </c>
      <c r="AB24" s="369">
        <v>13643</v>
      </c>
      <c r="AC24" s="369">
        <v>13991</v>
      </c>
      <c r="AD24" s="369">
        <v>14355</v>
      </c>
      <c r="AE24" s="369">
        <v>14730</v>
      </c>
      <c r="AF24" s="369">
        <v>15117</v>
      </c>
      <c r="AG24" s="369">
        <v>15517</v>
      </c>
      <c r="AH24" s="369">
        <v>15932</v>
      </c>
      <c r="AI24" s="369">
        <v>16360</v>
      </c>
      <c r="AJ24" s="369">
        <v>16788</v>
      </c>
      <c r="AK24" s="369">
        <v>17235</v>
      </c>
      <c r="AL24" s="369">
        <v>17694</v>
      </c>
      <c r="AM24" s="369">
        <v>18184</v>
      </c>
      <c r="AN24" s="369">
        <v>18710</v>
      </c>
      <c r="AO24" s="369">
        <v>19245</v>
      </c>
      <c r="AP24" s="369">
        <v>19801</v>
      </c>
      <c r="AQ24" s="369">
        <v>20392</v>
      </c>
      <c r="AR24" s="369">
        <v>21015</v>
      </c>
      <c r="AS24" s="369">
        <v>21660</v>
      </c>
      <c r="AT24" s="369">
        <v>22348</v>
      </c>
      <c r="AU24" s="369">
        <v>23067</v>
      </c>
      <c r="AV24" s="369">
        <v>23792</v>
      </c>
      <c r="AW24" s="369">
        <v>24548</v>
      </c>
      <c r="AX24" s="369">
        <v>25341</v>
      </c>
      <c r="AY24" s="369">
        <v>26126</v>
      </c>
      <c r="AZ24" s="369">
        <v>26922</v>
      </c>
      <c r="BA24" s="369">
        <v>27758</v>
      </c>
      <c r="BB24" s="369">
        <v>28627</v>
      </c>
      <c r="BC24" s="369">
        <v>29518</v>
      </c>
      <c r="BD24" s="369">
        <v>30426</v>
      </c>
      <c r="BE24" s="369">
        <v>31348</v>
      </c>
      <c r="BF24" s="369">
        <v>32282</v>
      </c>
      <c r="BG24" s="369">
        <v>33242</v>
      </c>
      <c r="BH24" s="369">
        <v>34237</v>
      </c>
      <c r="BI24" s="369">
        <v>35253</v>
      </c>
      <c r="BJ24" s="369">
        <v>36310</v>
      </c>
      <c r="BK24" s="369">
        <v>37415</v>
      </c>
      <c r="BL24" s="369">
        <v>38571</v>
      </c>
      <c r="BM24" s="369">
        <v>39760</v>
      </c>
      <c r="BN24" s="369">
        <v>40946</v>
      </c>
      <c r="BO24" s="369">
        <v>42181</v>
      </c>
      <c r="BP24" s="369">
        <v>43417</v>
      </c>
      <c r="BQ24" s="369">
        <v>44671</v>
      </c>
    </row>
    <row r="25" spans="1:69" x14ac:dyDescent="0.2">
      <c r="A25" s="333"/>
      <c r="B25" s="36"/>
      <c r="C25" s="36"/>
      <c r="D25" s="36"/>
      <c r="E25" s="36"/>
      <c r="F25" s="36"/>
      <c r="G25" s="36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</row>
    <row r="26" spans="1:69" ht="18.75" x14ac:dyDescent="0.3">
      <c r="A26" s="213" t="s">
        <v>165</v>
      </c>
      <c r="B26" s="215" t="s">
        <v>530</v>
      </c>
      <c r="C26" s="214"/>
      <c r="D26" s="214"/>
      <c r="E26" s="214"/>
      <c r="F26" s="214"/>
      <c r="G26" s="214"/>
      <c r="H26" s="214"/>
      <c r="I26" s="216" t="s">
        <v>100</v>
      </c>
      <c r="J26" s="216" t="s">
        <v>101</v>
      </c>
      <c r="K26" s="216" t="s">
        <v>102</v>
      </c>
      <c r="L26" s="216" t="s">
        <v>103</v>
      </c>
      <c r="M26" s="216" t="s">
        <v>104</v>
      </c>
      <c r="N26" s="216" t="s">
        <v>2</v>
      </c>
      <c r="O26" s="216" t="s">
        <v>105</v>
      </c>
      <c r="P26" s="216" t="s">
        <v>106</v>
      </c>
      <c r="Q26" s="216" t="s">
        <v>107</v>
      </c>
      <c r="R26" s="216" t="s">
        <v>108</v>
      </c>
      <c r="S26" s="216" t="s">
        <v>110</v>
      </c>
      <c r="T26" s="216" t="s">
        <v>111</v>
      </c>
      <c r="U26" s="216" t="s">
        <v>837</v>
      </c>
      <c r="V26" s="216" t="s">
        <v>932</v>
      </c>
      <c r="W26" s="216" t="s">
        <v>1007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36"/>
      <c r="BF26" s="45"/>
      <c r="BG26" s="45"/>
      <c r="BH26" s="36"/>
      <c r="BI26" s="36"/>
      <c r="BJ26" s="36"/>
      <c r="BK26" s="36"/>
      <c r="BL26" s="36"/>
      <c r="BM26" s="36"/>
      <c r="BN26" s="36"/>
      <c r="BO26" s="36"/>
      <c r="BP26" s="36"/>
      <c r="BQ26" s="36"/>
    </row>
    <row r="27" spans="1:69" x14ac:dyDescent="0.2">
      <c r="A27" s="214"/>
      <c r="B27" s="214"/>
      <c r="C27" s="214"/>
      <c r="D27" s="214"/>
      <c r="E27" s="214"/>
      <c r="F27" s="214"/>
      <c r="G27" s="332" t="s">
        <v>109</v>
      </c>
      <c r="H27" s="214"/>
      <c r="I27" s="237">
        <v>1102</v>
      </c>
      <c r="J27" s="237">
        <v>1281</v>
      </c>
      <c r="K27" s="237">
        <v>1024.2919999999999</v>
      </c>
      <c r="L27" s="237">
        <v>1041.4000000000001</v>
      </c>
      <c r="M27" s="237">
        <v>688.66499999999996</v>
      </c>
      <c r="N27" s="238">
        <v>710</v>
      </c>
      <c r="O27" s="238">
        <v>702</v>
      </c>
      <c r="P27" s="238">
        <v>696.07572779633483</v>
      </c>
      <c r="Q27" s="238">
        <v>721.0018735311827</v>
      </c>
      <c r="R27" s="238">
        <v>747.45784805191784</v>
      </c>
      <c r="S27" s="239">
        <v>780.58211357815981</v>
      </c>
      <c r="T27" s="239">
        <v>814.61871042507823</v>
      </c>
      <c r="U27" s="239">
        <v>846.90176664149851</v>
      </c>
      <c r="V27" s="239">
        <v>881.67881642733698</v>
      </c>
      <c r="W27" s="239">
        <v>916.21507380922094</v>
      </c>
      <c r="AF27" s="175"/>
      <c r="AG27" s="17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</row>
    <row r="28" spans="1:69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36"/>
      <c r="BI28" s="36"/>
      <c r="BJ28" s="36"/>
      <c r="BK28" s="36"/>
      <c r="BL28" s="36"/>
      <c r="BM28" s="36"/>
      <c r="BN28" s="36"/>
      <c r="BO28" s="36"/>
      <c r="BP28" s="36"/>
      <c r="BQ28" s="36"/>
    </row>
    <row r="29" spans="1:69" ht="18.75" x14ac:dyDescent="0.3">
      <c r="A29" s="37" t="s">
        <v>405</v>
      </c>
      <c r="B29" s="37"/>
      <c r="C29" s="38"/>
      <c r="D29" s="38"/>
      <c r="E29" s="79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174"/>
      <c r="AK29" s="174"/>
      <c r="AL29" s="174"/>
      <c r="AM29" s="174"/>
      <c r="AN29" s="174"/>
      <c r="AO29" s="174"/>
      <c r="AP29" s="17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36"/>
      <c r="BI29" s="36"/>
      <c r="BJ29" s="36"/>
      <c r="BK29" s="36"/>
      <c r="BL29" s="36"/>
      <c r="BM29" s="36"/>
      <c r="BN29" s="36"/>
      <c r="BO29" s="36"/>
      <c r="BP29" s="36"/>
      <c r="BQ29" s="36"/>
    </row>
    <row r="30" spans="1:69" ht="15.75" x14ac:dyDescent="0.25">
      <c r="A30" s="167" t="s">
        <v>815</v>
      </c>
      <c r="B30" s="88"/>
      <c r="C30" s="38"/>
      <c r="D30" s="38"/>
      <c r="E30" s="88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36"/>
      <c r="BI30" s="36"/>
      <c r="BJ30" s="36"/>
      <c r="BK30" s="36"/>
      <c r="BL30" s="36"/>
      <c r="BM30" s="36"/>
      <c r="BN30" s="36"/>
      <c r="BO30" s="36"/>
      <c r="BP30" s="36"/>
      <c r="BQ30" s="36"/>
    </row>
    <row r="31" spans="1:69" x14ac:dyDescent="0.2">
      <c r="A31" s="39"/>
      <c r="B31" s="88" t="s">
        <v>203</v>
      </c>
      <c r="C31" s="38"/>
      <c r="D31" s="38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spans="1:69" x14ac:dyDescent="0.2">
      <c r="A32" s="89" t="s">
        <v>197</v>
      </c>
      <c r="B32" s="78" t="s">
        <v>126</v>
      </c>
      <c r="C32" s="78" t="s">
        <v>127</v>
      </c>
      <c r="D32" s="38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</row>
    <row r="33" spans="1:69" x14ac:dyDescent="0.2">
      <c r="A33" s="89" t="s">
        <v>252</v>
      </c>
      <c r="B33" s="87">
        <v>284.07427085053865</v>
      </c>
      <c r="C33" s="87">
        <v>282.08616839173135</v>
      </c>
      <c r="D33" s="38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</row>
    <row r="34" spans="1:69" x14ac:dyDescent="0.2">
      <c r="A34" s="89" t="s">
        <v>253</v>
      </c>
      <c r="B34" s="87">
        <v>427.98306835343374</v>
      </c>
      <c r="C34" s="87">
        <v>398.44850112959477</v>
      </c>
      <c r="D34" s="38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</row>
    <row r="35" spans="1:69" x14ac:dyDescent="0.2">
      <c r="A35" s="89" t="s">
        <v>254</v>
      </c>
      <c r="B35" s="87">
        <v>442.07403872189627</v>
      </c>
      <c r="C35" s="87">
        <v>424.19454621599368</v>
      </c>
      <c r="D35" s="38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</row>
    <row r="36" spans="1:69" x14ac:dyDescent="0.2">
      <c r="A36" s="89" t="s">
        <v>255</v>
      </c>
      <c r="B36" s="87">
        <v>588.84958572235541</v>
      </c>
      <c r="C36" s="87">
        <v>591.96075213361814</v>
      </c>
      <c r="D36" s="38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</row>
    <row r="37" spans="1:69" x14ac:dyDescent="0.2">
      <c r="A37" s="89" t="s">
        <v>198</v>
      </c>
      <c r="B37" s="87">
        <v>742.75492963864542</v>
      </c>
      <c r="C37" s="87">
        <v>1013.7836617455663</v>
      </c>
      <c r="D37" s="38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</row>
    <row r="38" spans="1:69" x14ac:dyDescent="0.2">
      <c r="A38" s="89" t="s">
        <v>199</v>
      </c>
      <c r="B38" s="87">
        <v>970.47750337608852</v>
      </c>
      <c r="C38" s="87">
        <v>1506.6734517150458</v>
      </c>
      <c r="D38" s="38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</row>
    <row r="39" spans="1:69" x14ac:dyDescent="0.2">
      <c r="A39" s="89" t="s">
        <v>200</v>
      </c>
      <c r="B39" s="87">
        <v>1223.4620352444972</v>
      </c>
      <c r="C39" s="87">
        <v>1997.5192616966228</v>
      </c>
      <c r="D39" s="38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69" x14ac:dyDescent="0.2">
      <c r="A40" s="89" t="s">
        <v>201</v>
      </c>
      <c r="B40" s="87">
        <v>1408.8595486389481</v>
      </c>
      <c r="C40" s="87">
        <v>2296.9893109107807</v>
      </c>
      <c r="D40" s="38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x14ac:dyDescent="0.2">
      <c r="A41" s="89" t="s">
        <v>264</v>
      </c>
      <c r="B41" s="87">
        <v>1517.1172515504059</v>
      </c>
      <c r="C41" s="87">
        <v>2622.5340732791324</v>
      </c>
      <c r="D41" s="38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x14ac:dyDescent="0.2">
      <c r="A42" s="89" t="s">
        <v>202</v>
      </c>
      <c r="B42" s="87">
        <v>794.78779319079626</v>
      </c>
      <c r="C42" s="87">
        <v>1119.1026090508101</v>
      </c>
      <c r="D42" s="38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 x14ac:dyDescent="0.2">
      <c r="K43" s="83"/>
      <c r="L43" s="84"/>
      <c r="M43" s="84"/>
      <c r="N43" s="175"/>
      <c r="O43" s="175"/>
      <c r="P43" s="175"/>
      <c r="Q43" s="175"/>
    </row>
    <row r="44" spans="1:69" ht="15.75" x14ac:dyDescent="0.25">
      <c r="A44" s="16" t="s">
        <v>897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5"/>
      <c r="O44" s="175"/>
      <c r="P44" s="175"/>
      <c r="Q44" s="175"/>
    </row>
    <row r="45" spans="1:69" ht="13.5" thickBot="1" x14ac:dyDescent="0.25">
      <c r="A45" s="54" t="s">
        <v>271</v>
      </c>
      <c r="B45" s="56" t="s">
        <v>270</v>
      </c>
      <c r="C45" s="58"/>
      <c r="D45" s="56" t="s">
        <v>196</v>
      </c>
      <c r="E45" s="55"/>
      <c r="F45" s="56" t="s">
        <v>273</v>
      </c>
      <c r="G45" s="58"/>
      <c r="H45" s="56" t="s">
        <v>274</v>
      </c>
      <c r="I45" s="58"/>
      <c r="J45" s="56" t="s">
        <v>195</v>
      </c>
      <c r="K45" s="58"/>
      <c r="L45" s="56" t="s">
        <v>275</v>
      </c>
      <c r="M45" s="58"/>
      <c r="N45" s="175"/>
      <c r="O45" s="175"/>
      <c r="P45" s="175"/>
      <c r="Q45" s="175"/>
    </row>
    <row r="46" spans="1:69" ht="13.5" thickBot="1" x14ac:dyDescent="0.25">
      <c r="A46" s="53" t="s">
        <v>272</v>
      </c>
      <c r="B46" s="57" t="s">
        <v>126</v>
      </c>
      <c r="C46" s="58" t="s">
        <v>127</v>
      </c>
      <c r="D46" s="57" t="s">
        <v>126</v>
      </c>
      <c r="E46" s="58" t="s">
        <v>127</v>
      </c>
      <c r="F46" s="57" t="s">
        <v>126</v>
      </c>
      <c r="G46" s="58" t="s">
        <v>127</v>
      </c>
      <c r="H46" s="57" t="s">
        <v>126</v>
      </c>
      <c r="I46" s="58" t="s">
        <v>127</v>
      </c>
      <c r="J46" s="57" t="s">
        <v>126</v>
      </c>
      <c r="K46" s="58" t="s">
        <v>127</v>
      </c>
      <c r="L46" s="57" t="s">
        <v>126</v>
      </c>
      <c r="M46" s="58" t="s">
        <v>127</v>
      </c>
      <c r="N46" s="175"/>
      <c r="O46" s="175"/>
      <c r="P46" s="175"/>
      <c r="Q46" s="175"/>
    </row>
    <row r="47" spans="1:69" x14ac:dyDescent="0.2">
      <c r="A47" s="59" t="s">
        <v>252</v>
      </c>
      <c r="B47" s="61">
        <v>2410.7521634947125</v>
      </c>
      <c r="C47" s="61">
        <v>2787.7563780184369</v>
      </c>
      <c r="D47" s="61">
        <v>0</v>
      </c>
      <c r="E47" s="61">
        <v>0</v>
      </c>
      <c r="F47" s="61">
        <v>3.9683004105951278</v>
      </c>
      <c r="G47" s="61">
        <v>6.2563430045918436</v>
      </c>
      <c r="H47" s="61">
        <v>126.92276181642042</v>
      </c>
      <c r="I47" s="61">
        <v>126.86708275952303</v>
      </c>
      <c r="J47" s="61">
        <v>72.607943750739551</v>
      </c>
      <c r="K47" s="61">
        <v>99.066770710754824</v>
      </c>
      <c r="L47" s="61">
        <f t="shared" ref="L47:M64" si="1">SUM(B47,D47,F47,H47,J47)</f>
        <v>2614.2511694724676</v>
      </c>
      <c r="M47" s="61">
        <f t="shared" si="1"/>
        <v>3019.9465744933068</v>
      </c>
      <c r="N47" s="175"/>
      <c r="O47" s="175"/>
      <c r="P47" s="175"/>
      <c r="Q47" s="175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</row>
    <row r="48" spans="1:69" x14ac:dyDescent="0.2">
      <c r="A48" s="59" t="s">
        <v>253</v>
      </c>
      <c r="B48" s="61">
        <v>697.23095857699548</v>
      </c>
      <c r="C48" s="61">
        <v>793.05654904691221</v>
      </c>
      <c r="D48" s="61">
        <v>0</v>
      </c>
      <c r="E48" s="61">
        <v>0</v>
      </c>
      <c r="F48" s="61">
        <v>34.619801339974188</v>
      </c>
      <c r="G48" s="61">
        <v>92.870144171716859</v>
      </c>
      <c r="H48" s="61">
        <v>161.18261938612491</v>
      </c>
      <c r="I48" s="61">
        <v>161.40068896955586</v>
      </c>
      <c r="J48" s="61">
        <v>81.1768661770666</v>
      </c>
      <c r="K48" s="61">
        <v>150.22961870837258</v>
      </c>
      <c r="L48" s="61">
        <f t="shared" si="1"/>
        <v>974.21024548016112</v>
      </c>
      <c r="M48" s="61">
        <f t="shared" si="1"/>
        <v>1197.5570008965574</v>
      </c>
      <c r="N48" s="175"/>
      <c r="O48" s="175"/>
      <c r="P48" s="175"/>
      <c r="Q48" s="175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</row>
    <row r="49" spans="1:23" x14ac:dyDescent="0.2">
      <c r="A49" s="59" t="s">
        <v>254</v>
      </c>
      <c r="B49" s="61">
        <v>663.83708062256062</v>
      </c>
      <c r="C49" s="61">
        <v>777.68441118326939</v>
      </c>
      <c r="D49" s="61">
        <v>0</v>
      </c>
      <c r="E49" s="61">
        <v>0</v>
      </c>
      <c r="F49" s="61">
        <v>127.16897573878718</v>
      </c>
      <c r="G49" s="61">
        <v>156.6085733575388</v>
      </c>
      <c r="H49" s="61">
        <v>159.4625975608528</v>
      </c>
      <c r="I49" s="61">
        <v>159.27010626421597</v>
      </c>
      <c r="J49" s="61">
        <v>97.061278227997377</v>
      </c>
      <c r="K49" s="61">
        <v>162.96905391134294</v>
      </c>
      <c r="L49" s="61">
        <f t="shared" si="1"/>
        <v>1047.529932150198</v>
      </c>
      <c r="M49" s="61">
        <f t="shared" si="1"/>
        <v>1256.5321447163669</v>
      </c>
      <c r="N49" s="175"/>
      <c r="O49" s="175"/>
      <c r="P49" s="175"/>
      <c r="Q49" s="175"/>
      <c r="R49" s="32"/>
      <c r="S49" s="32"/>
      <c r="T49" s="36"/>
      <c r="U49" s="32"/>
      <c r="V49" s="32"/>
      <c r="W49" s="32"/>
    </row>
    <row r="50" spans="1:23" x14ac:dyDescent="0.2">
      <c r="A50" s="59" t="s">
        <v>255</v>
      </c>
      <c r="B50" s="61">
        <v>1088.0151029219078</v>
      </c>
      <c r="C50" s="61">
        <v>799.60364611080126</v>
      </c>
      <c r="D50" s="61">
        <v>0</v>
      </c>
      <c r="E50" s="61">
        <v>0</v>
      </c>
      <c r="F50" s="61">
        <v>352.21651219641194</v>
      </c>
      <c r="G50" s="61">
        <v>271.34751614113998</v>
      </c>
      <c r="H50" s="61">
        <v>152.48406475117622</v>
      </c>
      <c r="I50" s="61">
        <v>151.68825099408846</v>
      </c>
      <c r="J50" s="61">
        <v>95.762266051665904</v>
      </c>
      <c r="K50" s="61">
        <v>172.60909164096086</v>
      </c>
      <c r="L50" s="61">
        <f t="shared" si="1"/>
        <v>1688.4779459211618</v>
      </c>
      <c r="M50" s="61">
        <f t="shared" si="1"/>
        <v>1395.2485048869908</v>
      </c>
      <c r="N50" s="175"/>
      <c r="O50" s="175"/>
      <c r="P50" s="175"/>
      <c r="Q50" s="175"/>
      <c r="R50" s="32"/>
      <c r="S50" s="32"/>
      <c r="T50" s="36"/>
      <c r="U50" s="32"/>
      <c r="V50" s="32"/>
      <c r="W50" s="32"/>
    </row>
    <row r="51" spans="1:23" x14ac:dyDescent="0.2">
      <c r="A51" s="59" t="s">
        <v>256</v>
      </c>
      <c r="B51" s="61">
        <v>1352.2937168259709</v>
      </c>
      <c r="C51" s="61">
        <v>717.66852486395805</v>
      </c>
      <c r="D51" s="61">
        <v>0</v>
      </c>
      <c r="E51" s="61">
        <v>0</v>
      </c>
      <c r="F51" s="61">
        <v>277.53765257972378</v>
      </c>
      <c r="G51" s="61">
        <v>420.09306768731881</v>
      </c>
      <c r="H51" s="61">
        <v>154.95175903942763</v>
      </c>
      <c r="I51" s="61">
        <v>152.7412581034138</v>
      </c>
      <c r="J51" s="61">
        <v>149.24966215429794</v>
      </c>
      <c r="K51" s="61">
        <v>193.98581833217045</v>
      </c>
      <c r="L51" s="61">
        <f t="shared" si="1"/>
        <v>1934.0327905994202</v>
      </c>
      <c r="M51" s="61">
        <f t="shared" si="1"/>
        <v>1484.4886689868613</v>
      </c>
      <c r="N51" s="175"/>
      <c r="O51" s="175"/>
      <c r="P51" s="175"/>
      <c r="Q51" s="175"/>
      <c r="R51" s="32"/>
      <c r="S51" s="32"/>
      <c r="T51" s="36"/>
      <c r="U51" s="32"/>
      <c r="V51" s="32"/>
      <c r="W51" s="32"/>
    </row>
    <row r="52" spans="1:23" x14ac:dyDescent="0.2">
      <c r="A52" s="59" t="s">
        <v>257</v>
      </c>
      <c r="B52" s="61">
        <v>1548.8048026040317</v>
      </c>
      <c r="C52" s="61">
        <v>746.63203413856706</v>
      </c>
      <c r="D52" s="61">
        <v>0</v>
      </c>
      <c r="E52" s="61">
        <v>0</v>
      </c>
      <c r="F52" s="61">
        <v>335.02509419861371</v>
      </c>
      <c r="G52" s="61">
        <v>524.61205267780952</v>
      </c>
      <c r="H52" s="61">
        <v>107.42664731493683</v>
      </c>
      <c r="I52" s="61">
        <v>107.01264196777264</v>
      </c>
      <c r="J52" s="61">
        <v>235.80489453512305</v>
      </c>
      <c r="K52" s="61">
        <v>246.19699194577507</v>
      </c>
      <c r="L52" s="61">
        <f t="shared" si="1"/>
        <v>2227.0614386527054</v>
      </c>
      <c r="M52" s="61">
        <f t="shared" si="1"/>
        <v>1624.4537207299245</v>
      </c>
      <c r="N52" s="175"/>
      <c r="O52" s="175"/>
      <c r="P52" s="175"/>
      <c r="Q52" s="175"/>
      <c r="R52" s="32"/>
      <c r="S52" s="32"/>
      <c r="T52" s="36"/>
      <c r="U52" s="32"/>
      <c r="V52" s="32"/>
      <c r="W52" s="32"/>
    </row>
    <row r="53" spans="1:23" x14ac:dyDescent="0.2">
      <c r="A53" s="59" t="s">
        <v>258</v>
      </c>
      <c r="B53" s="61">
        <v>1774.3143119345007</v>
      </c>
      <c r="C53" s="61">
        <v>833.93395702016915</v>
      </c>
      <c r="D53" s="61">
        <v>0</v>
      </c>
      <c r="E53" s="61">
        <v>0</v>
      </c>
      <c r="F53" s="61">
        <v>408.03937871902502</v>
      </c>
      <c r="G53" s="61">
        <v>524.78761219723981</v>
      </c>
      <c r="H53" s="61">
        <v>105.33588282779429</v>
      </c>
      <c r="I53" s="61">
        <v>105.46231491216506</v>
      </c>
      <c r="J53" s="61">
        <v>241.61626479765869</v>
      </c>
      <c r="K53" s="61">
        <v>289.38344938697145</v>
      </c>
      <c r="L53" s="61">
        <f t="shared" si="1"/>
        <v>2529.3058382789786</v>
      </c>
      <c r="M53" s="61">
        <f t="shared" si="1"/>
        <v>1753.5673335165457</v>
      </c>
      <c r="N53" s="175"/>
      <c r="O53" s="175"/>
      <c r="P53" s="175"/>
      <c r="Q53" s="175"/>
      <c r="R53" s="32"/>
      <c r="S53" s="32"/>
      <c r="T53" s="36"/>
      <c r="U53" s="32"/>
      <c r="V53" s="32"/>
      <c r="W53" s="32"/>
    </row>
    <row r="54" spans="1:23" x14ac:dyDescent="0.2">
      <c r="A54" s="59" t="s">
        <v>259</v>
      </c>
      <c r="B54" s="61">
        <v>1576.9056138673814</v>
      </c>
      <c r="C54" s="61">
        <v>905.23068238565872</v>
      </c>
      <c r="D54" s="61">
        <v>0</v>
      </c>
      <c r="E54" s="61">
        <v>0</v>
      </c>
      <c r="F54" s="61">
        <v>431.00961175033348</v>
      </c>
      <c r="G54" s="61">
        <v>473.03825721851621</v>
      </c>
      <c r="H54" s="61">
        <v>102.31150895915131</v>
      </c>
      <c r="I54" s="61">
        <v>102.78988085479416</v>
      </c>
      <c r="J54" s="61">
        <v>310.5094895178363</v>
      </c>
      <c r="K54" s="61">
        <v>288.63138970593735</v>
      </c>
      <c r="L54" s="61">
        <f t="shared" si="1"/>
        <v>2420.7362240947027</v>
      </c>
      <c r="M54" s="61">
        <f t="shared" si="1"/>
        <v>1769.6902101649064</v>
      </c>
      <c r="N54" s="175"/>
      <c r="O54" s="175"/>
      <c r="P54" s="175"/>
      <c r="Q54" s="175"/>
      <c r="R54" s="32"/>
      <c r="S54" s="32"/>
      <c r="T54" s="36"/>
      <c r="U54" s="32"/>
      <c r="V54" s="32"/>
      <c r="W54" s="32"/>
    </row>
    <row r="55" spans="1:23" x14ac:dyDescent="0.2">
      <c r="A55" s="59" t="s">
        <v>260</v>
      </c>
      <c r="B55" s="61">
        <v>1326.6662069009456</v>
      </c>
      <c r="C55" s="61">
        <v>1104.9538113389219</v>
      </c>
      <c r="D55" s="61">
        <v>0</v>
      </c>
      <c r="E55" s="61">
        <v>0</v>
      </c>
      <c r="F55" s="61">
        <v>405.16547815695355</v>
      </c>
      <c r="G55" s="61">
        <v>384.34883695355967</v>
      </c>
      <c r="H55" s="61">
        <v>100.78319000967956</v>
      </c>
      <c r="I55" s="61">
        <v>100.85087898924037</v>
      </c>
      <c r="J55" s="61">
        <v>278.37603041910967</v>
      </c>
      <c r="K55" s="61">
        <v>280.81452696064423</v>
      </c>
      <c r="L55" s="61">
        <f t="shared" si="1"/>
        <v>2110.9909054866885</v>
      </c>
      <c r="M55" s="61">
        <f t="shared" si="1"/>
        <v>1870.9680542423662</v>
      </c>
      <c r="N55" s="175"/>
      <c r="O55" s="175"/>
      <c r="P55" s="175"/>
      <c r="Q55" s="175"/>
      <c r="R55" s="32"/>
      <c r="S55" s="32"/>
      <c r="T55" s="36"/>
      <c r="U55" s="32"/>
      <c r="V55" s="32"/>
      <c r="W55" s="32"/>
    </row>
    <row r="56" spans="1:23" x14ac:dyDescent="0.2">
      <c r="A56" s="59" t="s">
        <v>261</v>
      </c>
      <c r="B56" s="61">
        <v>1480.422468340485</v>
      </c>
      <c r="C56" s="61">
        <v>1361.5346952075317</v>
      </c>
      <c r="D56" s="61">
        <v>0</v>
      </c>
      <c r="E56" s="61">
        <v>0</v>
      </c>
      <c r="F56" s="61">
        <v>380.29777129037939</v>
      </c>
      <c r="G56" s="61">
        <v>369.24523700645062</v>
      </c>
      <c r="H56" s="61">
        <v>99.657920096842915</v>
      </c>
      <c r="I56" s="61">
        <v>99.300204733293853</v>
      </c>
      <c r="J56" s="61">
        <v>345.24097296922588</v>
      </c>
      <c r="K56" s="61">
        <v>278.76345510327872</v>
      </c>
      <c r="L56" s="61">
        <f t="shared" si="1"/>
        <v>2305.6191326969333</v>
      </c>
      <c r="M56" s="61">
        <f t="shared" si="1"/>
        <v>2108.8435920505549</v>
      </c>
      <c r="N56" s="175"/>
      <c r="O56" s="175"/>
      <c r="P56" s="175"/>
      <c r="Q56" s="175"/>
      <c r="R56" s="32"/>
      <c r="S56" s="32"/>
      <c r="T56" s="36"/>
      <c r="U56" s="32"/>
      <c r="V56" s="32"/>
      <c r="W56" s="32"/>
    </row>
    <row r="57" spans="1:23" x14ac:dyDescent="0.2">
      <c r="A57" s="59" t="s">
        <v>262</v>
      </c>
      <c r="B57" s="61">
        <v>1740.744994708821</v>
      </c>
      <c r="C57" s="61">
        <v>1757.8054035805046</v>
      </c>
      <c r="D57" s="61">
        <v>41.744445352225632</v>
      </c>
      <c r="E57" s="61">
        <v>27.222146884348522</v>
      </c>
      <c r="F57" s="61">
        <v>297.82578231535535</v>
      </c>
      <c r="G57" s="61">
        <v>264.50612269579051</v>
      </c>
      <c r="H57" s="61">
        <v>98.738249149753486</v>
      </c>
      <c r="I57" s="61">
        <v>98.162705141066411</v>
      </c>
      <c r="J57" s="61">
        <v>351.50813697784281</v>
      </c>
      <c r="K57" s="61">
        <v>283.4353410006114</v>
      </c>
      <c r="L57" s="61">
        <f t="shared" si="1"/>
        <v>2530.5616085039978</v>
      </c>
      <c r="M57" s="61">
        <f t="shared" si="1"/>
        <v>2431.1317193023219</v>
      </c>
      <c r="N57" s="175"/>
      <c r="O57" s="175"/>
      <c r="P57" s="175"/>
      <c r="Q57" s="175"/>
      <c r="R57" s="32"/>
      <c r="S57" s="32"/>
      <c r="T57" s="36"/>
      <c r="U57" s="32"/>
      <c r="V57" s="32"/>
      <c r="W57" s="32"/>
    </row>
    <row r="58" spans="1:23" x14ac:dyDescent="0.2">
      <c r="A58" s="59" t="s">
        <v>263</v>
      </c>
      <c r="B58" s="61">
        <v>2138.0218062739341</v>
      </c>
      <c r="C58" s="61">
        <v>2301.9408736441951</v>
      </c>
      <c r="D58" s="61">
        <v>76.423833779065589</v>
      </c>
      <c r="E58" s="61">
        <v>58.79716741082953</v>
      </c>
      <c r="F58" s="61">
        <v>275.10981338020724</v>
      </c>
      <c r="G58" s="61">
        <v>211.98761893159863</v>
      </c>
      <c r="H58" s="61">
        <v>97.928970973984761</v>
      </c>
      <c r="I58" s="61">
        <v>97.292222890405426</v>
      </c>
      <c r="J58" s="61">
        <v>447.81735552480609</v>
      </c>
      <c r="K58" s="61">
        <v>355.24564569570879</v>
      </c>
      <c r="L58" s="61">
        <f t="shared" si="1"/>
        <v>3035.3017799319978</v>
      </c>
      <c r="M58" s="61">
        <f t="shared" si="1"/>
        <v>3025.2635285727374</v>
      </c>
      <c r="N58" s="175"/>
      <c r="O58" s="175"/>
      <c r="P58" s="175"/>
      <c r="Q58" s="175"/>
      <c r="R58" s="32"/>
      <c r="S58" s="32"/>
      <c r="T58" s="36"/>
      <c r="U58" s="32"/>
      <c r="V58" s="32"/>
      <c r="W58" s="32"/>
    </row>
    <row r="59" spans="1:23" x14ac:dyDescent="0.2">
      <c r="A59" s="59" t="s">
        <v>264</v>
      </c>
      <c r="B59" s="61">
        <v>2685.7179597519821</v>
      </c>
      <c r="C59" s="61">
        <v>3005.6123078759524</v>
      </c>
      <c r="D59" s="61">
        <v>151.7277460210548</v>
      </c>
      <c r="E59" s="61">
        <v>115.50659923030238</v>
      </c>
      <c r="F59" s="61">
        <v>260.62787577243256</v>
      </c>
      <c r="G59" s="61">
        <v>151.84874509208532</v>
      </c>
      <c r="H59" s="61">
        <v>97.420877687840274</v>
      </c>
      <c r="I59" s="61">
        <v>96.504376379198746</v>
      </c>
      <c r="J59" s="61">
        <v>627.40009148080969</v>
      </c>
      <c r="K59" s="61">
        <v>533.25589322773214</v>
      </c>
      <c r="L59" s="61">
        <f t="shared" si="1"/>
        <v>3822.8945507141198</v>
      </c>
      <c r="M59" s="61">
        <f t="shared" si="1"/>
        <v>3902.7279218052709</v>
      </c>
      <c r="N59" s="175"/>
      <c r="O59" s="175"/>
      <c r="P59" s="175"/>
      <c r="Q59" s="175"/>
      <c r="R59" s="32"/>
      <c r="S59" s="32"/>
      <c r="T59" s="36"/>
      <c r="U59" s="32"/>
      <c r="V59" s="32"/>
      <c r="W59" s="32"/>
    </row>
    <row r="60" spans="1:23" x14ac:dyDescent="0.2">
      <c r="A60" s="59" t="s">
        <v>265</v>
      </c>
      <c r="B60" s="61">
        <v>3588.1392106148819</v>
      </c>
      <c r="C60" s="61">
        <v>4215.4294310177056</v>
      </c>
      <c r="D60" s="61">
        <v>378.42994221470207</v>
      </c>
      <c r="E60" s="61">
        <v>325.84655432988615</v>
      </c>
      <c r="F60" s="61">
        <v>213.07109949010098</v>
      </c>
      <c r="G60" s="61">
        <v>138.30663298571471</v>
      </c>
      <c r="H60" s="61">
        <v>97.886306882612928</v>
      </c>
      <c r="I60" s="61">
        <v>96.995775706183792</v>
      </c>
      <c r="J60" s="61">
        <v>0</v>
      </c>
      <c r="K60" s="61">
        <v>0</v>
      </c>
      <c r="L60" s="61">
        <f t="shared" si="1"/>
        <v>4277.5265592022979</v>
      </c>
      <c r="M60" s="61">
        <f t="shared" si="1"/>
        <v>4776.5783940394904</v>
      </c>
      <c r="N60" s="175"/>
      <c r="O60" s="175"/>
      <c r="P60" s="175"/>
      <c r="Q60" s="175"/>
      <c r="R60" s="32"/>
      <c r="S60" s="32"/>
      <c r="T60" s="36"/>
      <c r="U60" s="32"/>
      <c r="V60" s="32"/>
      <c r="W60" s="32"/>
    </row>
    <row r="61" spans="1:23" x14ac:dyDescent="0.2">
      <c r="A61" s="59" t="s">
        <v>266</v>
      </c>
      <c r="B61" s="61">
        <v>4379.8421382209945</v>
      </c>
      <c r="C61" s="61">
        <v>5220.3495747641628</v>
      </c>
      <c r="D61" s="61">
        <v>838.43005298878563</v>
      </c>
      <c r="E61" s="61">
        <v>739.449813593773</v>
      </c>
      <c r="F61" s="61">
        <v>195.1507356979954</v>
      </c>
      <c r="G61" s="61">
        <v>150.12702807846</v>
      </c>
      <c r="H61" s="61">
        <v>98.820605244872354</v>
      </c>
      <c r="I61" s="61">
        <v>97.45120208539339</v>
      </c>
      <c r="J61" s="61">
        <v>0</v>
      </c>
      <c r="K61" s="61">
        <v>0</v>
      </c>
      <c r="L61" s="61">
        <f t="shared" si="1"/>
        <v>5512.2435321526482</v>
      </c>
      <c r="M61" s="61">
        <f t="shared" si="1"/>
        <v>6207.3776185217894</v>
      </c>
      <c r="N61" s="175"/>
      <c r="O61" s="175"/>
      <c r="P61" s="175"/>
      <c r="Q61" s="175"/>
      <c r="R61" s="32"/>
      <c r="S61" s="32"/>
      <c r="T61" s="36"/>
      <c r="U61" s="32"/>
      <c r="V61" s="32"/>
      <c r="W61" s="32"/>
    </row>
    <row r="62" spans="1:23" x14ac:dyDescent="0.2">
      <c r="A62" s="59" t="s">
        <v>267</v>
      </c>
      <c r="B62" s="61">
        <v>5103.6992710328987</v>
      </c>
      <c r="C62" s="61">
        <v>6202.3154888374302</v>
      </c>
      <c r="D62" s="61">
        <v>1793.517761294381</v>
      </c>
      <c r="E62" s="61">
        <v>1537.1042078595178</v>
      </c>
      <c r="F62" s="61">
        <v>212.23413202200564</v>
      </c>
      <c r="G62" s="61">
        <v>168.3883512432069</v>
      </c>
      <c r="H62" s="61">
        <v>98.722273162133177</v>
      </c>
      <c r="I62" s="61">
        <v>97.175176722887443</v>
      </c>
      <c r="J62" s="61">
        <v>0</v>
      </c>
      <c r="K62" s="61">
        <v>0</v>
      </c>
      <c r="L62" s="61">
        <f t="shared" si="1"/>
        <v>7208.1734375114183</v>
      </c>
      <c r="M62" s="61">
        <f t="shared" si="1"/>
        <v>8004.9832246630422</v>
      </c>
      <c r="N62" s="175"/>
      <c r="O62" s="175"/>
      <c r="P62" s="175"/>
      <c r="Q62" s="175"/>
      <c r="R62" s="32"/>
      <c r="S62" s="32"/>
      <c r="T62" s="36"/>
      <c r="U62" s="32"/>
      <c r="V62" s="32"/>
      <c r="W62" s="32"/>
    </row>
    <row r="63" spans="1:23" x14ac:dyDescent="0.2">
      <c r="A63" s="59" t="s">
        <v>268</v>
      </c>
      <c r="B63" s="61">
        <v>5589.6012995945457</v>
      </c>
      <c r="C63" s="61">
        <v>6779.6328287507331</v>
      </c>
      <c r="D63" s="61">
        <v>3984.6705796130645</v>
      </c>
      <c r="E63" s="61">
        <v>2801.3480076794349</v>
      </c>
      <c r="F63" s="61">
        <v>253.79793229572351</v>
      </c>
      <c r="G63" s="61">
        <v>223.0386178874769</v>
      </c>
      <c r="H63" s="61">
        <v>98.215713550273875</v>
      </c>
      <c r="I63" s="61">
        <v>96.620264361238128</v>
      </c>
      <c r="J63" s="61">
        <v>0</v>
      </c>
      <c r="K63" s="61">
        <v>0</v>
      </c>
      <c r="L63" s="61">
        <f t="shared" si="1"/>
        <v>9926.2855250536068</v>
      </c>
      <c r="M63" s="61">
        <f t="shared" si="1"/>
        <v>9900.6397186788818</v>
      </c>
      <c r="N63" s="175"/>
      <c r="O63" s="175"/>
      <c r="P63" s="175"/>
      <c r="Q63" s="175"/>
      <c r="R63" s="32"/>
      <c r="S63" s="32"/>
      <c r="T63" s="36"/>
      <c r="U63" s="32"/>
      <c r="V63" s="32"/>
      <c r="W63" s="32"/>
    </row>
    <row r="64" spans="1:23" x14ac:dyDescent="0.2">
      <c r="A64" s="59" t="s">
        <v>194</v>
      </c>
      <c r="B64" s="61">
        <v>5965.3300172396321</v>
      </c>
      <c r="C64" s="61">
        <v>7189.8267035699482</v>
      </c>
      <c r="D64" s="61">
        <v>9487.5964700686454</v>
      </c>
      <c r="E64" s="61">
        <v>5645.5594349525827</v>
      </c>
      <c r="F64" s="61">
        <v>216.58491118856054</v>
      </c>
      <c r="G64" s="61">
        <v>234.59164857492721</v>
      </c>
      <c r="H64" s="61">
        <v>97.674483427677018</v>
      </c>
      <c r="I64" s="61">
        <v>96.408392083043765</v>
      </c>
      <c r="J64" s="61">
        <v>0</v>
      </c>
      <c r="K64" s="61">
        <v>0</v>
      </c>
      <c r="L64" s="61">
        <f t="shared" si="1"/>
        <v>15767.185881924515</v>
      </c>
      <c r="M64" s="61">
        <f t="shared" si="1"/>
        <v>13166.386179180503</v>
      </c>
      <c r="N64" s="175"/>
      <c r="O64" s="175"/>
      <c r="P64" s="175"/>
      <c r="Q64" s="175"/>
      <c r="R64" s="32"/>
      <c r="S64" s="32"/>
      <c r="T64" s="36"/>
      <c r="U64" s="32"/>
      <c r="V64" s="32"/>
      <c r="W64" s="32"/>
    </row>
    <row r="65" spans="1:23" ht="13.5" thickBot="1" x14ac:dyDescent="0.25">
      <c r="A65" s="60" t="s">
        <v>269</v>
      </c>
      <c r="B65" s="62">
        <f t="shared" ref="B65:M65" si="2">SUM(B47:B64)</f>
        <v>45110.339123527177</v>
      </c>
      <c r="C65" s="62">
        <f t="shared" si="2"/>
        <v>47500.967301354867</v>
      </c>
      <c r="D65" s="62">
        <f t="shared" si="2"/>
        <v>16752.540831331924</v>
      </c>
      <c r="E65" s="62">
        <f t="shared" si="2"/>
        <v>11250.833931940675</v>
      </c>
      <c r="F65" s="62">
        <f t="shared" si="2"/>
        <v>4679.4508585431786</v>
      </c>
      <c r="G65" s="62">
        <f t="shared" si="2"/>
        <v>4766.002405905143</v>
      </c>
      <c r="H65" s="62">
        <f t="shared" si="2"/>
        <v>2055.9264318415549</v>
      </c>
      <c r="I65" s="62">
        <f t="shared" si="2"/>
        <v>2043.9934239174802</v>
      </c>
      <c r="J65" s="62">
        <f t="shared" si="2"/>
        <v>3334.1312525841799</v>
      </c>
      <c r="K65" s="62">
        <f t="shared" si="2"/>
        <v>3334.5870463302613</v>
      </c>
      <c r="L65" s="62">
        <f t="shared" si="2"/>
        <v>71932.388497828026</v>
      </c>
      <c r="M65" s="62">
        <f t="shared" si="2"/>
        <v>68896.384109448409</v>
      </c>
      <c r="N65" s="175"/>
      <c r="O65" s="175"/>
      <c r="P65" s="175"/>
      <c r="Q65" s="175"/>
      <c r="R65" s="32"/>
      <c r="S65" s="32"/>
      <c r="T65" s="36"/>
      <c r="U65" s="32"/>
      <c r="V65" s="32"/>
      <c r="W65" s="32"/>
    </row>
    <row r="66" spans="1:23" x14ac:dyDescent="0.2">
      <c r="N66" s="175"/>
      <c r="O66" s="175"/>
      <c r="P66" s="175"/>
      <c r="Q66" s="175"/>
      <c r="R66" s="32"/>
      <c r="S66" s="32"/>
      <c r="T66" s="36"/>
      <c r="U66" s="32"/>
      <c r="V66" s="32"/>
      <c r="W66" s="32"/>
    </row>
    <row r="67" spans="1:23" ht="15.75" x14ac:dyDescent="0.25">
      <c r="A67" s="23" t="s">
        <v>151</v>
      </c>
      <c r="B67" s="22"/>
      <c r="C67" s="22"/>
      <c r="D67" s="22"/>
      <c r="E67" s="22"/>
      <c r="F67" s="22"/>
      <c r="G67" s="22"/>
      <c r="H67" s="22"/>
      <c r="I67" s="22"/>
    </row>
    <row r="68" spans="1:23" x14ac:dyDescent="0.2">
      <c r="A68" s="17"/>
      <c r="B68" s="92" t="s">
        <v>534</v>
      </c>
      <c r="C68" s="93"/>
      <c r="D68" s="92" t="s">
        <v>531</v>
      </c>
      <c r="E68" s="93"/>
      <c r="F68" s="92" t="s">
        <v>532</v>
      </c>
      <c r="G68" s="93"/>
      <c r="H68" s="92" t="s">
        <v>247</v>
      </c>
      <c r="I68" s="93"/>
    </row>
    <row r="69" spans="1:23" x14ac:dyDescent="0.2">
      <c r="A69" s="18" t="s">
        <v>125</v>
      </c>
      <c r="B69" s="19" t="s">
        <v>126</v>
      </c>
      <c r="C69" s="19" t="s">
        <v>127</v>
      </c>
      <c r="D69" s="19" t="s">
        <v>126</v>
      </c>
      <c r="E69" s="19" t="s">
        <v>127</v>
      </c>
      <c r="F69" s="19" t="s">
        <v>126</v>
      </c>
      <c r="G69" s="19" t="s">
        <v>127</v>
      </c>
      <c r="H69" s="19" t="s">
        <v>126</v>
      </c>
      <c r="I69" s="19" t="s">
        <v>127</v>
      </c>
    </row>
    <row r="70" spans="1:23" x14ac:dyDescent="0.2">
      <c r="A70" s="90">
        <v>16</v>
      </c>
      <c r="B70" s="94">
        <v>2</v>
      </c>
      <c r="C70" s="94">
        <v>0</v>
      </c>
      <c r="D70" s="94">
        <v>128</v>
      </c>
      <c r="E70" s="94">
        <v>214</v>
      </c>
      <c r="F70" s="94">
        <v>3</v>
      </c>
      <c r="G70" s="94">
        <v>0</v>
      </c>
      <c r="H70" s="94">
        <f t="shared" ref="H70:I82" si="3">AVERAGE(B70,D70,F70)</f>
        <v>44.333333333333336</v>
      </c>
      <c r="I70" s="94">
        <f t="shared" si="3"/>
        <v>71.333333333333329</v>
      </c>
    </row>
    <row r="71" spans="1:23" x14ac:dyDescent="0.2">
      <c r="A71" s="90">
        <v>17</v>
      </c>
      <c r="B71" s="95">
        <v>5</v>
      </c>
      <c r="C71" s="95">
        <v>3</v>
      </c>
      <c r="D71" s="95">
        <v>222</v>
      </c>
      <c r="E71" s="95">
        <v>366</v>
      </c>
      <c r="F71" s="95">
        <v>2</v>
      </c>
      <c r="G71" s="95">
        <v>1</v>
      </c>
      <c r="H71" s="95">
        <f t="shared" si="3"/>
        <v>76.333333333333329</v>
      </c>
      <c r="I71" s="95">
        <f t="shared" si="3"/>
        <v>123.33333333333333</v>
      </c>
    </row>
    <row r="72" spans="1:23" x14ac:dyDescent="0.2">
      <c r="A72" s="90" t="s">
        <v>204</v>
      </c>
      <c r="B72" s="95">
        <v>1805</v>
      </c>
      <c r="C72" s="95">
        <v>75</v>
      </c>
      <c r="D72" s="95">
        <v>647</v>
      </c>
      <c r="E72" s="95">
        <v>1007</v>
      </c>
      <c r="F72" s="95">
        <v>1122</v>
      </c>
      <c r="G72" s="95">
        <v>710</v>
      </c>
      <c r="H72" s="95">
        <f t="shared" si="3"/>
        <v>1191.3333333333333</v>
      </c>
      <c r="I72" s="95">
        <f t="shared" si="3"/>
        <v>597.33333333333337</v>
      </c>
    </row>
    <row r="73" spans="1:23" x14ac:dyDescent="0.2">
      <c r="A73" s="90" t="s">
        <v>205</v>
      </c>
      <c r="B73" s="95">
        <v>17390</v>
      </c>
      <c r="C73" s="95">
        <v>992</v>
      </c>
      <c r="D73" s="95">
        <v>2028</v>
      </c>
      <c r="E73" s="95">
        <v>2767</v>
      </c>
      <c r="F73" s="95">
        <v>3149</v>
      </c>
      <c r="G73" s="95">
        <v>3435</v>
      </c>
      <c r="H73" s="95">
        <f t="shared" si="3"/>
        <v>7522.333333333333</v>
      </c>
      <c r="I73" s="95">
        <f t="shared" si="3"/>
        <v>2398</v>
      </c>
    </row>
    <row r="74" spans="1:23" x14ac:dyDescent="0.2">
      <c r="A74" s="90" t="s">
        <v>206</v>
      </c>
      <c r="B74" s="95">
        <v>16839</v>
      </c>
      <c r="C74" s="95">
        <v>1610</v>
      </c>
      <c r="D74" s="95">
        <v>1828</v>
      </c>
      <c r="E74" s="95">
        <v>2523</v>
      </c>
      <c r="F74" s="95">
        <v>2111</v>
      </c>
      <c r="G74" s="95">
        <v>3176</v>
      </c>
      <c r="H74" s="95">
        <f t="shared" si="3"/>
        <v>6926</v>
      </c>
      <c r="I74" s="95">
        <f t="shared" si="3"/>
        <v>2436.3333333333335</v>
      </c>
    </row>
    <row r="75" spans="1:23" x14ac:dyDescent="0.2">
      <c r="A75" s="90" t="s">
        <v>207</v>
      </c>
      <c r="B75" s="95">
        <v>14335</v>
      </c>
      <c r="C75" s="95">
        <v>2013</v>
      </c>
      <c r="D75" s="95">
        <v>1931</v>
      </c>
      <c r="E75" s="95">
        <v>2870</v>
      </c>
      <c r="F75" s="95">
        <v>1693</v>
      </c>
      <c r="G75" s="95">
        <v>3065</v>
      </c>
      <c r="H75" s="95">
        <f t="shared" si="3"/>
        <v>5986.333333333333</v>
      </c>
      <c r="I75" s="95">
        <f t="shared" si="3"/>
        <v>2649.3333333333335</v>
      </c>
    </row>
    <row r="76" spans="1:23" x14ac:dyDescent="0.2">
      <c r="A76" s="90" t="s">
        <v>208</v>
      </c>
      <c r="B76" s="95">
        <v>13321</v>
      </c>
      <c r="C76" s="95">
        <v>2138</v>
      </c>
      <c r="D76" s="95">
        <v>2580</v>
      </c>
      <c r="E76" s="95">
        <v>3432</v>
      </c>
      <c r="F76" s="95">
        <v>1711</v>
      </c>
      <c r="G76" s="95">
        <v>3355</v>
      </c>
      <c r="H76" s="95">
        <f t="shared" si="3"/>
        <v>5870.666666666667</v>
      </c>
      <c r="I76" s="95">
        <f t="shared" si="3"/>
        <v>2975</v>
      </c>
    </row>
    <row r="77" spans="1:23" x14ac:dyDescent="0.2">
      <c r="A77" s="90" t="s">
        <v>209</v>
      </c>
      <c r="B77" s="95">
        <v>12417</v>
      </c>
      <c r="C77" s="95">
        <v>2256</v>
      </c>
      <c r="D77" s="95">
        <v>3845</v>
      </c>
      <c r="E77" s="95">
        <v>4730</v>
      </c>
      <c r="F77" s="95">
        <v>2439</v>
      </c>
      <c r="G77" s="95">
        <v>4077</v>
      </c>
      <c r="H77" s="95">
        <f t="shared" si="3"/>
        <v>6233.666666666667</v>
      </c>
      <c r="I77" s="95">
        <f t="shared" si="3"/>
        <v>3687.6666666666665</v>
      </c>
    </row>
    <row r="78" spans="1:23" x14ac:dyDescent="0.2">
      <c r="A78" s="90" t="s">
        <v>210</v>
      </c>
      <c r="B78" s="95">
        <v>8468</v>
      </c>
      <c r="C78" s="95">
        <v>1885</v>
      </c>
      <c r="D78" s="95">
        <v>4806</v>
      </c>
      <c r="E78" s="95">
        <v>5563</v>
      </c>
      <c r="F78" s="95">
        <v>3025</v>
      </c>
      <c r="G78" s="95">
        <v>4337</v>
      </c>
      <c r="H78" s="95">
        <f t="shared" si="3"/>
        <v>5433</v>
      </c>
      <c r="I78" s="95">
        <f t="shared" si="3"/>
        <v>3928.3333333333335</v>
      </c>
    </row>
    <row r="79" spans="1:23" x14ac:dyDescent="0.2">
      <c r="A79" s="90" t="s">
        <v>211</v>
      </c>
      <c r="B79" s="95">
        <v>5188</v>
      </c>
      <c r="C79" s="95">
        <v>1292</v>
      </c>
      <c r="D79" s="95">
        <v>6150</v>
      </c>
      <c r="E79" s="95">
        <v>6399</v>
      </c>
      <c r="F79" s="95">
        <v>3636</v>
      </c>
      <c r="G79" s="95">
        <v>4363</v>
      </c>
      <c r="H79" s="95">
        <f t="shared" si="3"/>
        <v>4991.333333333333</v>
      </c>
      <c r="I79" s="95">
        <f t="shared" si="3"/>
        <v>4018</v>
      </c>
    </row>
    <row r="80" spans="1:23" x14ac:dyDescent="0.2">
      <c r="A80" s="90" t="s">
        <v>212</v>
      </c>
      <c r="B80" s="95">
        <v>3284</v>
      </c>
      <c r="C80" s="95">
        <v>703</v>
      </c>
      <c r="D80" s="95">
        <v>6792</v>
      </c>
      <c r="E80" s="95">
        <v>6808</v>
      </c>
      <c r="F80" s="95">
        <v>3261</v>
      </c>
      <c r="G80" s="95">
        <v>3985</v>
      </c>
      <c r="H80" s="95">
        <f t="shared" si="3"/>
        <v>4445.666666666667</v>
      </c>
      <c r="I80" s="95">
        <f t="shared" si="3"/>
        <v>3832</v>
      </c>
    </row>
    <row r="81" spans="1:9" x14ac:dyDescent="0.2">
      <c r="A81" s="90" t="s">
        <v>213</v>
      </c>
      <c r="B81" s="95">
        <v>2608</v>
      </c>
      <c r="C81" s="95">
        <v>395</v>
      </c>
      <c r="D81" s="95">
        <v>8274</v>
      </c>
      <c r="E81" s="95">
        <v>8329</v>
      </c>
      <c r="F81" s="95">
        <v>2848</v>
      </c>
      <c r="G81" s="95">
        <v>3973</v>
      </c>
      <c r="H81" s="95">
        <f t="shared" si="3"/>
        <v>4576.666666666667</v>
      </c>
      <c r="I81" s="95">
        <f t="shared" si="3"/>
        <v>4232.333333333333</v>
      </c>
    </row>
    <row r="82" spans="1:9" x14ac:dyDescent="0.2">
      <c r="A82" s="90" t="s">
        <v>128</v>
      </c>
      <c r="B82" s="96">
        <v>73</v>
      </c>
      <c r="C82" s="96">
        <v>9</v>
      </c>
      <c r="D82" s="96">
        <v>1208</v>
      </c>
      <c r="E82" s="96">
        <v>1416</v>
      </c>
      <c r="F82" s="96">
        <v>415</v>
      </c>
      <c r="G82" s="96">
        <v>447</v>
      </c>
      <c r="H82" s="96">
        <f t="shared" si="3"/>
        <v>565.33333333333337</v>
      </c>
      <c r="I82" s="96">
        <f t="shared" si="3"/>
        <v>624</v>
      </c>
    </row>
    <row r="83" spans="1:9" x14ac:dyDescent="0.2">
      <c r="A83" s="91" t="s">
        <v>269</v>
      </c>
      <c r="B83" s="97">
        <f t="shared" ref="B83:I83" si="4">SUM(B$70:B$82)</f>
        <v>95735</v>
      </c>
      <c r="C83" s="97">
        <f t="shared" si="4"/>
        <v>13371</v>
      </c>
      <c r="D83" s="97">
        <f t="shared" si="4"/>
        <v>40439</v>
      </c>
      <c r="E83" s="97">
        <f t="shared" si="4"/>
        <v>46424</v>
      </c>
      <c r="F83" s="97">
        <f t="shared" si="4"/>
        <v>25415</v>
      </c>
      <c r="G83" s="97">
        <f t="shared" si="4"/>
        <v>34924</v>
      </c>
      <c r="H83" s="97">
        <f t="shared" si="4"/>
        <v>53863</v>
      </c>
      <c r="I83" s="97">
        <f t="shared" si="4"/>
        <v>31573</v>
      </c>
    </row>
    <row r="84" spans="1:9" x14ac:dyDescent="0.2">
      <c r="A84" s="17" t="s">
        <v>214</v>
      </c>
      <c r="B84" s="92" t="str">
        <f>$B$68</f>
        <v>Domestic Purposes</v>
      </c>
      <c r="C84" s="93"/>
      <c r="D84" s="92" t="str">
        <f>$D$68</f>
        <v>Invalids Benefit</v>
      </c>
      <c r="E84" s="93"/>
      <c r="F84" s="92" t="str">
        <f>$F$68</f>
        <v>Sickness Benefit</v>
      </c>
      <c r="G84" s="93"/>
      <c r="H84" s="92" t="str">
        <f>$H$68</f>
        <v>Average of three</v>
      </c>
      <c r="I84" s="93"/>
    </row>
    <row r="85" spans="1:9" x14ac:dyDescent="0.2">
      <c r="A85" s="18" t="s">
        <v>125</v>
      </c>
      <c r="B85" s="19" t="s">
        <v>126</v>
      </c>
      <c r="C85" s="19" t="s">
        <v>127</v>
      </c>
      <c r="D85" s="19" t="s">
        <v>126</v>
      </c>
      <c r="E85" s="19" t="s">
        <v>127</v>
      </c>
      <c r="F85" s="19" t="s">
        <v>126</v>
      </c>
      <c r="G85" s="19" t="s">
        <v>127</v>
      </c>
      <c r="H85" s="19" t="s">
        <v>126</v>
      </c>
      <c r="I85" s="19" t="s">
        <v>127</v>
      </c>
    </row>
    <row r="86" spans="1:9" x14ac:dyDescent="0.2">
      <c r="A86" s="20" t="s">
        <v>215</v>
      </c>
      <c r="B86" s="98">
        <f>SUM($B70:$B72)/SUM($B$70:$C$82)</f>
        <v>1.6607702601140174E-2</v>
      </c>
      <c r="C86" s="98">
        <f>SUM($C70:$C72)/SUM($B$70:$C$82)</f>
        <v>7.1490110534709367E-4</v>
      </c>
      <c r="D86" s="98">
        <f>SUM($D70:$D72)/SUM($D$70:$E$82)</f>
        <v>1.1477844421675511E-2</v>
      </c>
      <c r="E86" s="98">
        <f>SUM($E70:$E72)/SUM($D$70:$E$82)</f>
        <v>1.8270149545836546E-2</v>
      </c>
      <c r="F86" s="98">
        <f>SUM($F70:$F72)/SUM($F$70:$G$82)</f>
        <v>1.8677803742189959E-2</v>
      </c>
      <c r="G86" s="98">
        <f>SUM($G70:$G72)/SUM($F$70:$G$82)</f>
        <v>1.178342365634167E-2</v>
      </c>
      <c r="H86" s="98">
        <f>SUM($H70:$H72)/SUM($H$70:$I$82)</f>
        <v>1.5356524181843719E-2</v>
      </c>
      <c r="I86" s="98">
        <f>SUM($I70:$I72)/SUM($H$70:$I$82)</f>
        <v>9.2700969146495629E-3</v>
      </c>
    </row>
    <row r="87" spans="1:9" x14ac:dyDescent="0.2">
      <c r="A87" s="20" t="s">
        <v>205</v>
      </c>
      <c r="B87" s="98">
        <f>$B73/SUM($B$70:$C$82)</f>
        <v>0.15938628489725587</v>
      </c>
      <c r="C87" s="98">
        <f>$C73/SUM($B$70:$C$82)</f>
        <v>9.0920755962091912E-3</v>
      </c>
      <c r="D87" s="98">
        <f t="shared" ref="D87:D96" si="5">$D73/SUM($D$70:$E$82)</f>
        <v>2.3347109816607762E-2</v>
      </c>
      <c r="E87" s="98">
        <f t="shared" ref="E87:E96" si="6">$E73/SUM($D$70:$E$82)</f>
        <v>3.1854759794158617E-2</v>
      </c>
      <c r="F87" s="98">
        <f t="shared" ref="F87:F96" si="7">$F73/SUM($F$70:$G$82)</f>
        <v>5.2188468486385253E-2</v>
      </c>
      <c r="G87" s="98">
        <f t="shared" ref="G87:G96" si="8">$G73/SUM($F$70:$G$82)</f>
        <v>5.6928354795405957E-2</v>
      </c>
      <c r="H87" s="98">
        <f t="shared" ref="H87:H96" si="9">$H73/SUM($H$70:$I$82)</f>
        <v>8.8046412909468297E-2</v>
      </c>
      <c r="I87" s="98">
        <f t="shared" ref="I87:I96" si="10">$I73/SUM($H$70:$I$82)</f>
        <v>2.8067793436022285E-2</v>
      </c>
    </row>
    <row r="88" spans="1:9" x14ac:dyDescent="0.2">
      <c r="A88" s="20" t="s">
        <v>206</v>
      </c>
      <c r="B88" s="98">
        <f>$B74/SUM($B$70:$C$82)</f>
        <v>0.15433615016589372</v>
      </c>
      <c r="C88" s="98">
        <f>$C74/SUM($B$70:$C$82)</f>
        <v>1.4756292046266934E-2</v>
      </c>
      <c r="D88" s="98">
        <f t="shared" si="5"/>
        <v>2.1044633503332834E-2</v>
      </c>
      <c r="E88" s="98">
        <f t="shared" si="6"/>
        <v>2.9045738691963207E-2</v>
      </c>
      <c r="F88" s="98">
        <f t="shared" si="7"/>
        <v>3.4985664329869569E-2</v>
      </c>
      <c r="G88" s="98">
        <f t="shared" si="8"/>
        <v>5.2635940270803296E-2</v>
      </c>
      <c r="H88" s="98">
        <f t="shared" si="9"/>
        <v>8.1066529331897563E-2</v>
      </c>
      <c r="I88" s="98">
        <f t="shared" si="10"/>
        <v>2.8516472369180833E-2</v>
      </c>
    </row>
    <row r="89" spans="1:9" x14ac:dyDescent="0.2">
      <c r="A89" s="20" t="s">
        <v>207</v>
      </c>
      <c r="B89" s="98">
        <f>$B75/SUM($B$70:$C$82)</f>
        <v>0.13138599160449471</v>
      </c>
      <c r="C89" s="98">
        <f>$C75/SUM($B$70:$C$82)</f>
        <v>1.8449947757226918E-2</v>
      </c>
      <c r="D89" s="98">
        <f t="shared" si="5"/>
        <v>2.2230408804669421E-2</v>
      </c>
      <c r="E89" s="98">
        <f t="shared" si="6"/>
        <v>3.3040535095495205E-2</v>
      </c>
      <c r="F89" s="98">
        <f t="shared" si="7"/>
        <v>2.8058138185916241E-2</v>
      </c>
      <c r="G89" s="98">
        <f t="shared" si="8"/>
        <v>5.0796334045973585E-2</v>
      </c>
      <c r="H89" s="98">
        <f t="shared" si="9"/>
        <v>7.006804313560247E-2</v>
      </c>
      <c r="I89" s="98">
        <f t="shared" si="10"/>
        <v>3.1009566615166129E-2</v>
      </c>
    </row>
    <row r="90" spans="1:9" x14ac:dyDescent="0.2">
      <c r="A90" s="20" t="s">
        <v>208</v>
      </c>
      <c r="B90" s="98">
        <f t="shared" ref="B90:B96" si="11">$B76/SUM($B$70:$C$82)</f>
        <v>0.12209227723498249</v>
      </c>
      <c r="C90" s="98">
        <f t="shared" ref="C90:C96" si="12">$C76/SUM($B$70:$C$82)</f>
        <v>1.9595622605539566E-2</v>
      </c>
      <c r="D90" s="98">
        <f t="shared" si="5"/>
        <v>2.9701944441246561E-2</v>
      </c>
      <c r="E90" s="98">
        <f t="shared" si="6"/>
        <v>3.9510493535797747E-2</v>
      </c>
      <c r="F90" s="98">
        <f t="shared" si="7"/>
        <v>2.8356452708861599E-2</v>
      </c>
      <c r="G90" s="98">
        <f t="shared" si="8"/>
        <v>5.560251247120436E-2</v>
      </c>
      <c r="H90" s="98">
        <f t="shared" si="9"/>
        <v>6.8714203224245832E-2</v>
      </c>
      <c r="I90" s="98">
        <f t="shared" si="10"/>
        <v>3.4821386769043491E-2</v>
      </c>
    </row>
    <row r="91" spans="1:9" x14ac:dyDescent="0.2">
      <c r="A91" s="20" t="s">
        <v>209</v>
      </c>
      <c r="B91" s="98">
        <f t="shared" si="11"/>
        <v>0.11380675673198541</v>
      </c>
      <c r="C91" s="98">
        <f t="shared" si="12"/>
        <v>2.0677139662346709E-2</v>
      </c>
      <c r="D91" s="98">
        <f t="shared" si="5"/>
        <v>4.4265107122710472E-2</v>
      </c>
      <c r="E91" s="98">
        <f t="shared" si="6"/>
        <v>5.4453564808952026E-2</v>
      </c>
      <c r="F91" s="98">
        <f t="shared" si="7"/>
        <v>4.0421617859096107E-2</v>
      </c>
      <c r="G91" s="98">
        <f t="shared" si="8"/>
        <v>6.7568239447123757E-2</v>
      </c>
      <c r="H91" s="98">
        <f t="shared" si="9"/>
        <v>7.2962997643460217E-2</v>
      </c>
      <c r="I91" s="98">
        <f t="shared" si="10"/>
        <v>4.3162913369851896E-2</v>
      </c>
    </row>
    <row r="92" spans="1:9" x14ac:dyDescent="0.2">
      <c r="A92" s="20" t="s">
        <v>210</v>
      </c>
      <c r="B92" s="98">
        <f t="shared" si="11"/>
        <v>7.761259692409217E-2</v>
      </c>
      <c r="C92" s="98">
        <f t="shared" si="12"/>
        <v>1.7276776712554762E-2</v>
      </c>
      <c r="D92" s="98">
        <f t="shared" si="5"/>
        <v>5.5328505807996503E-2</v>
      </c>
      <c r="E92" s="98">
        <f t="shared" si="6"/>
        <v>6.40433786537421E-2</v>
      </c>
      <c r="F92" s="98">
        <f t="shared" si="7"/>
        <v>5.0133412883872783E-2</v>
      </c>
      <c r="G92" s="98">
        <f t="shared" si="8"/>
        <v>7.1877227000778934E-2</v>
      </c>
      <c r="H92" s="98">
        <f t="shared" si="9"/>
        <v>6.3591460274357414E-2</v>
      </c>
      <c r="I92" s="98">
        <f t="shared" si="10"/>
        <v>4.5979836758899453E-2</v>
      </c>
    </row>
    <row r="93" spans="1:9" x14ac:dyDescent="0.2">
      <c r="A93" s="20" t="s">
        <v>211</v>
      </c>
      <c r="B93" s="98">
        <f t="shared" si="11"/>
        <v>4.755008890436823E-2</v>
      </c>
      <c r="C93" s="98">
        <f t="shared" si="12"/>
        <v>1.1841695232159551E-2</v>
      </c>
      <c r="D93" s="98">
        <f t="shared" si="5"/>
        <v>7.0801146633204012E-2</v>
      </c>
      <c r="E93" s="98">
        <f t="shared" si="6"/>
        <v>7.3667729643231289E-2</v>
      </c>
      <c r="F93" s="98">
        <f t="shared" si="7"/>
        <v>6.0259533634962462E-2</v>
      </c>
      <c r="G93" s="98">
        <f t="shared" si="8"/>
        <v>7.2308125756144453E-2</v>
      </c>
      <c r="H93" s="98">
        <f t="shared" si="9"/>
        <v>5.8421898653182883E-2</v>
      </c>
      <c r="I93" s="98">
        <f t="shared" si="10"/>
        <v>4.7029355306896392E-2</v>
      </c>
    </row>
    <row r="94" spans="1:9" x14ac:dyDescent="0.2">
      <c r="A94" s="20" t="s">
        <v>212</v>
      </c>
      <c r="B94" s="98">
        <f t="shared" si="11"/>
        <v>3.0099169614869942E-2</v>
      </c>
      <c r="C94" s="98">
        <f t="shared" si="12"/>
        <v>6.4432753469103442E-3</v>
      </c>
      <c r="D94" s="98">
        <f t="shared" si="5"/>
        <v>7.8192095598816527E-2</v>
      </c>
      <c r="E94" s="98">
        <f t="shared" si="6"/>
        <v>7.8376293703878525E-2</v>
      </c>
      <c r="F94" s="98">
        <f t="shared" si="7"/>
        <v>5.4044647740267487E-2</v>
      </c>
      <c r="G94" s="98">
        <f t="shared" si="8"/>
        <v>6.6043520774291917E-2</v>
      </c>
      <c r="H94" s="98">
        <f t="shared" si="9"/>
        <v>5.2035051578569538E-2</v>
      </c>
      <c r="I94" s="98">
        <f t="shared" si="10"/>
        <v>4.4852287092092324E-2</v>
      </c>
    </row>
    <row r="95" spans="1:9" x14ac:dyDescent="0.2">
      <c r="A95" s="20" t="s">
        <v>213</v>
      </c>
      <c r="B95" s="98">
        <f t="shared" si="11"/>
        <v>2.390336003519513E-2</v>
      </c>
      <c r="C95" s="98">
        <f t="shared" si="12"/>
        <v>3.6203325206679744E-3</v>
      </c>
      <c r="D95" s="98">
        <f t="shared" si="5"/>
        <v>9.5253445080183741E-2</v>
      </c>
      <c r="E95" s="98">
        <f t="shared" si="6"/>
        <v>9.5886626066334343E-2</v>
      </c>
      <c r="F95" s="98">
        <f t="shared" si="7"/>
        <v>4.7199986741576758E-2</v>
      </c>
      <c r="G95" s="98">
        <f t="shared" si="8"/>
        <v>6.584464442566168E-2</v>
      </c>
      <c r="H95" s="98">
        <f t="shared" si="9"/>
        <v>5.35683630631896E-2</v>
      </c>
      <c r="I95" s="98">
        <f t="shared" si="10"/>
        <v>4.9538055776643719E-2</v>
      </c>
    </row>
    <row r="96" spans="1:9" x14ac:dyDescent="0.2">
      <c r="A96" s="21" t="s">
        <v>128</v>
      </c>
      <c r="B96" s="98">
        <f t="shared" si="11"/>
        <v>6.690741114145876E-4</v>
      </c>
      <c r="C96" s="98">
        <f t="shared" si="12"/>
        <v>8.2488589078510811E-5</v>
      </c>
      <c r="D96" s="98">
        <f t="shared" si="5"/>
        <v>1.390695693218056E-2</v>
      </c>
      <c r="E96" s="98">
        <f t="shared" si="6"/>
        <v>1.6301532297986483E-2</v>
      </c>
      <c r="F96" s="98">
        <f t="shared" si="7"/>
        <v>6.8778070567957709E-3</v>
      </c>
      <c r="G96" s="98">
        <f t="shared" si="8"/>
        <v>7.4081439864764082E-3</v>
      </c>
      <c r="H96" s="98">
        <f t="shared" si="9"/>
        <v>6.6170388751033921E-3</v>
      </c>
      <c r="I96" s="98">
        <f t="shared" si="10"/>
        <v>7.3037127206329886E-3</v>
      </c>
    </row>
    <row r="98" spans="1:22" x14ac:dyDescent="0.2">
      <c r="A98" s="337" t="s">
        <v>846</v>
      </c>
      <c r="B98" s="421" t="s">
        <v>530</v>
      </c>
      <c r="C98" s="336"/>
      <c r="D98" s="336"/>
      <c r="E98" s="336"/>
      <c r="F98" s="339"/>
      <c r="G98" s="337"/>
      <c r="H98" s="336"/>
      <c r="I98" s="338" t="s">
        <v>100</v>
      </c>
      <c r="J98" s="338" t="s">
        <v>101</v>
      </c>
      <c r="K98" s="338" t="s">
        <v>102</v>
      </c>
      <c r="L98" s="338" t="s">
        <v>103</v>
      </c>
      <c r="M98" s="338" t="s">
        <v>104</v>
      </c>
      <c r="N98" s="338" t="s">
        <v>2</v>
      </c>
      <c r="O98" s="338" t="s">
        <v>105</v>
      </c>
      <c r="P98" s="338" t="s">
        <v>106</v>
      </c>
      <c r="Q98" s="338" t="s">
        <v>107</v>
      </c>
      <c r="R98" s="338" t="s">
        <v>108</v>
      </c>
      <c r="S98" s="338" t="s">
        <v>110</v>
      </c>
      <c r="T98" s="338" t="s">
        <v>111</v>
      </c>
      <c r="U98" s="338" t="s">
        <v>837</v>
      </c>
      <c r="V98" s="338" t="s">
        <v>932</v>
      </c>
    </row>
    <row r="99" spans="1:22" x14ac:dyDescent="0.2">
      <c r="A99" s="336" t="s">
        <v>530</v>
      </c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</row>
    <row r="100" spans="1:22" x14ac:dyDescent="0.2">
      <c r="A100" s="339" t="s">
        <v>856</v>
      </c>
      <c r="B100" s="336"/>
      <c r="C100" s="336"/>
      <c r="D100" s="336"/>
      <c r="E100" s="336"/>
      <c r="F100" s="336"/>
      <c r="G100" s="340"/>
      <c r="H100" s="336"/>
      <c r="I100" s="336"/>
      <c r="J100" s="336"/>
      <c r="K100" s="336"/>
      <c r="L100" s="336"/>
      <c r="M100" s="336"/>
      <c r="N100" s="336">
        <v>0</v>
      </c>
      <c r="O100" s="336">
        <v>0</v>
      </c>
      <c r="P100" s="336">
        <v>0</v>
      </c>
      <c r="Q100" s="336">
        <v>0</v>
      </c>
      <c r="R100" s="336"/>
      <c r="S100" s="336"/>
      <c r="T100" s="336"/>
      <c r="U100" s="336"/>
      <c r="V100" s="336"/>
    </row>
    <row r="101" spans="1:22" x14ac:dyDescent="0.2">
      <c r="A101" s="339" t="s">
        <v>1026</v>
      </c>
      <c r="B101" s="336"/>
      <c r="C101" s="336"/>
      <c r="D101" s="336"/>
      <c r="E101" s="336"/>
      <c r="F101" s="336"/>
      <c r="G101" s="340"/>
      <c r="H101" s="340"/>
      <c r="I101" s="340"/>
      <c r="J101" s="340"/>
      <c r="K101" s="340"/>
      <c r="L101" s="340"/>
      <c r="M101" s="336"/>
      <c r="N101" s="341">
        <v>79</v>
      </c>
      <c r="O101" s="341">
        <v>26</v>
      </c>
      <c r="P101" s="341">
        <v>21</v>
      </c>
      <c r="Q101" s="341">
        <v>0</v>
      </c>
      <c r="R101" s="341">
        <v>0</v>
      </c>
      <c r="S101" s="340"/>
      <c r="T101" s="340"/>
      <c r="U101" s="340"/>
      <c r="V101" s="340"/>
    </row>
    <row r="102" spans="1:22" x14ac:dyDescent="0.2">
      <c r="A102" s="339" t="s">
        <v>847</v>
      </c>
      <c r="B102" s="336"/>
      <c r="C102" s="336"/>
      <c r="D102" s="336"/>
      <c r="E102" s="336"/>
      <c r="F102" s="336"/>
      <c r="G102" s="340"/>
      <c r="H102" s="340"/>
      <c r="I102" s="340"/>
      <c r="J102" s="340"/>
      <c r="K102" s="340"/>
      <c r="L102" s="340"/>
      <c r="M102" s="340"/>
      <c r="N102" s="341">
        <v>100</v>
      </c>
      <c r="O102" s="341">
        <v>600</v>
      </c>
      <c r="P102" s="341">
        <v>300</v>
      </c>
      <c r="Q102" s="341">
        <v>250</v>
      </c>
      <c r="R102" s="341">
        <v>150</v>
      </c>
      <c r="S102" s="345">
        <v>150</v>
      </c>
      <c r="T102" s="340"/>
      <c r="U102" s="340"/>
      <c r="V102" s="340"/>
    </row>
    <row r="103" spans="1:22" x14ac:dyDescent="0.2">
      <c r="A103" s="339" t="s">
        <v>848</v>
      </c>
      <c r="B103" s="336"/>
      <c r="C103" s="336"/>
      <c r="D103" s="336"/>
      <c r="E103" s="336"/>
      <c r="F103" s="336"/>
      <c r="G103" s="340"/>
      <c r="H103" s="340"/>
      <c r="I103" s="340"/>
      <c r="J103" s="340"/>
      <c r="K103" s="340"/>
      <c r="L103" s="340"/>
      <c r="M103" s="340"/>
      <c r="N103" s="340"/>
      <c r="O103" s="341">
        <v>100</v>
      </c>
      <c r="P103" s="341">
        <v>400</v>
      </c>
      <c r="Q103" s="341">
        <v>200</v>
      </c>
      <c r="R103" s="341">
        <v>250</v>
      </c>
      <c r="S103" s="345">
        <v>0</v>
      </c>
      <c r="T103" s="340"/>
      <c r="U103" s="340"/>
      <c r="V103" s="340"/>
    </row>
    <row r="104" spans="1:22" x14ac:dyDescent="0.2">
      <c r="A104" s="339" t="s">
        <v>849</v>
      </c>
      <c r="B104" s="336"/>
      <c r="C104" s="336"/>
      <c r="D104" s="336"/>
      <c r="E104" s="336"/>
      <c r="F104" s="336"/>
      <c r="G104" s="340"/>
      <c r="H104" s="340"/>
      <c r="I104" s="340"/>
      <c r="J104" s="340"/>
      <c r="K104" s="340"/>
      <c r="L104" s="340"/>
      <c r="M104" s="340"/>
      <c r="N104" s="340"/>
      <c r="O104" s="340"/>
      <c r="P104" s="341">
        <v>100</v>
      </c>
      <c r="Q104" s="341">
        <v>250</v>
      </c>
      <c r="R104" s="341">
        <v>160</v>
      </c>
      <c r="S104" s="345">
        <v>210</v>
      </c>
      <c r="T104" s="345">
        <v>0</v>
      </c>
      <c r="U104" s="340"/>
      <c r="V104" s="340"/>
    </row>
    <row r="105" spans="1:22" x14ac:dyDescent="0.2">
      <c r="A105" s="339" t="s">
        <v>850</v>
      </c>
      <c r="B105" s="336"/>
      <c r="C105" s="336"/>
      <c r="D105" s="336"/>
      <c r="E105" s="336"/>
      <c r="F105" s="336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1">
        <v>100</v>
      </c>
      <c r="R105" s="341">
        <v>250</v>
      </c>
      <c r="S105" s="345">
        <v>160</v>
      </c>
      <c r="T105" s="345">
        <v>210</v>
      </c>
      <c r="U105" s="345">
        <v>0</v>
      </c>
      <c r="V105" s="340"/>
    </row>
    <row r="106" spans="1:22" x14ac:dyDescent="0.2">
      <c r="A106" s="339" t="s">
        <v>851</v>
      </c>
      <c r="B106" s="336"/>
      <c r="C106" s="336"/>
      <c r="D106" s="336"/>
      <c r="E106" s="336"/>
      <c r="F106" s="336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1">
        <v>100</v>
      </c>
      <c r="S106" s="345">
        <v>250</v>
      </c>
      <c r="T106" s="345">
        <v>160</v>
      </c>
      <c r="U106" s="345">
        <v>210</v>
      </c>
      <c r="V106" s="345">
        <v>198</v>
      </c>
    </row>
    <row r="107" spans="1:22" x14ac:dyDescent="0.2">
      <c r="A107" s="339" t="s">
        <v>852</v>
      </c>
      <c r="B107" s="336"/>
      <c r="C107" s="336"/>
      <c r="D107" s="336"/>
      <c r="E107" s="336"/>
      <c r="F107" s="336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>
        <f>ROUND(936/5,0)</f>
        <v>187</v>
      </c>
      <c r="T107" s="340">
        <f>ROUND(936/5,0)</f>
        <v>187</v>
      </c>
      <c r="U107" s="340">
        <f>ROUND(936/5,0)</f>
        <v>187</v>
      </c>
      <c r="V107" s="340">
        <f>ROUND(936/5,0)</f>
        <v>187</v>
      </c>
    </row>
    <row r="108" spans="1:22" x14ac:dyDescent="0.2">
      <c r="A108" s="339" t="s">
        <v>853</v>
      </c>
      <c r="B108" s="336"/>
      <c r="C108" s="336"/>
      <c r="D108" s="336"/>
      <c r="E108" s="336"/>
      <c r="F108" s="336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>
        <f>ROUND(955/5,0)</f>
        <v>191</v>
      </c>
      <c r="U108" s="340">
        <f>ROUND(955/5,0)</f>
        <v>191</v>
      </c>
      <c r="V108" s="340">
        <f>ROUND(955/5,0)</f>
        <v>191</v>
      </c>
    </row>
    <row r="109" spans="1:22" x14ac:dyDescent="0.2">
      <c r="A109" s="339" t="s">
        <v>892</v>
      </c>
      <c r="B109" s="336"/>
      <c r="C109" s="336"/>
      <c r="D109" s="336"/>
      <c r="E109" s="336"/>
      <c r="F109" s="336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>
        <f>ROUND(974/5,0)</f>
        <v>195</v>
      </c>
      <c r="V109" s="340">
        <f>ROUND(974/5,0)</f>
        <v>195</v>
      </c>
    </row>
    <row r="110" spans="1:22" x14ac:dyDescent="0.2">
      <c r="A110" s="339" t="s">
        <v>1027</v>
      </c>
      <c r="B110" s="336"/>
      <c r="C110" s="336"/>
      <c r="D110" s="336"/>
      <c r="E110" s="336"/>
      <c r="F110" s="336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>
        <f>ROUND(994/5,0)</f>
        <v>199</v>
      </c>
    </row>
    <row r="111" spans="1:22" x14ac:dyDescent="0.2">
      <c r="A111" s="337" t="s">
        <v>854</v>
      </c>
      <c r="B111" s="336"/>
      <c r="C111" s="336"/>
      <c r="D111" s="336"/>
      <c r="E111" s="336"/>
      <c r="F111" s="336"/>
      <c r="G111" s="340"/>
      <c r="H111" s="340"/>
      <c r="I111" s="340"/>
      <c r="J111" s="340"/>
      <c r="K111" s="340"/>
      <c r="L111" s="341"/>
      <c r="M111" s="341"/>
      <c r="N111" s="341">
        <f>SUM(N$100:N$110)</f>
        <v>179</v>
      </c>
      <c r="O111" s="341">
        <f t="shared" ref="O111:V111" si="13">SUM(O$100:O$110)</f>
        <v>726</v>
      </c>
      <c r="P111" s="341">
        <f t="shared" si="13"/>
        <v>821</v>
      </c>
      <c r="Q111" s="341">
        <f t="shared" si="13"/>
        <v>800</v>
      </c>
      <c r="R111" s="341">
        <f t="shared" si="13"/>
        <v>910</v>
      </c>
      <c r="S111" s="341">
        <f t="shared" si="13"/>
        <v>957</v>
      </c>
      <c r="T111" s="341">
        <f t="shared" si="13"/>
        <v>748</v>
      </c>
      <c r="U111" s="341">
        <f t="shared" si="13"/>
        <v>783</v>
      </c>
      <c r="V111" s="341">
        <f t="shared" si="13"/>
        <v>970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G71" sqref="G71"/>
    </sheetView>
  </sheetViews>
  <sheetFormatPr defaultRowHeight="12.75" x14ac:dyDescent="0.2"/>
  <cols>
    <col min="1" max="1" width="52.5703125" customWidth="1"/>
    <col min="2" max="3" width="21.7109375" customWidth="1"/>
  </cols>
  <sheetData>
    <row r="1" spans="1:3" ht="18.75" x14ac:dyDescent="0.3">
      <c r="A1" s="34" t="s">
        <v>159</v>
      </c>
    </row>
    <row r="2" spans="1:3" ht="12.75" customHeight="1" x14ac:dyDescent="0.3">
      <c r="A2" s="34"/>
    </row>
    <row r="3" spans="1:3" ht="15.75" customHeight="1" x14ac:dyDescent="0.25">
      <c r="A3" s="35" t="s">
        <v>429</v>
      </c>
      <c r="B3" s="33" t="s">
        <v>1029</v>
      </c>
      <c r="C3" s="298" t="s">
        <v>956</v>
      </c>
    </row>
    <row r="4" spans="1:3" x14ac:dyDescent="0.2">
      <c r="A4" s="25"/>
    </row>
    <row r="5" spans="1:3" ht="15.75" customHeight="1" x14ac:dyDescent="0.25">
      <c r="A5" s="35" t="s">
        <v>430</v>
      </c>
      <c r="B5" s="154" t="s">
        <v>420</v>
      </c>
    </row>
    <row r="6" spans="1:3" x14ac:dyDescent="0.2">
      <c r="A6" s="29" t="s">
        <v>431</v>
      </c>
      <c r="B6" s="1">
        <v>1.4999999999999999E-2</v>
      </c>
      <c r="C6" s="299">
        <v>1.4999999999999999E-2</v>
      </c>
    </row>
    <row r="7" spans="1:3" x14ac:dyDescent="0.2">
      <c r="A7" s="29" t="s">
        <v>432</v>
      </c>
      <c r="B7" s="1">
        <v>0.02</v>
      </c>
      <c r="C7" s="299">
        <v>0.02</v>
      </c>
    </row>
    <row r="8" spans="1:3" x14ac:dyDescent="0.2">
      <c r="A8" s="29" t="s">
        <v>728</v>
      </c>
      <c r="B8" s="1">
        <v>5.5E-2</v>
      </c>
      <c r="C8" s="299">
        <v>5.5E-2</v>
      </c>
    </row>
    <row r="9" spans="1:3" x14ac:dyDescent="0.2">
      <c r="A9" s="29" t="s">
        <v>438</v>
      </c>
      <c r="B9" s="1">
        <v>4.4999999999999998E-2</v>
      </c>
      <c r="C9" s="299">
        <v>4.4999999999999998E-2</v>
      </c>
    </row>
    <row r="10" spans="1:3" x14ac:dyDescent="0.2">
      <c r="A10" s="29" t="s">
        <v>729</v>
      </c>
      <c r="B10" s="240">
        <v>33</v>
      </c>
      <c r="C10" s="300">
        <v>33</v>
      </c>
    </row>
    <row r="11" spans="1:3" ht="13.5" x14ac:dyDescent="0.25">
      <c r="A11" s="168" t="s">
        <v>138</v>
      </c>
      <c r="B11" s="154" t="s">
        <v>1044</v>
      </c>
    </row>
    <row r="12" spans="1:3" ht="13.5" x14ac:dyDescent="0.25">
      <c r="A12" s="168"/>
      <c r="B12" s="154" t="s">
        <v>1045</v>
      </c>
    </row>
    <row r="13" spans="1:3" ht="13.5" x14ac:dyDescent="0.25">
      <c r="A13" s="44"/>
      <c r="B13" s="154" t="s">
        <v>1046</v>
      </c>
    </row>
    <row r="14" spans="1:3" x14ac:dyDescent="0.2">
      <c r="A14" s="29" t="s">
        <v>844</v>
      </c>
      <c r="B14" s="150">
        <v>2019</v>
      </c>
      <c r="C14" s="302">
        <v>2019</v>
      </c>
    </row>
    <row r="15" spans="1:3" ht="13.5" x14ac:dyDescent="0.25">
      <c r="A15" s="29"/>
      <c r="B15" s="154" t="s">
        <v>1040</v>
      </c>
    </row>
    <row r="16" spans="1:3" ht="13.5" x14ac:dyDescent="0.25">
      <c r="A16" s="29"/>
      <c r="B16" s="154" t="s">
        <v>1041</v>
      </c>
    </row>
    <row r="17" spans="1:3" ht="13.5" x14ac:dyDescent="0.25">
      <c r="A17" s="29"/>
      <c r="B17" s="154" t="s">
        <v>1042</v>
      </c>
    </row>
    <row r="18" spans="1:3" ht="13.5" x14ac:dyDescent="0.25">
      <c r="A18" s="29"/>
      <c r="B18" s="154" t="s">
        <v>1043</v>
      </c>
    </row>
    <row r="19" spans="1:3" x14ac:dyDescent="0.2">
      <c r="A19" s="29" t="s">
        <v>432</v>
      </c>
      <c r="B19" s="326">
        <v>2E-3</v>
      </c>
      <c r="C19" s="327">
        <v>2E-3</v>
      </c>
    </row>
    <row r="20" spans="1:3" x14ac:dyDescent="0.2">
      <c r="A20" s="29" t="s">
        <v>728</v>
      </c>
      <c r="B20" s="326">
        <v>1E-3</v>
      </c>
      <c r="C20" s="327">
        <v>1E-3</v>
      </c>
    </row>
    <row r="21" spans="1:3" x14ac:dyDescent="0.2">
      <c r="A21" s="29" t="s">
        <v>438</v>
      </c>
      <c r="B21" s="326">
        <v>1E-3</v>
      </c>
      <c r="C21" s="327">
        <v>1E-3</v>
      </c>
    </row>
    <row r="22" spans="1:3" x14ac:dyDescent="0.2">
      <c r="A22" s="29" t="s">
        <v>729</v>
      </c>
      <c r="B22" s="148">
        <v>0.02</v>
      </c>
      <c r="C22" s="301">
        <v>0.02</v>
      </c>
    </row>
    <row r="23" spans="1:3" x14ac:dyDescent="0.2">
      <c r="A23" s="29"/>
    </row>
    <row r="24" spans="1:3" ht="15.75" x14ac:dyDescent="0.25">
      <c r="A24" s="35" t="s">
        <v>433</v>
      </c>
    </row>
    <row r="25" spans="1:3" ht="13.5" x14ac:dyDescent="0.25">
      <c r="A25" s="168" t="s">
        <v>411</v>
      </c>
      <c r="B25" s="154" t="s">
        <v>173</v>
      </c>
    </row>
    <row r="26" spans="1:3" x14ac:dyDescent="0.2">
      <c r="A26" s="29" t="s">
        <v>434</v>
      </c>
      <c r="B26" s="385" t="s">
        <v>132</v>
      </c>
      <c r="C26" s="386" t="s">
        <v>132</v>
      </c>
    </row>
    <row r="27" spans="1:3" x14ac:dyDescent="0.2">
      <c r="A27" s="29" t="s">
        <v>157</v>
      </c>
      <c r="B27" s="148">
        <v>1.35</v>
      </c>
      <c r="C27" s="301">
        <v>1.35</v>
      </c>
    </row>
    <row r="28" spans="1:3" x14ac:dyDescent="0.2">
      <c r="A28" s="29" t="s">
        <v>890</v>
      </c>
      <c r="B28" s="150">
        <v>2022</v>
      </c>
      <c r="C28" s="302">
        <v>2022</v>
      </c>
    </row>
    <row r="29" spans="1:3" ht="15.75" customHeight="1" x14ac:dyDescent="0.25">
      <c r="A29" s="168" t="s">
        <v>406</v>
      </c>
      <c r="B29" s="154" t="s">
        <v>419</v>
      </c>
    </row>
    <row r="30" spans="1:3" x14ac:dyDescent="0.2">
      <c r="A30" s="29" t="s">
        <v>857</v>
      </c>
      <c r="B30" s="2">
        <f>ROUND(1.1*1.02^7,3)</f>
        <v>1.264</v>
      </c>
      <c r="C30" s="328">
        <f>ROUND(1.1*1.02^7,3)</f>
        <v>1.264</v>
      </c>
    </row>
    <row r="31" spans="1:3" x14ac:dyDescent="0.2">
      <c r="A31" s="29" t="s">
        <v>858</v>
      </c>
      <c r="B31" s="2">
        <f>ROUND(0.9*1.02^2,3)</f>
        <v>0.93600000000000005</v>
      </c>
      <c r="C31" s="328">
        <f>ROUND(0.9*1.02^2,3)</f>
        <v>0.93600000000000005</v>
      </c>
    </row>
    <row r="32" spans="1:3" x14ac:dyDescent="0.2">
      <c r="A32" s="29" t="s">
        <v>891</v>
      </c>
      <c r="B32" s="150">
        <v>2021</v>
      </c>
      <c r="C32" s="302">
        <v>2021</v>
      </c>
    </row>
    <row r="33" spans="1:3" ht="15.75" customHeight="1" x14ac:dyDescent="0.25">
      <c r="A33" s="168" t="s">
        <v>407</v>
      </c>
      <c r="B33" s="154" t="s">
        <v>421</v>
      </c>
    </row>
    <row r="34" spans="1:3" ht="15.75" customHeight="1" x14ac:dyDescent="0.25">
      <c r="A34" s="44"/>
      <c r="B34" s="154" t="s">
        <v>855</v>
      </c>
    </row>
    <row r="35" spans="1:3" x14ac:dyDescent="0.2">
      <c r="A35" s="29" t="s">
        <v>408</v>
      </c>
      <c r="B35" s="1">
        <v>0.02</v>
      </c>
      <c r="C35" s="299">
        <v>0.02</v>
      </c>
    </row>
    <row r="36" spans="1:3" x14ac:dyDescent="0.2">
      <c r="A36" s="29" t="s">
        <v>409</v>
      </c>
      <c r="B36" s="1">
        <v>0.02</v>
      </c>
      <c r="C36" s="299">
        <v>0.02</v>
      </c>
    </row>
    <row r="37" spans="1:3" ht="13.5" x14ac:dyDescent="0.25">
      <c r="A37" s="168" t="s">
        <v>959</v>
      </c>
      <c r="B37" s="154" t="s">
        <v>962</v>
      </c>
    </row>
    <row r="38" spans="1:3" ht="13.5" x14ac:dyDescent="0.25">
      <c r="A38" s="29"/>
      <c r="B38" s="154" t="s">
        <v>963</v>
      </c>
    </row>
    <row r="39" spans="1:3" ht="13.5" x14ac:dyDescent="0.25">
      <c r="A39" s="29"/>
      <c r="B39" s="154" t="s">
        <v>964</v>
      </c>
    </row>
    <row r="40" spans="1:3" x14ac:dyDescent="0.2">
      <c r="A40" s="29" t="s">
        <v>965</v>
      </c>
      <c r="B40" s="385" t="s">
        <v>132</v>
      </c>
      <c r="C40" s="386" t="s">
        <v>132</v>
      </c>
    </row>
    <row r="41" spans="1:3" x14ac:dyDescent="0.2">
      <c r="A41" s="29" t="s">
        <v>966</v>
      </c>
      <c r="B41" s="150">
        <v>2018</v>
      </c>
      <c r="C41" s="302">
        <v>2018</v>
      </c>
    </row>
    <row r="42" spans="1:3" x14ac:dyDescent="0.2">
      <c r="A42" s="29" t="s">
        <v>958</v>
      </c>
      <c r="B42" s="150">
        <v>2036</v>
      </c>
      <c r="C42" s="302">
        <v>2036</v>
      </c>
    </row>
    <row r="43" spans="1:3" x14ac:dyDescent="0.2">
      <c r="A43" s="29" t="s">
        <v>961</v>
      </c>
      <c r="B43" s="2">
        <v>-3.6999999999999998E-2</v>
      </c>
      <c r="C43" s="328">
        <v>-3.6999999999999998E-2</v>
      </c>
    </row>
    <row r="44" spans="1:3" x14ac:dyDescent="0.2">
      <c r="A44" s="29" t="s">
        <v>960</v>
      </c>
      <c r="B44" s="326">
        <v>1.15E-2</v>
      </c>
      <c r="C44" s="327">
        <v>1.15E-2</v>
      </c>
    </row>
    <row r="45" spans="1:3" ht="15.75" customHeight="1" x14ac:dyDescent="0.25">
      <c r="A45" s="168" t="s">
        <v>163</v>
      </c>
      <c r="B45" s="154" t="s">
        <v>422</v>
      </c>
    </row>
    <row r="46" spans="1:3" ht="15.75" customHeight="1" x14ac:dyDescent="0.25">
      <c r="A46" s="44"/>
      <c r="B46" s="154" t="s">
        <v>423</v>
      </c>
    </row>
    <row r="47" spans="1:3" x14ac:dyDescent="0.2">
      <c r="A47" s="29" t="s">
        <v>150</v>
      </c>
      <c r="B47" s="385" t="s">
        <v>132</v>
      </c>
      <c r="C47" s="386" t="s">
        <v>132</v>
      </c>
    </row>
    <row r="48" spans="1:3" x14ac:dyDescent="0.2">
      <c r="A48" s="28" t="s">
        <v>148</v>
      </c>
      <c r="B48" s="1">
        <v>0.65</v>
      </c>
      <c r="C48" s="299">
        <v>0.65</v>
      </c>
    </row>
    <row r="49" spans="1:3" ht="13.5" x14ac:dyDescent="0.25">
      <c r="A49" s="168" t="s">
        <v>169</v>
      </c>
      <c r="B49" s="154" t="s">
        <v>172</v>
      </c>
    </row>
    <row r="50" spans="1:3" x14ac:dyDescent="0.2">
      <c r="A50" s="29" t="s">
        <v>894</v>
      </c>
      <c r="B50" s="385" t="s">
        <v>132</v>
      </c>
      <c r="C50" s="386" t="s">
        <v>132</v>
      </c>
    </row>
    <row r="51" spans="1:3" x14ac:dyDescent="0.2">
      <c r="A51" s="29" t="s">
        <v>166</v>
      </c>
      <c r="B51" s="385" t="s">
        <v>132</v>
      </c>
      <c r="C51" s="386" t="s">
        <v>132</v>
      </c>
    </row>
    <row r="52" spans="1:3" x14ac:dyDescent="0.2">
      <c r="A52" s="29" t="s">
        <v>167</v>
      </c>
      <c r="B52" s="385" t="s">
        <v>132</v>
      </c>
      <c r="C52" s="386" t="s">
        <v>132</v>
      </c>
    </row>
    <row r="53" spans="1:3" ht="13.5" x14ac:dyDescent="0.25">
      <c r="A53" s="29"/>
      <c r="B53" s="154" t="s">
        <v>901</v>
      </c>
    </row>
    <row r="54" spans="1:3" ht="13.5" x14ac:dyDescent="0.25">
      <c r="A54" s="29"/>
      <c r="B54" s="154" t="s">
        <v>902</v>
      </c>
    </row>
    <row r="55" spans="1:3" ht="13.5" x14ac:dyDescent="0.25">
      <c r="A55" s="29"/>
      <c r="B55" s="154" t="s">
        <v>903</v>
      </c>
    </row>
    <row r="56" spans="1:3" x14ac:dyDescent="0.2">
      <c r="A56" s="29" t="s">
        <v>174</v>
      </c>
      <c r="B56" s="1">
        <v>2E-3</v>
      </c>
      <c r="C56" s="299">
        <v>2E-3</v>
      </c>
    </row>
    <row r="57" spans="1:3" x14ac:dyDescent="0.2">
      <c r="A57" s="29" t="s">
        <v>893</v>
      </c>
      <c r="B57" s="1">
        <v>0.112</v>
      </c>
      <c r="C57" s="299">
        <v>0.112</v>
      </c>
    </row>
    <row r="58" spans="1:3" x14ac:dyDescent="0.2">
      <c r="A58" s="29" t="s">
        <v>170</v>
      </c>
      <c r="B58" s="1">
        <v>4.3999999999999997E-2</v>
      </c>
      <c r="C58" s="299">
        <v>4.3999999999999997E-2</v>
      </c>
    </row>
    <row r="59" spans="1:3" x14ac:dyDescent="0.2">
      <c r="A59" s="29" t="s">
        <v>171</v>
      </c>
      <c r="B59" s="1">
        <v>0.13100000000000001</v>
      </c>
      <c r="C59" s="299">
        <v>0.13100000000000001</v>
      </c>
    </row>
    <row r="60" spans="1:3" ht="15.75" x14ac:dyDescent="0.25">
      <c r="A60" s="35" t="s">
        <v>344</v>
      </c>
    </row>
    <row r="61" spans="1:3" ht="13.5" x14ac:dyDescent="0.25">
      <c r="A61" s="44" t="s">
        <v>345</v>
      </c>
      <c r="B61" s="154" t="s">
        <v>424</v>
      </c>
    </row>
    <row r="62" spans="1:3" ht="13.5" x14ac:dyDescent="0.25">
      <c r="A62" s="44"/>
      <c r="B62" s="154" t="s">
        <v>867</v>
      </c>
    </row>
    <row r="63" spans="1:3" x14ac:dyDescent="0.2">
      <c r="A63" s="29" t="s">
        <v>346</v>
      </c>
      <c r="B63" s="385" t="s">
        <v>133</v>
      </c>
      <c r="C63" s="386" t="s">
        <v>133</v>
      </c>
    </row>
    <row r="64" spans="1:3" x14ac:dyDescent="0.2">
      <c r="A64" s="152" t="s">
        <v>347</v>
      </c>
      <c r="B64" s="151">
        <v>0.4</v>
      </c>
      <c r="C64" s="330">
        <v>0.4</v>
      </c>
    </row>
    <row r="65" spans="1:3" x14ac:dyDescent="0.2">
      <c r="A65" s="152" t="s">
        <v>348</v>
      </c>
      <c r="B65" s="151">
        <v>0.25</v>
      </c>
      <c r="C65" s="330">
        <v>0.25</v>
      </c>
    </row>
    <row r="66" spans="1:3" x14ac:dyDescent="0.2">
      <c r="A66" s="152" t="s">
        <v>866</v>
      </c>
      <c r="B66" s="151">
        <v>0.02</v>
      </c>
      <c r="C66" s="330">
        <v>0.02</v>
      </c>
    </row>
    <row r="67" spans="1:3" x14ac:dyDescent="0.2">
      <c r="A67" s="152" t="s">
        <v>865</v>
      </c>
      <c r="B67" s="151">
        <v>0.05</v>
      </c>
      <c r="C67" s="330">
        <v>0.05</v>
      </c>
    </row>
    <row r="68" spans="1:3" x14ac:dyDescent="0.2">
      <c r="A68" s="152" t="s">
        <v>597</v>
      </c>
      <c r="B68" s="151">
        <v>0.09</v>
      </c>
      <c r="C68" s="330">
        <v>0.09</v>
      </c>
    </row>
    <row r="69" spans="1:3" x14ac:dyDescent="0.2">
      <c r="A69" s="152" t="s">
        <v>598</v>
      </c>
      <c r="B69" s="151">
        <v>0.04</v>
      </c>
      <c r="C69" s="330">
        <v>0.04</v>
      </c>
    </row>
    <row r="70" spans="1:3" x14ac:dyDescent="0.2">
      <c r="A70" s="152" t="s">
        <v>863</v>
      </c>
      <c r="B70" s="151">
        <v>0.06</v>
      </c>
      <c r="C70" s="330">
        <v>0.06</v>
      </c>
    </row>
    <row r="71" spans="1:3" x14ac:dyDescent="0.2">
      <c r="A71" s="152" t="s">
        <v>946</v>
      </c>
      <c r="B71" s="151">
        <v>0.03</v>
      </c>
      <c r="C71" s="330">
        <v>0.03</v>
      </c>
    </row>
    <row r="72" spans="1:3" x14ac:dyDescent="0.2">
      <c r="A72" s="152" t="s">
        <v>1062</v>
      </c>
      <c r="B72" s="151">
        <v>0.01</v>
      </c>
      <c r="C72" s="330">
        <v>0.01</v>
      </c>
    </row>
    <row r="73" spans="1:3" x14ac:dyDescent="0.2">
      <c r="A73" s="152" t="s">
        <v>864</v>
      </c>
      <c r="B73" s="151">
        <v>0.03</v>
      </c>
      <c r="C73" s="330">
        <v>0.03</v>
      </c>
    </row>
    <row r="74" spans="1:3" ht="13.5" x14ac:dyDescent="0.25">
      <c r="A74" s="152"/>
      <c r="B74" s="154" t="s">
        <v>425</v>
      </c>
      <c r="C74" s="154"/>
    </row>
    <row r="75" spans="1:3" x14ac:dyDescent="0.2">
      <c r="A75" s="29" t="s">
        <v>249</v>
      </c>
      <c r="B75" s="385" t="s">
        <v>133</v>
      </c>
      <c r="C75" s="386" t="s">
        <v>133</v>
      </c>
    </row>
    <row r="77" spans="1:3" ht="13.5" x14ac:dyDescent="0.2">
      <c r="A77" s="44" t="s">
        <v>868</v>
      </c>
    </row>
    <row r="78" spans="1:3" x14ac:dyDescent="0.2">
      <c r="A78" s="29" t="s">
        <v>869</v>
      </c>
      <c r="B78" s="346">
        <v>14000</v>
      </c>
      <c r="C78" s="347">
        <v>14000</v>
      </c>
    </row>
    <row r="79" spans="1:3" x14ac:dyDescent="0.2">
      <c r="A79" s="29" t="s">
        <v>870</v>
      </c>
      <c r="B79" s="346">
        <v>48000</v>
      </c>
      <c r="C79" s="347">
        <v>48000</v>
      </c>
    </row>
    <row r="80" spans="1:3" x14ac:dyDescent="0.2">
      <c r="A80" s="29" t="s">
        <v>871</v>
      </c>
      <c r="B80" s="346">
        <v>70000</v>
      </c>
      <c r="C80" s="347">
        <v>70000</v>
      </c>
    </row>
    <row r="81" spans="1:3" x14ac:dyDescent="0.2">
      <c r="A81" s="29" t="s">
        <v>872</v>
      </c>
      <c r="B81" s="1">
        <v>0.105</v>
      </c>
      <c r="C81" s="299">
        <v>0.105</v>
      </c>
    </row>
    <row r="82" spans="1:3" x14ac:dyDescent="0.2">
      <c r="A82" s="29" t="s">
        <v>873</v>
      </c>
      <c r="B82" s="1">
        <v>0.17499999999999999</v>
      </c>
      <c r="C82" s="299">
        <v>0.17499999999999999</v>
      </c>
    </row>
    <row r="83" spans="1:3" x14ac:dyDescent="0.2">
      <c r="A83" s="29" t="s">
        <v>874</v>
      </c>
      <c r="B83" s="1">
        <v>0.3</v>
      </c>
      <c r="C83" s="299">
        <v>0.3</v>
      </c>
    </row>
    <row r="84" spans="1:3" x14ac:dyDescent="0.2">
      <c r="A84" s="29" t="s">
        <v>875</v>
      </c>
      <c r="B84" s="1">
        <v>0.33</v>
      </c>
      <c r="C84" s="299">
        <v>0.33</v>
      </c>
    </row>
    <row r="85" spans="1:3" x14ac:dyDescent="0.2">
      <c r="A85" s="29" t="s">
        <v>876</v>
      </c>
      <c r="B85" s="326">
        <v>1.7000000000000001E-2</v>
      </c>
      <c r="C85" s="327">
        <v>1.7000000000000001E-2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workbookViewId="0">
      <selection activeCell="N41" sqref="N41:R41"/>
    </sheetView>
  </sheetViews>
  <sheetFormatPr defaultRowHeight="12.75" x14ac:dyDescent="0.2"/>
  <cols>
    <col min="1" max="1" width="40.7109375" customWidth="1"/>
    <col min="2" max="7" width="8.7109375" customWidth="1"/>
    <col min="10" max="13" width="9" bestFit="1" customWidth="1"/>
    <col min="14" max="14" width="9.28515625" bestFit="1" customWidth="1"/>
  </cols>
  <sheetData>
    <row r="1" spans="1:7" ht="14.25" x14ac:dyDescent="0.2">
      <c r="A1" s="85" t="s">
        <v>802</v>
      </c>
      <c r="B1" s="133"/>
      <c r="F1" s="134">
        <v>6</v>
      </c>
      <c r="G1" s="85"/>
    </row>
    <row r="2" spans="1:7" x14ac:dyDescent="0.2">
      <c r="A2" s="135" t="s">
        <v>366</v>
      </c>
      <c r="B2" s="136">
        <f>$F$1</f>
        <v>6</v>
      </c>
      <c r="C2" s="137">
        <f>B$2+1</f>
        <v>7</v>
      </c>
      <c r="D2" s="137">
        <f>C$2+1</f>
        <v>8</v>
      </c>
      <c r="E2" s="137">
        <f>D$2+1</f>
        <v>9</v>
      </c>
      <c r="F2" s="137">
        <f>E$2+1</f>
        <v>10</v>
      </c>
      <c r="G2" s="137">
        <f>F$2+1</f>
        <v>11</v>
      </c>
    </row>
    <row r="3" spans="1:7" ht="15.75" x14ac:dyDescent="0.25">
      <c r="A3" s="138" t="s">
        <v>367</v>
      </c>
      <c r="B3" s="136"/>
      <c r="C3" s="137"/>
      <c r="D3" s="137"/>
      <c r="E3" s="137"/>
      <c r="F3" s="137"/>
      <c r="G3" s="137"/>
    </row>
    <row r="4" spans="1:7" x14ac:dyDescent="0.2">
      <c r="A4" s="85" t="s">
        <v>368</v>
      </c>
      <c r="B4" s="342" t="str">
        <f ca="1">OFFSET(Data!$A$2,0,1+B$2)</f>
        <v>11/12</v>
      </c>
      <c r="C4" s="140" t="str">
        <f ca="1">OFFSET(Data!$A$2,0,1+C$2)</f>
        <v>12/13</v>
      </c>
      <c r="D4" s="140" t="str">
        <f ca="1">OFFSET(Data!$A$2,0,1+D$2)</f>
        <v>13/14</v>
      </c>
      <c r="E4" s="140" t="str">
        <f ca="1">OFFSET(Data!$A$2,0,1+E$2)</f>
        <v>14/15</v>
      </c>
      <c r="F4" s="140" t="str">
        <f ca="1">OFFSET(Data!$A$2,0,1+F$2)</f>
        <v>15/16</v>
      </c>
      <c r="G4" s="140" t="str">
        <f ca="1">OFFSET(Data!$A$2,0,1+G$2)</f>
        <v>16/17</v>
      </c>
    </row>
    <row r="5" spans="1:7" ht="14.25" x14ac:dyDescent="0.2">
      <c r="A5" s="141" t="s">
        <v>369</v>
      </c>
      <c r="B5" s="136"/>
      <c r="C5" s="137"/>
      <c r="D5" s="137"/>
      <c r="E5" s="137"/>
      <c r="F5" s="137"/>
      <c r="G5" s="137"/>
    </row>
    <row r="6" spans="1:7" ht="14.25" x14ac:dyDescent="0.2">
      <c r="A6" s="141" t="s">
        <v>370</v>
      </c>
      <c r="B6" s="136"/>
      <c r="C6" s="137"/>
      <c r="D6" s="137"/>
      <c r="E6" s="137"/>
      <c r="F6" s="137"/>
      <c r="G6" s="137"/>
    </row>
    <row r="7" spans="1:7" ht="14.25" x14ac:dyDescent="0.2">
      <c r="A7" s="141"/>
      <c r="B7" s="136"/>
      <c r="C7" s="137"/>
      <c r="D7" s="137"/>
      <c r="E7" s="137"/>
      <c r="F7" s="137"/>
      <c r="G7" s="137"/>
    </row>
    <row r="8" spans="1:7" ht="14.25" x14ac:dyDescent="0.2">
      <c r="A8" s="141" t="s">
        <v>371</v>
      </c>
      <c r="B8" s="136"/>
      <c r="C8" s="137"/>
      <c r="D8" s="137"/>
      <c r="E8" s="137"/>
      <c r="F8" s="137"/>
      <c r="G8" s="137"/>
    </row>
    <row r="9" spans="1:7" x14ac:dyDescent="0.2">
      <c r="A9" s="50" t="s">
        <v>730</v>
      </c>
      <c r="B9" s="136"/>
      <c r="C9" s="334">
        <v>0</v>
      </c>
      <c r="D9" s="334">
        <v>0</v>
      </c>
      <c r="E9" s="334">
        <v>0</v>
      </c>
      <c r="F9" s="334">
        <v>0</v>
      </c>
      <c r="G9" s="334">
        <v>0</v>
      </c>
    </row>
    <row r="10" spans="1:7" x14ac:dyDescent="0.2">
      <c r="A10" s="50" t="s">
        <v>731</v>
      </c>
      <c r="B10" s="136"/>
      <c r="C10" s="334">
        <v>0</v>
      </c>
      <c r="D10" s="334">
        <v>0</v>
      </c>
      <c r="E10" s="334">
        <v>0</v>
      </c>
      <c r="F10" s="334">
        <v>0</v>
      </c>
      <c r="G10" s="334">
        <v>0</v>
      </c>
    </row>
    <row r="11" spans="1:7" x14ac:dyDescent="0.2">
      <c r="A11" s="50" t="s">
        <v>906</v>
      </c>
      <c r="B11" s="136"/>
      <c r="C11" s="334">
        <v>0</v>
      </c>
      <c r="D11" s="334">
        <v>0</v>
      </c>
      <c r="E11" s="334">
        <v>0</v>
      </c>
      <c r="F11" s="334">
        <v>0</v>
      </c>
      <c r="G11" s="334">
        <v>0</v>
      </c>
    </row>
    <row r="12" spans="1:7" x14ac:dyDescent="0.2">
      <c r="A12" s="50" t="s">
        <v>907</v>
      </c>
      <c r="B12" s="136"/>
      <c r="C12" s="334">
        <v>0</v>
      </c>
      <c r="D12" s="334">
        <v>0</v>
      </c>
      <c r="E12" s="334">
        <v>0</v>
      </c>
      <c r="F12" s="334">
        <v>0</v>
      </c>
      <c r="G12" s="334">
        <v>0</v>
      </c>
    </row>
    <row r="13" spans="1:7" x14ac:dyDescent="0.2">
      <c r="A13" s="50" t="s">
        <v>775</v>
      </c>
      <c r="B13" s="136"/>
      <c r="C13" s="334">
        <v>0</v>
      </c>
      <c r="D13" s="334">
        <v>0</v>
      </c>
      <c r="E13" s="334">
        <v>0</v>
      </c>
      <c r="F13" s="334">
        <v>0</v>
      </c>
      <c r="G13" s="334">
        <v>0</v>
      </c>
    </row>
    <row r="14" spans="1:7" x14ac:dyDescent="0.2">
      <c r="A14" s="50" t="s">
        <v>889</v>
      </c>
      <c r="B14" s="136"/>
      <c r="C14" s="334">
        <v>0</v>
      </c>
      <c r="D14" s="334">
        <v>0</v>
      </c>
      <c r="E14" s="334">
        <v>0</v>
      </c>
      <c r="F14" s="334">
        <v>0</v>
      </c>
      <c r="G14" s="334">
        <v>0</v>
      </c>
    </row>
    <row r="15" spans="1:7" x14ac:dyDescent="0.2">
      <c r="A15" s="50" t="s">
        <v>827</v>
      </c>
      <c r="B15" s="136"/>
      <c r="C15" s="334">
        <v>0</v>
      </c>
      <c r="D15" s="334">
        <v>0</v>
      </c>
      <c r="E15" s="334">
        <v>0</v>
      </c>
      <c r="F15" s="334">
        <v>0</v>
      </c>
      <c r="G15" s="334">
        <v>0</v>
      </c>
    </row>
    <row r="16" spans="1:7" x14ac:dyDescent="0.2">
      <c r="A16" s="50" t="s">
        <v>913</v>
      </c>
      <c r="B16" s="136"/>
      <c r="C16" s="334">
        <v>0</v>
      </c>
      <c r="D16" s="334">
        <v>0</v>
      </c>
      <c r="E16" s="334">
        <v>0</v>
      </c>
      <c r="F16" s="334">
        <v>0</v>
      </c>
      <c r="G16" s="334">
        <v>0</v>
      </c>
    </row>
    <row r="17" spans="1:7" x14ac:dyDescent="0.2">
      <c r="A17" s="50" t="s">
        <v>915</v>
      </c>
      <c r="B17" s="136"/>
      <c r="C17" s="334">
        <v>0</v>
      </c>
      <c r="D17" s="334">
        <v>0</v>
      </c>
      <c r="E17" s="334">
        <v>0</v>
      </c>
      <c r="F17" s="334">
        <v>0</v>
      </c>
      <c r="G17" s="334">
        <v>0</v>
      </c>
    </row>
    <row r="18" spans="1:7" x14ac:dyDescent="0.2">
      <c r="A18" s="50" t="s">
        <v>914</v>
      </c>
      <c r="B18" s="136"/>
      <c r="C18" s="334">
        <v>0</v>
      </c>
      <c r="D18" s="334">
        <v>0</v>
      </c>
      <c r="E18" s="334">
        <v>0</v>
      </c>
      <c r="F18" s="334">
        <v>0</v>
      </c>
      <c r="G18" s="334">
        <v>0</v>
      </c>
    </row>
    <row r="19" spans="1:7" x14ac:dyDescent="0.2">
      <c r="A19" s="50" t="s">
        <v>920</v>
      </c>
      <c r="B19" s="136"/>
      <c r="C19" s="334">
        <v>0</v>
      </c>
      <c r="D19" s="334">
        <v>0</v>
      </c>
      <c r="E19" s="334">
        <v>0</v>
      </c>
      <c r="F19" s="334">
        <v>0</v>
      </c>
      <c r="G19" s="334">
        <v>0</v>
      </c>
    </row>
    <row r="20" spans="1:7" x14ac:dyDescent="0.2">
      <c r="A20" s="50" t="s">
        <v>1001</v>
      </c>
      <c r="B20" s="136"/>
      <c r="C20" s="334">
        <v>0</v>
      </c>
      <c r="D20" s="334">
        <v>0</v>
      </c>
      <c r="E20" s="334">
        <v>0</v>
      </c>
      <c r="F20" s="334">
        <v>0</v>
      </c>
      <c r="G20" s="334">
        <v>0</v>
      </c>
    </row>
    <row r="21" spans="1:7" x14ac:dyDescent="0.2">
      <c r="A21" s="50" t="s">
        <v>1012</v>
      </c>
      <c r="B21" s="136"/>
      <c r="C21" s="334">
        <v>0</v>
      </c>
      <c r="D21" s="334">
        <v>0</v>
      </c>
      <c r="E21" s="334">
        <v>0</v>
      </c>
      <c r="F21" s="334">
        <v>0</v>
      </c>
      <c r="G21" s="334">
        <v>0</v>
      </c>
    </row>
    <row r="22" spans="1:7" x14ac:dyDescent="0.2">
      <c r="A22" s="50" t="s">
        <v>1006</v>
      </c>
      <c r="B22" s="136"/>
      <c r="C22" s="334">
        <v>0</v>
      </c>
      <c r="D22" s="334">
        <v>0</v>
      </c>
      <c r="E22" s="334">
        <v>0</v>
      </c>
      <c r="F22" s="334">
        <v>0</v>
      </c>
      <c r="G22" s="334">
        <v>0</v>
      </c>
    </row>
    <row r="23" spans="1:7" x14ac:dyDescent="0.2">
      <c r="A23" s="50" t="s">
        <v>1005</v>
      </c>
      <c r="B23" s="136"/>
      <c r="C23" s="334">
        <v>0</v>
      </c>
      <c r="D23" s="334">
        <v>0</v>
      </c>
      <c r="E23" s="334">
        <v>0</v>
      </c>
      <c r="F23" s="334">
        <v>0</v>
      </c>
      <c r="G23" s="334">
        <v>0</v>
      </c>
    </row>
    <row r="24" spans="1:7" x14ac:dyDescent="0.2">
      <c r="A24" s="50" t="s">
        <v>1003</v>
      </c>
      <c r="B24" s="136"/>
      <c r="C24" s="334">
        <v>0</v>
      </c>
      <c r="D24" s="334">
        <v>0</v>
      </c>
      <c r="E24" s="334">
        <v>0</v>
      </c>
      <c r="F24" s="334">
        <v>0</v>
      </c>
      <c r="G24" s="334">
        <v>0</v>
      </c>
    </row>
    <row r="25" spans="1:7" x14ac:dyDescent="0.2">
      <c r="A25" s="50" t="s">
        <v>1004</v>
      </c>
      <c r="B25" s="136"/>
      <c r="C25" s="334">
        <v>0</v>
      </c>
      <c r="D25" s="334">
        <v>0</v>
      </c>
      <c r="E25" s="334">
        <v>0</v>
      </c>
      <c r="F25" s="334">
        <v>0</v>
      </c>
      <c r="G25" s="334">
        <v>0</v>
      </c>
    </row>
    <row r="26" spans="1:7" x14ac:dyDescent="0.2">
      <c r="A26" s="50" t="s">
        <v>826</v>
      </c>
      <c r="B26" s="136"/>
      <c r="C26" s="334">
        <v>0</v>
      </c>
      <c r="D26" s="334">
        <v>0</v>
      </c>
      <c r="E26" s="334">
        <v>0</v>
      </c>
      <c r="F26" s="334">
        <v>0</v>
      </c>
      <c r="G26" s="334">
        <v>0</v>
      </c>
    </row>
    <row r="27" spans="1:7" x14ac:dyDescent="0.2">
      <c r="A27" s="50" t="s">
        <v>835</v>
      </c>
      <c r="B27" s="136"/>
      <c r="C27" s="334">
        <v>0</v>
      </c>
      <c r="D27" s="334">
        <v>0</v>
      </c>
      <c r="E27" s="334">
        <v>0</v>
      </c>
      <c r="F27" s="334">
        <v>0</v>
      </c>
      <c r="G27" s="334">
        <v>0</v>
      </c>
    </row>
    <row r="28" spans="1:7" ht="14.25" x14ac:dyDescent="0.2">
      <c r="A28" s="141" t="s">
        <v>748</v>
      </c>
      <c r="B28" s="136"/>
      <c r="C28" s="137"/>
      <c r="D28" s="137"/>
      <c r="E28" s="137"/>
      <c r="F28" s="137"/>
      <c r="G28" s="137"/>
    </row>
    <row r="29" spans="1:7" x14ac:dyDescent="0.2">
      <c r="A29" s="50" t="s">
        <v>372</v>
      </c>
      <c r="B29" s="136"/>
      <c r="C29" s="334">
        <v>0</v>
      </c>
      <c r="D29" s="334">
        <v>0</v>
      </c>
      <c r="E29" s="334">
        <v>0</v>
      </c>
      <c r="F29" s="334">
        <v>0</v>
      </c>
      <c r="G29" s="334">
        <v>0</v>
      </c>
    </row>
    <row r="30" spans="1:7" ht="14.25" x14ac:dyDescent="0.2">
      <c r="A30" s="141" t="s">
        <v>373</v>
      </c>
      <c r="B30" s="136"/>
      <c r="C30" s="137"/>
      <c r="D30" s="137"/>
      <c r="E30" s="137"/>
      <c r="F30" s="137"/>
      <c r="G30" s="137"/>
    </row>
    <row r="31" spans="1:7" x14ac:dyDescent="0.2">
      <c r="A31" s="50" t="s">
        <v>374</v>
      </c>
      <c r="B31" s="136"/>
      <c r="C31" s="334">
        <v>0</v>
      </c>
      <c r="D31" s="334">
        <v>0</v>
      </c>
      <c r="E31" s="334">
        <v>0</v>
      </c>
      <c r="F31" s="334">
        <v>0</v>
      </c>
      <c r="G31" s="334">
        <v>0</v>
      </c>
    </row>
    <row r="32" spans="1:7" x14ac:dyDescent="0.2">
      <c r="A32" s="50" t="s">
        <v>839</v>
      </c>
      <c r="B32" s="136"/>
      <c r="C32" s="334">
        <v>0</v>
      </c>
      <c r="D32" s="334">
        <v>0</v>
      </c>
      <c r="E32" s="334">
        <v>0</v>
      </c>
      <c r="F32" s="334">
        <v>0</v>
      </c>
      <c r="G32" s="334">
        <v>0</v>
      </c>
    </row>
    <row r="33" spans="1:20" x14ac:dyDescent="0.2">
      <c r="A33" s="50" t="s">
        <v>886</v>
      </c>
      <c r="B33" s="136"/>
      <c r="C33" s="334">
        <v>0</v>
      </c>
      <c r="D33" s="334">
        <v>0</v>
      </c>
      <c r="E33" s="334">
        <v>0</v>
      </c>
      <c r="F33" s="334">
        <v>0</v>
      </c>
      <c r="G33" s="334">
        <v>0</v>
      </c>
    </row>
    <row r="34" spans="1:20" x14ac:dyDescent="0.2">
      <c r="A34" s="50" t="s">
        <v>375</v>
      </c>
      <c r="B34" s="136"/>
      <c r="C34" s="334">
        <v>0</v>
      </c>
      <c r="D34" s="334">
        <v>0</v>
      </c>
      <c r="E34" s="334">
        <v>0</v>
      </c>
      <c r="F34" s="334">
        <v>0</v>
      </c>
      <c r="G34" s="334">
        <v>0</v>
      </c>
    </row>
    <row r="35" spans="1:20" x14ac:dyDescent="0.2">
      <c r="A35" s="50" t="s">
        <v>376</v>
      </c>
      <c r="B35" s="136"/>
      <c r="C35" s="334">
        <v>0</v>
      </c>
      <c r="D35" s="334">
        <v>0</v>
      </c>
      <c r="E35" s="334">
        <v>0</v>
      </c>
      <c r="F35" s="334">
        <v>0</v>
      </c>
      <c r="G35" s="334">
        <v>0</v>
      </c>
    </row>
    <row r="36" spans="1:20" x14ac:dyDescent="0.2">
      <c r="A36" s="50" t="s">
        <v>950</v>
      </c>
      <c r="B36" s="136"/>
      <c r="C36" s="334">
        <v>0</v>
      </c>
      <c r="D36" s="334">
        <v>0</v>
      </c>
      <c r="E36" s="334">
        <v>0</v>
      </c>
      <c r="F36" s="334">
        <v>0</v>
      </c>
      <c r="G36" s="334">
        <v>0</v>
      </c>
    </row>
    <row r="37" spans="1:20" ht="15.75" x14ac:dyDescent="0.25">
      <c r="A37" s="138" t="s">
        <v>222</v>
      </c>
    </row>
    <row r="38" spans="1:20" x14ac:dyDescent="0.2">
      <c r="A38" s="85" t="s">
        <v>368</v>
      </c>
      <c r="B38" s="139" t="str">
        <f t="shared" ref="B38:G38" ca="1" si="0">B$4</f>
        <v>11/12</v>
      </c>
      <c r="C38" s="140" t="str">
        <f t="shared" ca="1" si="0"/>
        <v>12/13</v>
      </c>
      <c r="D38" s="140" t="str">
        <f t="shared" ca="1" si="0"/>
        <v>13/14</v>
      </c>
      <c r="E38" s="140" t="str">
        <f t="shared" ca="1" si="0"/>
        <v>14/15</v>
      </c>
      <c r="F38" s="140" t="str">
        <f t="shared" ca="1" si="0"/>
        <v>15/16</v>
      </c>
      <c r="G38" s="140" t="str">
        <f t="shared" ca="1" si="0"/>
        <v>16/17</v>
      </c>
      <c r="M38" s="139" t="str">
        <f t="shared" ref="M38:R38" ca="1" si="1">B$38</f>
        <v>11/12</v>
      </c>
      <c r="N38" s="140" t="str">
        <f t="shared" ca="1" si="1"/>
        <v>12/13</v>
      </c>
      <c r="O38" s="140" t="str">
        <f t="shared" ca="1" si="1"/>
        <v>13/14</v>
      </c>
      <c r="P38" s="140" t="str">
        <f t="shared" ca="1" si="1"/>
        <v>14/15</v>
      </c>
      <c r="Q38" s="140" t="str">
        <f t="shared" ca="1" si="1"/>
        <v>15/16</v>
      </c>
      <c r="R38" s="140" t="str">
        <f t="shared" ca="1" si="1"/>
        <v>16/17</v>
      </c>
    </row>
    <row r="39" spans="1:20" ht="14.25" x14ac:dyDescent="0.2">
      <c r="A39" s="141" t="s">
        <v>762</v>
      </c>
      <c r="B39" s="139"/>
      <c r="C39" s="140"/>
      <c r="D39" s="140"/>
      <c r="E39" s="140"/>
      <c r="F39" s="140"/>
      <c r="G39" s="140"/>
      <c r="M39" s="141" t="s">
        <v>763</v>
      </c>
    </row>
    <row r="40" spans="1:20" x14ac:dyDescent="0.2">
      <c r="A40" s="50" t="s">
        <v>155</v>
      </c>
      <c r="B40" s="76">
        <v>139.017</v>
      </c>
      <c r="C40" s="132">
        <v>142.65411690400001</v>
      </c>
      <c r="D40" s="132">
        <v>146.68937</v>
      </c>
      <c r="E40" s="132">
        <v>150.29867999999999</v>
      </c>
      <c r="F40" s="132">
        <v>153.91403000000003</v>
      </c>
      <c r="G40" s="132">
        <v>157.69209000000001</v>
      </c>
      <c r="H40" s="36">
        <v>161.71323829500002</v>
      </c>
      <c r="I40" s="36">
        <v>165.83692587152254</v>
      </c>
      <c r="M40" s="76">
        <f ca="1">OFFSET(Data!$A$226,0,B$2+1)</f>
        <v>139.017</v>
      </c>
      <c r="N40" s="132">
        <f ca="1">OFFSET(Data!$A$226,0,C$2+1)</f>
        <v>142.197</v>
      </c>
      <c r="O40" s="132">
        <f ca="1">OFFSET(Data!$A$226,0,D$2+1)</f>
        <v>146.446</v>
      </c>
      <c r="P40" s="132">
        <f ca="1">OFFSET(Data!$A$226,0,E$2+1)</f>
        <v>150.10599999999999</v>
      </c>
      <c r="Q40" s="132">
        <f ca="1">OFFSET(Data!$A$226,0,F$2+1)</f>
        <v>153.66200000000001</v>
      </c>
      <c r="R40" s="132">
        <f ca="1">OFFSET(Data!$A$226,0,G$2+1)</f>
        <v>157.31</v>
      </c>
      <c r="S40" s="132">
        <f ca="1">OFFSET(Data!$A$226,0,G$2+5)</f>
        <v>161.08500000000001</v>
      </c>
      <c r="T40" s="132">
        <f ca="1">OFFSET(Data!$A$226,0,G$2+6)</f>
        <v>165.03200000000001</v>
      </c>
    </row>
    <row r="41" spans="1:20" x14ac:dyDescent="0.2">
      <c r="A41" s="50" t="s">
        <v>120</v>
      </c>
      <c r="B41" s="76">
        <v>204.58500000000001</v>
      </c>
      <c r="C41" s="132">
        <v>212.81995225327904</v>
      </c>
      <c r="D41" s="132">
        <v>224.76216363719846</v>
      </c>
      <c r="E41" s="132">
        <v>235.55420999469229</v>
      </c>
      <c r="F41" s="132">
        <v>245.96755250692891</v>
      </c>
      <c r="G41" s="132">
        <v>256.44802475584572</v>
      </c>
      <c r="M41" s="76">
        <f ca="1">OFFSET(Data!$A$227,0,B$2+1)</f>
        <v>208.21899999999999</v>
      </c>
      <c r="N41" s="132">
        <f ca="1">OFFSET(Data!$A$227,0,C$2+1)</f>
        <v>216.048</v>
      </c>
      <c r="O41" s="132">
        <f ca="1">OFFSET(Data!$A$227,0,D$2+1)</f>
        <v>228.797</v>
      </c>
      <c r="P41" s="132">
        <f ca="1">OFFSET(Data!$A$227,0,E$2+1)</f>
        <v>239.279</v>
      </c>
      <c r="Q41" s="132">
        <f ca="1">OFFSET(Data!$A$227,0,F$2+1)</f>
        <v>249.023</v>
      </c>
      <c r="R41" s="132">
        <f ca="1">OFFSET(Data!$A$227,0,G$2+1)</f>
        <v>259.149</v>
      </c>
    </row>
    <row r="42" spans="1:20" x14ac:dyDescent="0.2">
      <c r="A42" s="50" t="s">
        <v>121</v>
      </c>
      <c r="B42" s="260">
        <v>1168</v>
      </c>
      <c r="C42" s="261">
        <v>1188.7059999999999</v>
      </c>
      <c r="D42" s="261">
        <v>1216.06</v>
      </c>
      <c r="E42" s="261">
        <v>1246.0920000000001</v>
      </c>
      <c r="F42" s="261">
        <v>1276.5260000000001</v>
      </c>
      <c r="G42" s="261">
        <v>1305.43</v>
      </c>
      <c r="M42" s="260">
        <f ca="1">OFFSET(Data!$A$228,0,B$2+1)</f>
        <v>1168</v>
      </c>
      <c r="N42" s="261">
        <f ca="1">OFFSET(Data!$A$228,0,C$2+1)</f>
        <v>1185</v>
      </c>
      <c r="O42" s="261">
        <f ca="1">OFFSET(Data!$A$228,0,D$2+1)</f>
        <v>1210</v>
      </c>
      <c r="P42" s="261">
        <f ca="1">OFFSET(Data!$A$228,0,E$2+1)</f>
        <v>1237</v>
      </c>
      <c r="Q42" s="261">
        <f ca="1">OFFSET(Data!$A$228,0,F$2+1)</f>
        <v>1264</v>
      </c>
      <c r="R42" s="261">
        <f ca="1">OFFSET(Data!$A$228,0,G$2+1)</f>
        <v>1292</v>
      </c>
    </row>
    <row r="43" spans="1:20" x14ac:dyDescent="0.2">
      <c r="A43" s="50" t="s">
        <v>122</v>
      </c>
      <c r="B43" s="262">
        <v>2.3809999999999998</v>
      </c>
      <c r="C43" s="263">
        <v>2.4017057499999996</v>
      </c>
      <c r="D43" s="263">
        <v>2.4315715</v>
      </c>
      <c r="E43" s="263">
        <v>2.4579857499999997</v>
      </c>
      <c r="F43" s="263">
        <v>2.4791689999999997</v>
      </c>
      <c r="G43" s="263">
        <v>2.5004287500000002</v>
      </c>
      <c r="M43" s="262">
        <f ca="1">OFFSET(Data!$A$229,0,B$2+1)</f>
        <v>2.3809999999999998</v>
      </c>
      <c r="N43" s="263">
        <f ca="1">OFFSET(Data!$A$229,0,C$2+1)</f>
        <v>2.3957000000000002</v>
      </c>
      <c r="O43" s="263">
        <f ca="1">OFFSET(Data!$A$229,0,D$2+1)</f>
        <v>2.4258000000000002</v>
      </c>
      <c r="P43" s="263">
        <f ca="1">OFFSET(Data!$A$229,0,E$2+1)</f>
        <v>2.4586999999999999</v>
      </c>
      <c r="Q43" s="263">
        <f ca="1">OFFSET(Data!$A$229,0,F$2+1)</f>
        <v>2.4849000000000001</v>
      </c>
      <c r="R43" s="263">
        <f ca="1">OFFSET(Data!$A$229,0,G$2+1)</f>
        <v>2.5102000000000002</v>
      </c>
    </row>
    <row r="44" spans="1:20" x14ac:dyDescent="0.2">
      <c r="A44" s="50" t="s">
        <v>123</v>
      </c>
      <c r="B44" s="264">
        <v>6.6250000000000003E-2</v>
      </c>
      <c r="C44" s="265">
        <v>6.4226417500000008E-2</v>
      </c>
      <c r="D44" s="265">
        <v>5.8856642499999993E-2</v>
      </c>
      <c r="E44" s="265">
        <v>5.6386989999999998E-2</v>
      </c>
      <c r="F44" s="265">
        <v>5.4266592500000002E-2</v>
      </c>
      <c r="G44" s="265">
        <v>5.0582740000000001E-2</v>
      </c>
      <c r="M44" s="264">
        <f ca="1">OFFSET(Data!$A$231,0,B$2+1)</f>
        <v>6.6299999999999998E-2</v>
      </c>
      <c r="N44" s="265">
        <f ca="1">OFFSET(Data!$A$231,0,C$2+1)</f>
        <v>7.0099999999999996E-2</v>
      </c>
      <c r="O44" s="265">
        <f ca="1">OFFSET(Data!$A$231,0,D$2+1)</f>
        <v>6.2899999999999998E-2</v>
      </c>
      <c r="P44" s="265">
        <f ca="1">OFFSET(Data!$A$231,0,E$2+1)</f>
        <v>5.9200000000000003E-2</v>
      </c>
      <c r="Q44" s="265">
        <f ca="1">OFFSET(Data!$A$231,0,F$2+1)</f>
        <v>5.62E-2</v>
      </c>
      <c r="R44" s="265">
        <f ca="1">OFFSET(Data!$A$231,0,G$2+1)</f>
        <v>5.1499999999999997E-2</v>
      </c>
    </row>
    <row r="45" spans="1:20" x14ac:dyDescent="0.2">
      <c r="A45" s="50" t="s">
        <v>124</v>
      </c>
      <c r="B45" s="258">
        <v>33.25513381107362</v>
      </c>
      <c r="C45" s="259">
        <v>33.412890007413608</v>
      </c>
      <c r="D45" s="259">
        <v>33.280225118861807</v>
      </c>
      <c r="E45" s="259">
        <v>33.189169089370957</v>
      </c>
      <c r="F45" s="259">
        <v>33.155776638760926</v>
      </c>
      <c r="G45" s="259">
        <v>33.142085602703617</v>
      </c>
      <c r="M45" s="258">
        <f ca="1">OFFSET(Data!$A$232,0,B$2+1)</f>
        <v>33.25</v>
      </c>
      <c r="N45" s="259">
        <f ca="1">OFFSET(Data!$A$232,0,C$2+1)</f>
        <v>33.24</v>
      </c>
      <c r="O45" s="259">
        <f ca="1">OFFSET(Data!$A$232,0,D$2+1)</f>
        <v>33.22</v>
      </c>
      <c r="P45" s="259">
        <f ca="1">OFFSET(Data!$A$232,0,E$2+1)</f>
        <v>33.130000000000003</v>
      </c>
      <c r="Q45" s="259">
        <f ca="1">OFFSET(Data!$A$232,0,F$2+1)</f>
        <v>33.090000000000003</v>
      </c>
      <c r="R45" s="259">
        <f ca="1">OFFSET(Data!$A$232,0,G$2+1)</f>
        <v>33.08</v>
      </c>
    </row>
    <row r="46" spans="1:20" x14ac:dyDescent="0.2">
      <c r="A46" s="50" t="s">
        <v>190</v>
      </c>
      <c r="B46" s="264">
        <v>1.3025708386730006E-2</v>
      </c>
      <c r="C46" s="265">
        <v>1.0317308409026227E-2</v>
      </c>
      <c r="D46" s="265">
        <v>1.3892331850376305E-2</v>
      </c>
      <c r="E46" s="265">
        <v>1.3712557548683613E-2</v>
      </c>
      <c r="F46" s="265">
        <v>1.4047254027143463E-2</v>
      </c>
      <c r="G46" s="265">
        <v>1.2307936180196766E-2</v>
      </c>
      <c r="M46" s="264">
        <f ca="1">OFFSET(Data!$A$233,0,B$2+1)</f>
        <v>1.2999999999999999E-2</v>
      </c>
      <c r="N46" s="265">
        <f ca="1">OFFSET(Data!$A$233,0,C$2+1)</f>
        <v>2.1299999999999999E-2</v>
      </c>
      <c r="O46" s="265">
        <f ca="1">OFFSET(Data!$A$233,0,D$2+1)</f>
        <v>9.9000000000000008E-3</v>
      </c>
      <c r="P46" s="265">
        <f ca="1">OFFSET(Data!$A$233,0,E$2+1)</f>
        <v>1.01E-2</v>
      </c>
      <c r="Q46" s="265">
        <f ca="1">OFFSET(Data!$A$233,0,F$2+1)</f>
        <v>1.0699999999999999E-2</v>
      </c>
      <c r="R46" s="265">
        <f ca="1">OFFSET(Data!$A$233,0,G$2+1)</f>
        <v>8.8000000000000005E-3</v>
      </c>
    </row>
    <row r="47" spans="1:20" x14ac:dyDescent="0.2">
      <c r="A47" s="50" t="s">
        <v>191</v>
      </c>
      <c r="B47" s="264">
        <v>3.1712526406046049E-2</v>
      </c>
      <c r="C47" s="265">
        <v>3.0366457664990909E-2</v>
      </c>
      <c r="D47" s="265">
        <v>2.8373910577655481E-2</v>
      </c>
      <c r="E47" s="265">
        <v>2.9146433941499517E-2</v>
      </c>
      <c r="F47" s="265">
        <v>3.0812772659081888E-2</v>
      </c>
      <c r="G47" s="265">
        <v>2.9245397238768955E-2</v>
      </c>
      <c r="M47" s="264">
        <f ca="1">OFFSET(Data!$A$234,0,B$2+1)</f>
        <v>3.1699999999999999E-2</v>
      </c>
      <c r="N47" s="265">
        <f ca="1">OFFSET(Data!$A$234,0,C$2+1)</f>
        <v>2.5000000000000001E-2</v>
      </c>
      <c r="O47" s="265">
        <f ca="1">OFFSET(Data!$A$234,0,D$2+1)</f>
        <v>2.4299999999999999E-2</v>
      </c>
      <c r="P47" s="265">
        <f ca="1">OFFSET(Data!$A$234,0,E$2+1)</f>
        <v>2.6700000000000002E-2</v>
      </c>
      <c r="Q47" s="265">
        <f ca="1">OFFSET(Data!$A$234,0,F$2+1)</f>
        <v>2.58E-2</v>
      </c>
      <c r="R47" s="265">
        <f ca="1">OFFSET(Data!$A$234,0,G$2+1)</f>
        <v>2.6100000000000002E-2</v>
      </c>
    </row>
    <row r="48" spans="1:20" x14ac:dyDescent="0.2">
      <c r="A48" s="50" t="s">
        <v>192</v>
      </c>
      <c r="B48" s="256">
        <v>994.19</v>
      </c>
      <c r="C48" s="257">
        <v>1022.1556011873478</v>
      </c>
      <c r="D48" s="257">
        <v>1047.7345998220833</v>
      </c>
      <c r="E48" s="257">
        <v>1074.8768377426622</v>
      </c>
      <c r="F48" s="257">
        <v>1106.9211672142703</v>
      </c>
      <c r="G48" s="257">
        <v>1139.3357116069244</v>
      </c>
      <c r="M48" s="256">
        <f ca="1">OFFSET(Data!$A$235,0,B$2+1)</f>
        <v>994.19</v>
      </c>
      <c r="N48" s="257">
        <f ca="1">OFFSET(Data!$A$235,0,C$2+1)</f>
        <v>1023.11</v>
      </c>
      <c r="O48" s="257">
        <f ca="1">OFFSET(Data!$A$235,0,D$2+1)</f>
        <v>1043.29</v>
      </c>
      <c r="P48" s="257">
        <f ca="1">OFFSET(Data!$A$235,0,E$2+1)</f>
        <v>1068.18</v>
      </c>
      <c r="Q48" s="257">
        <f ca="1">OFFSET(Data!$A$235,0,F$2+1)</f>
        <v>1094.45</v>
      </c>
      <c r="R48" s="257">
        <f ca="1">OFFSET(Data!$A$235,0,G$2+1)</f>
        <v>1122.47</v>
      </c>
    </row>
    <row r="49" spans="1:18" x14ac:dyDescent="0.2">
      <c r="A49" s="50" t="s">
        <v>761</v>
      </c>
      <c r="B49" s="264">
        <v>3.5119320220841958E-2</v>
      </c>
      <c r="C49" s="265">
        <v>3.0619183135704872E-2</v>
      </c>
      <c r="D49" s="265">
        <v>3.5000000000000003E-2</v>
      </c>
      <c r="E49" s="265">
        <v>4.3749999999999997E-2</v>
      </c>
      <c r="F49" s="265">
        <v>4.8499999999999995E-2</v>
      </c>
      <c r="G49" s="265">
        <v>5.1249999999999997E-2</v>
      </c>
      <c r="M49" s="264">
        <f ca="1">OFFSET(Data!$A$236,0,B$2+1)</f>
        <v>3.5099999999999999E-2</v>
      </c>
      <c r="N49" s="265">
        <f ca="1">OFFSET(Data!$A$236,0,C$2+1)</f>
        <v>2.9899999999999999E-2</v>
      </c>
      <c r="O49" s="265">
        <f ca="1">OFFSET(Data!$A$236,0,D$2+1)</f>
        <v>3.4500000000000003E-2</v>
      </c>
      <c r="P49" s="265">
        <f ca="1">OFFSET(Data!$A$236,0,E$2+1)</f>
        <v>4.2799999999999998E-2</v>
      </c>
      <c r="Q49" s="265">
        <f ca="1">OFFSET(Data!$A$236,0,F$2+1)</f>
        <v>4.8500000000000001E-2</v>
      </c>
      <c r="R49" s="265">
        <f ca="1">OFFSET(Data!$A$236,0,G$2+1)</f>
        <v>5.0799999999999998E-2</v>
      </c>
    </row>
    <row r="50" spans="1:18" x14ac:dyDescent="0.2">
      <c r="A50" s="50" t="s">
        <v>967</v>
      </c>
      <c r="B50" s="262">
        <v>3.4786400473416652</v>
      </c>
      <c r="C50" s="263">
        <v>3.5106624864525826</v>
      </c>
      <c r="D50" s="263">
        <v>3.5501374085826902</v>
      </c>
      <c r="E50" s="263">
        <v>3.5914273802602401</v>
      </c>
      <c r="F50" s="263">
        <v>3.6315261473337905</v>
      </c>
      <c r="G50" s="263">
        <v>3.6695044181874072</v>
      </c>
      <c r="M50" s="262">
        <f ca="1">OFFSET(Data!$A$230,0,B$2+1)</f>
        <v>3.4786000000000001</v>
      </c>
      <c r="N50" s="263">
        <f ca="1">OFFSET(Data!$A$230,0,C$2+1)</f>
        <v>3.5087000000000002</v>
      </c>
      <c r="O50" s="263">
        <f ca="1">OFFSET(Data!$A$230,0,D$2+1)</f>
        <v>3.5457000000000001</v>
      </c>
      <c r="P50" s="263">
        <f ca="1">OFFSET(Data!$A$230,0,E$2+1)</f>
        <v>3.5861999999999998</v>
      </c>
      <c r="Q50" s="263">
        <f ca="1">OFFSET(Data!$A$230,0,F$2+1)</f>
        <v>3.6263000000000001</v>
      </c>
      <c r="R50" s="263">
        <f ca="1">OFFSET(Data!$A$230,0,G$2+1)</f>
        <v>3.6642999999999999</v>
      </c>
    </row>
    <row r="51" spans="1:18" ht="14.25" x14ac:dyDescent="0.2">
      <c r="A51" s="141" t="s">
        <v>776</v>
      </c>
      <c r="B51" s="139"/>
      <c r="C51" s="140"/>
      <c r="D51" s="140"/>
      <c r="E51" s="140"/>
      <c r="F51" s="140"/>
      <c r="G51" s="265"/>
      <c r="M51" s="141" t="s">
        <v>778</v>
      </c>
      <c r="N51" s="265"/>
      <c r="O51" s="265"/>
      <c r="P51" s="265"/>
      <c r="Q51" s="265"/>
      <c r="R51" s="265"/>
    </row>
    <row r="52" spans="1:18" x14ac:dyDescent="0.2">
      <c r="A52" s="50" t="s">
        <v>147</v>
      </c>
      <c r="B52" s="256">
        <v>813.32</v>
      </c>
      <c r="C52" s="257">
        <v>832.42</v>
      </c>
      <c r="D52" s="257">
        <v>850.06</v>
      </c>
      <c r="E52" s="257">
        <v>868.65</v>
      </c>
      <c r="F52" s="257">
        <v>890.55</v>
      </c>
      <c r="G52" s="257">
        <v>912.51</v>
      </c>
      <c r="M52" s="256">
        <f ca="1">OFFSET(Data!$A$221,0,B$2+1)</f>
        <v>813.32</v>
      </c>
      <c r="N52" s="257">
        <f ca="1">OFFSET(Data!$A$221,0,C$2+1)</f>
        <v>833.05</v>
      </c>
      <c r="O52" s="257">
        <f ca="1">OFFSET(Data!$A$221,0,D$2+1)</f>
        <v>846.89</v>
      </c>
      <c r="P52" s="257">
        <f ca="1">OFFSET(Data!$A$221,0,E$2+1)</f>
        <v>863.85</v>
      </c>
      <c r="Q52" s="257">
        <f ca="1">OFFSET(Data!$A$221,0,F$2+1)</f>
        <v>881.88</v>
      </c>
      <c r="R52" s="257">
        <f ca="1">OFFSET(Data!$A$221,0,G$2+1)</f>
        <v>901.03</v>
      </c>
    </row>
    <row r="53" spans="1:18" x14ac:dyDescent="0.2">
      <c r="A53" s="50" t="s">
        <v>777</v>
      </c>
      <c r="B53" s="256">
        <v>268.39999999999998</v>
      </c>
      <c r="C53" s="257">
        <v>274.7</v>
      </c>
      <c r="D53" s="257">
        <v>280.52</v>
      </c>
      <c r="E53" s="257">
        <v>286.69</v>
      </c>
      <c r="F53" s="257">
        <v>293.88</v>
      </c>
      <c r="G53" s="257">
        <v>301.13</v>
      </c>
      <c r="M53" s="256">
        <f ca="1">OFFSET(Data!$A$222,0,B$2+1)</f>
        <v>268.39999999999998</v>
      </c>
      <c r="N53" s="257">
        <f ca="1">OFFSET(Data!$A$222,0,C$2+1)</f>
        <v>274.91000000000003</v>
      </c>
      <c r="O53" s="257">
        <f ca="1">OFFSET(Data!$A$222,0,D$2+1)</f>
        <v>279.47000000000003</v>
      </c>
      <c r="P53" s="257">
        <f ca="1">OFFSET(Data!$A$222,0,E$2+1)</f>
        <v>285.33999999999997</v>
      </c>
      <c r="Q53" s="257">
        <f ca="1">OFFSET(Data!$A$222,0,F$2+1)</f>
        <v>291.02</v>
      </c>
      <c r="R53" s="257">
        <f ca="1">OFFSET(Data!$A$222,0,G$2+1)</f>
        <v>297.33999999999997</v>
      </c>
    </row>
    <row r="54" spans="1:18" x14ac:dyDescent="0.2">
      <c r="A54" s="50" t="s">
        <v>1039</v>
      </c>
      <c r="B54" s="256">
        <v>302.39999999999998</v>
      </c>
      <c r="C54" s="257">
        <v>310.31</v>
      </c>
      <c r="D54" s="257">
        <v>315.74</v>
      </c>
      <c r="E54" s="257">
        <v>323.01</v>
      </c>
      <c r="F54" s="257">
        <v>329.74</v>
      </c>
      <c r="G54" s="257">
        <v>337.46</v>
      </c>
      <c r="M54" s="256">
        <f ca="1">OFFSET(Data!$A$223,0,B$2+1)</f>
        <v>302.39999999999998</v>
      </c>
      <c r="N54" s="257">
        <f ca="1">OFFSET(Data!$A$223,0,C$2+1)</f>
        <v>310.31</v>
      </c>
      <c r="O54" s="257">
        <f ca="1">OFFSET(Data!$A$223,0,D$2+1)</f>
        <v>315.74</v>
      </c>
      <c r="P54" s="257">
        <f ca="1">OFFSET(Data!$A$223,0,E$2+1)</f>
        <v>323.01</v>
      </c>
      <c r="Q54" s="257">
        <f ca="1">OFFSET(Data!$A$223,0,F$2+1)</f>
        <v>329.74</v>
      </c>
      <c r="R54" s="257">
        <f ca="1">OFFSET(Data!$A$223,0,G$2+1)</f>
        <v>337.46</v>
      </c>
    </row>
    <row r="55" spans="1:18" ht="15" x14ac:dyDescent="0.25">
      <c r="A55" s="142" t="s">
        <v>377</v>
      </c>
      <c r="B55" s="141" t="s">
        <v>378</v>
      </c>
      <c r="C55" s="50"/>
      <c r="D55" s="50"/>
      <c r="E55" s="73"/>
      <c r="F55" s="50"/>
      <c r="G55" s="73"/>
      <c r="I55" s="256"/>
      <c r="J55" s="257"/>
      <c r="K55" s="257"/>
      <c r="L55" s="257"/>
      <c r="M55" s="257"/>
      <c r="N55" s="257"/>
    </row>
    <row r="56" spans="1:18" ht="14.25" x14ac:dyDescent="0.2">
      <c r="A56" s="143" t="s">
        <v>379</v>
      </c>
      <c r="B56" s="139" t="str">
        <f t="shared" ref="B56:G56" ca="1" si="2">B$38</f>
        <v>11/12</v>
      </c>
      <c r="C56" s="140" t="str">
        <f t="shared" ca="1" si="2"/>
        <v>12/13</v>
      </c>
      <c r="D56" s="140" t="str">
        <f t="shared" ca="1" si="2"/>
        <v>13/14</v>
      </c>
      <c r="E56" s="140" t="str">
        <f t="shared" ca="1" si="2"/>
        <v>14/15</v>
      </c>
      <c r="F56" s="140" t="str">
        <f t="shared" ca="1" si="2"/>
        <v>15/16</v>
      </c>
      <c r="G56" s="140" t="str">
        <f t="shared" ca="1" si="2"/>
        <v>16/17</v>
      </c>
      <c r="I56" s="256"/>
      <c r="J56" s="257"/>
      <c r="K56" s="257"/>
      <c r="L56" s="257"/>
      <c r="M56" s="257"/>
      <c r="N56" s="257"/>
    </row>
    <row r="57" spans="1:18" x14ac:dyDescent="0.2">
      <c r="A57" s="50" t="s">
        <v>779</v>
      </c>
      <c r="B57" s="139"/>
      <c r="C57" s="118">
        <f ca="1">(C$41/B$41) /(N$41/M$41)</f>
        <v>1.0025560429396672</v>
      </c>
      <c r="D57" s="118">
        <f ca="1">(D$41/C$41) /(O$41/N$41)</f>
        <v>0.99726548228079803</v>
      </c>
      <c r="E57" s="118">
        <f ca="1">(E$41/D$41) /(P$41/O$41)</f>
        <v>1.0021054110904528</v>
      </c>
      <c r="F57" s="118">
        <f ca="1">(F$41/E$41) /(Q$41/P$41)</f>
        <v>1.003349118064802</v>
      </c>
      <c r="G57" s="118">
        <f ca="1">(G$41/F$41) /(R$41/Q$41)</f>
        <v>1.0018702071704872</v>
      </c>
      <c r="I57" s="256"/>
      <c r="J57" s="257"/>
      <c r="K57" s="257"/>
      <c r="L57" s="257"/>
      <c r="M57" s="257"/>
      <c r="N57" s="257"/>
    </row>
    <row r="58" spans="1:18" x14ac:dyDescent="0.2">
      <c r="A58" s="50" t="s">
        <v>780</v>
      </c>
      <c r="B58" s="139"/>
      <c r="C58" s="118">
        <f ca="1">PRODUCT($C$57:C$57)</f>
        <v>1.0025560429396672</v>
      </c>
      <c r="D58" s="118">
        <f ca="1">PRODUCT($C$57:D$57)</f>
        <v>0.99981453567575562</v>
      </c>
      <c r="E58" s="118">
        <f ca="1">PRODUCT($C$57:E$57)</f>
        <v>1.0019195562875634</v>
      </c>
      <c r="F58" s="118">
        <f ca="1">PRODUCT($C$57:F$57)</f>
        <v>1.0052751031730045</v>
      </c>
      <c r="G58" s="118">
        <f ca="1">PRODUCT($C$57:G$57)</f>
        <v>1.0071551758792709</v>
      </c>
      <c r="I58" s="256"/>
      <c r="J58" s="257"/>
      <c r="K58" s="257"/>
      <c r="L58" s="257"/>
      <c r="M58" s="257"/>
      <c r="N58" s="257"/>
    </row>
    <row r="59" spans="1:18" x14ac:dyDescent="0.2">
      <c r="A59" s="50" t="s">
        <v>782</v>
      </c>
      <c r="B59" s="139"/>
      <c r="C59" s="118">
        <f ca="1">(C$42/B$42) /(N$42/M$42)</f>
        <v>1.0031274261603376</v>
      </c>
      <c r="D59" s="118">
        <f ca="1">(D$42/C$42) /(O$42/N$42)</f>
        <v>1.0018749744583015</v>
      </c>
      <c r="E59" s="118">
        <f ca="1">(E$42/D$42) /(P$42/O$42)</f>
        <v>1.0023301061696381</v>
      </c>
      <c r="F59" s="118">
        <f ca="1">(F$42/E$42) /(Q$42/P$42)</f>
        <v>1.0025410925730862</v>
      </c>
      <c r="G59" s="118">
        <f ca="1">(G$42/F$42) /(R$42/Q$42)</f>
        <v>1.0004801683384601</v>
      </c>
      <c r="I59" s="256"/>
      <c r="J59" s="257"/>
      <c r="K59" s="257"/>
      <c r="L59" s="257"/>
      <c r="M59" s="257"/>
      <c r="N59" s="257"/>
    </row>
    <row r="60" spans="1:18" x14ac:dyDescent="0.2">
      <c r="A60" s="50" t="s">
        <v>783</v>
      </c>
      <c r="B60" s="139"/>
      <c r="C60" s="118">
        <f ca="1">PRODUCT($C$59:C$59)</f>
        <v>1.0031274261603376</v>
      </c>
      <c r="D60" s="118">
        <f ca="1">PRODUCT($C$59:D$59)</f>
        <v>1.00500826446281</v>
      </c>
      <c r="E60" s="118">
        <f ca="1">PRODUCT($C$59:E$59)</f>
        <v>1.0073500404203721</v>
      </c>
      <c r="F60" s="118">
        <f ca="1">PRODUCT($C$59:F$59)</f>
        <v>1.0099098101265824</v>
      </c>
      <c r="G60" s="118">
        <f ca="1">PRODUCT($C$59:G$59)</f>
        <v>1.0103947368421056</v>
      </c>
      <c r="I60" s="256"/>
      <c r="J60" s="257"/>
      <c r="K60" s="257"/>
      <c r="L60" s="257"/>
      <c r="M60" s="257"/>
      <c r="N60" s="257"/>
    </row>
    <row r="61" spans="1:18" x14ac:dyDescent="0.2">
      <c r="A61" s="50" t="s">
        <v>781</v>
      </c>
      <c r="B61" s="139"/>
      <c r="C61" s="118">
        <f ca="1">C$49/N$49</f>
        <v>1.0240529476824372</v>
      </c>
      <c r="D61" s="118">
        <f ca="1">D$49/O$49</f>
        <v>1.0144927536231885</v>
      </c>
      <c r="E61" s="118">
        <f ca="1">E$49/P$49</f>
        <v>1.0221962616822429</v>
      </c>
      <c r="F61" s="118">
        <f ca="1">F$49/Q$49</f>
        <v>0.99999999999999989</v>
      </c>
      <c r="G61" s="118">
        <f ca="1">G$49/R$49</f>
        <v>1.0088582677165354</v>
      </c>
      <c r="I61" s="256"/>
      <c r="J61" s="257"/>
      <c r="K61" s="257"/>
      <c r="L61" s="257"/>
      <c r="M61" s="257"/>
      <c r="N61" s="257"/>
    </row>
    <row r="62" spans="1:18" x14ac:dyDescent="0.2">
      <c r="A62" s="50" t="s">
        <v>799</v>
      </c>
      <c r="B62" s="139"/>
      <c r="C62" s="118">
        <f ca="1">(1+C$46)/(1+N$46)</f>
        <v>0.98924636092140028</v>
      </c>
      <c r="D62" s="118">
        <f ca="1">(1+D$46)/(1+O$46)</f>
        <v>1.0039531952177208</v>
      </c>
      <c r="E62" s="118">
        <f ca="1">(1+E$46)/(1+P$46)</f>
        <v>1.0035764355496324</v>
      </c>
      <c r="F62" s="118">
        <f ca="1">(1+F$46)/(1+Q$46)</f>
        <v>1.0033118175790476</v>
      </c>
      <c r="G62" s="118">
        <f ca="1">(1+G$46)/(1+R$46)</f>
        <v>1.003477335626682</v>
      </c>
      <c r="I62" s="256"/>
      <c r="J62" s="257"/>
      <c r="K62" s="257"/>
      <c r="L62" s="257"/>
      <c r="M62" s="257"/>
      <c r="N62" s="257"/>
    </row>
    <row r="63" spans="1:18" x14ac:dyDescent="0.2">
      <c r="A63" s="50" t="s">
        <v>800</v>
      </c>
      <c r="B63" s="139"/>
      <c r="C63" s="118">
        <f ca="1">PRODUCT($C$62:C$62)</f>
        <v>0.98924636092140028</v>
      </c>
      <c r="D63" s="118">
        <f ca="1">PRODUCT($C$62:D$62)</f>
        <v>0.99315704490454237</v>
      </c>
      <c r="E63" s="118">
        <f ca="1">PRODUCT($C$62:E$62)</f>
        <v>0.99670900706630683</v>
      </c>
      <c r="F63" s="118">
        <f ca="1">PRODUCT($C$62:F$62)</f>
        <v>1.0000099254771042</v>
      </c>
      <c r="G63" s="118">
        <f ca="1">PRODUCT($C$62:G$62)</f>
        <v>1.0034872956180012</v>
      </c>
      <c r="I63" s="256"/>
      <c r="J63" s="257"/>
      <c r="K63" s="257"/>
      <c r="L63" s="257"/>
      <c r="M63" s="257"/>
      <c r="N63" s="257"/>
    </row>
    <row r="64" spans="1:18" x14ac:dyDescent="0.2">
      <c r="A64" s="50" t="s">
        <v>801</v>
      </c>
      <c r="B64" s="139"/>
      <c r="C64" s="118">
        <f ca="1">(1+C$47) /(1+N$47)</f>
        <v>1.0052355684536498</v>
      </c>
      <c r="D64" s="118">
        <f ca="1">(1+D$47) /(1+O$47)</f>
        <v>1.0039772630846973</v>
      </c>
      <c r="E64" s="118">
        <f ca="1">(1+E$47) /(1+P$47)</f>
        <v>1.0023828128387062</v>
      </c>
      <c r="F64" s="118">
        <f ca="1">(1+F$47) /(1+Q$47)</f>
        <v>1.0048866959047396</v>
      </c>
      <c r="G64" s="118">
        <f ca="1">(1+G$47) /(1+R$47)</f>
        <v>1.0030653905455307</v>
      </c>
      <c r="I64" s="256"/>
      <c r="J64" s="257"/>
      <c r="K64" s="257"/>
      <c r="L64" s="257"/>
      <c r="M64" s="257"/>
      <c r="N64" s="257"/>
    </row>
    <row r="65" spans="1:28" x14ac:dyDescent="0.2">
      <c r="A65" s="50" t="s">
        <v>785</v>
      </c>
      <c r="B65" s="139"/>
      <c r="C65" s="118">
        <f ca="1">PRODUCT($C$64:C$64)</f>
        <v>1.0052355684536498</v>
      </c>
      <c r="D65" s="118">
        <f ca="1">PRODUCT($C$64:D$64)</f>
        <v>1.0092336547714851</v>
      </c>
      <c r="E65" s="118">
        <f ca="1">PRODUCT($C$64:E$64)</f>
        <v>1.011638469681329</v>
      </c>
      <c r="F65" s="118">
        <f ca="1">PRODUCT($C$64:F$64)</f>
        <v>1.0165820392481977</v>
      </c>
      <c r="G65" s="118">
        <f ca="1">PRODUCT($C$64:G$64)</f>
        <v>1.0196982602200655</v>
      </c>
      <c r="I65" s="256"/>
      <c r="J65" s="257"/>
      <c r="K65" s="257"/>
      <c r="L65" s="257"/>
      <c r="M65" s="257"/>
      <c r="N65" s="257"/>
      <c r="P65" s="257"/>
    </row>
    <row r="66" spans="1:28" x14ac:dyDescent="0.2">
      <c r="A66" s="50" t="s">
        <v>784</v>
      </c>
      <c r="B66" s="139"/>
      <c r="C66" s="118">
        <f ca="1">(C$43*C$44)/(N$43*N$44)</f>
        <v>0.91850821530545723</v>
      </c>
      <c r="D66" s="118">
        <f ca="1">(D$43*D$44)/(O$43*O$44)</f>
        <v>0.9379439604582529</v>
      </c>
      <c r="E66" s="118">
        <f ca="1">(E$43*E$44)/(P$43*P$44)</f>
        <v>0.95220624380572794</v>
      </c>
      <c r="F66" s="118">
        <f ca="1">(F$43*F$44)/(Q$43*Q$44)</f>
        <v>0.9633707440745124</v>
      </c>
      <c r="G66" s="118">
        <f ca="1">(G$43*G$44)/(R$43*R$44)</f>
        <v>0.97836583902551377</v>
      </c>
      <c r="I66" s="256"/>
      <c r="J66" s="257"/>
      <c r="K66" s="257"/>
      <c r="L66" s="257"/>
      <c r="M66" s="257"/>
      <c r="N66" s="257"/>
      <c r="P66" s="257"/>
    </row>
    <row r="67" spans="1:28" x14ac:dyDescent="0.2">
      <c r="A67" s="50" t="s">
        <v>764</v>
      </c>
      <c r="B67" s="256"/>
      <c r="C67" s="144">
        <f ca="1">100*(C$49-N$49)</f>
        <v>7.1918313570487266E-2</v>
      </c>
      <c r="D67" s="144">
        <f ca="1">100*(D$49-O$49)</f>
        <v>5.0000000000000044E-2</v>
      </c>
      <c r="E67" s="144">
        <f ca="1">100*(E$49-P$49)</f>
        <v>9.4999999999999946E-2</v>
      </c>
      <c r="F67" s="144">
        <f ca="1">100*(F$49-Q$49)</f>
        <v>-6.9388939039072284E-16</v>
      </c>
      <c r="G67" s="144">
        <f ca="1">100*(G$49-R$49)</f>
        <v>4.4999999999999901E-2</v>
      </c>
      <c r="I67" s="256"/>
      <c r="J67" s="257"/>
      <c r="K67" s="257"/>
      <c r="L67" s="257"/>
      <c r="M67" s="257"/>
      <c r="N67" s="257"/>
    </row>
    <row r="68" spans="1:28" x14ac:dyDescent="0.2">
      <c r="A68" s="50"/>
      <c r="I68" s="256"/>
      <c r="J68" s="257"/>
      <c r="K68" s="257"/>
      <c r="L68" s="257"/>
      <c r="M68" s="257"/>
      <c r="N68" s="257"/>
    </row>
    <row r="69" spans="1:28" ht="15.75" x14ac:dyDescent="0.25">
      <c r="A69" s="329" t="s">
        <v>750</v>
      </c>
      <c r="B69" s="266"/>
    </row>
    <row r="70" spans="1:28" ht="18.75" x14ac:dyDescent="0.3">
      <c r="A70" s="246" t="s">
        <v>404</v>
      </c>
      <c r="B70" s="247"/>
      <c r="C70" s="247"/>
      <c r="D70" s="248" t="s">
        <v>529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</row>
    <row r="71" spans="1:28" x14ac:dyDescent="0.2">
      <c r="A71" s="247"/>
      <c r="B71" s="247"/>
      <c r="C71" s="249" t="s">
        <v>440</v>
      </c>
      <c r="D71" s="249" t="s">
        <v>441</v>
      </c>
      <c r="E71" s="249" t="s">
        <v>442</v>
      </c>
      <c r="F71" s="249" t="s">
        <v>443</v>
      </c>
      <c r="G71" s="249" t="s">
        <v>444</v>
      </c>
      <c r="H71" s="249" t="s">
        <v>445</v>
      </c>
      <c r="I71" s="249" t="s">
        <v>446</v>
      </c>
      <c r="J71" s="249" t="s">
        <v>447</v>
      </c>
      <c r="K71" s="249" t="s">
        <v>448</v>
      </c>
      <c r="L71" s="249" t="s">
        <v>449</v>
      </c>
      <c r="M71" s="249" t="s">
        <v>450</v>
      </c>
      <c r="N71" s="250" t="s">
        <v>451</v>
      </c>
      <c r="O71" s="250" t="s">
        <v>452</v>
      </c>
      <c r="P71" s="250" t="s">
        <v>453</v>
      </c>
      <c r="Q71" s="250" t="s">
        <v>454</v>
      </c>
      <c r="R71" s="250" t="s">
        <v>455</v>
      </c>
      <c r="S71" s="251" t="s">
        <v>456</v>
      </c>
      <c r="T71" s="251" t="s">
        <v>457</v>
      </c>
      <c r="U71" s="251" t="s">
        <v>458</v>
      </c>
      <c r="V71" s="251" t="s">
        <v>459</v>
      </c>
      <c r="W71" s="251" t="s">
        <v>460</v>
      </c>
      <c r="X71" s="251" t="s">
        <v>461</v>
      </c>
      <c r="Y71" s="251" t="s">
        <v>462</v>
      </c>
      <c r="Z71" s="251" t="s">
        <v>463</v>
      </c>
      <c r="AA71" s="251" t="s">
        <v>464</v>
      </c>
      <c r="AB71" s="251" t="s">
        <v>465</v>
      </c>
    </row>
    <row r="72" spans="1:28" x14ac:dyDescent="0.2">
      <c r="A72" s="252" t="s">
        <v>516</v>
      </c>
      <c r="B72" s="247"/>
      <c r="C72" s="253">
        <v>0.6</v>
      </c>
      <c r="D72" s="253">
        <v>1.2</v>
      </c>
      <c r="E72" s="253">
        <v>1.8789999999999996</v>
      </c>
      <c r="F72" s="253">
        <v>2.1070000000000002</v>
      </c>
      <c r="G72" s="253">
        <v>2.3369999999999997</v>
      </c>
      <c r="H72" s="253">
        <v>2.0489999999999999</v>
      </c>
      <c r="I72" s="253">
        <v>2.1040000000000001</v>
      </c>
      <c r="J72" s="253">
        <v>2.2429999999999999</v>
      </c>
      <c r="K72" s="253">
        <v>0.25</v>
      </c>
      <c r="L72" s="253">
        <v>0</v>
      </c>
      <c r="M72" s="253">
        <v>0</v>
      </c>
      <c r="N72" s="254">
        <v>0</v>
      </c>
      <c r="O72" s="254">
        <v>0</v>
      </c>
      <c r="P72" s="254">
        <v>0</v>
      </c>
      <c r="Q72" s="254">
        <v>0</v>
      </c>
      <c r="R72" s="254">
        <v>0</v>
      </c>
      <c r="S72" s="255">
        <v>0</v>
      </c>
      <c r="T72" s="255">
        <v>2.1160000000000001</v>
      </c>
      <c r="U72" s="255">
        <v>2.1619999999999999</v>
      </c>
      <c r="V72" s="255">
        <v>2.089</v>
      </c>
      <c r="W72" s="255">
        <v>2.0110000000000001</v>
      </c>
      <c r="X72" s="255">
        <v>1.9119999999999999</v>
      </c>
      <c r="Y72" s="255">
        <v>1.702</v>
      </c>
      <c r="Z72" s="255">
        <v>1.462</v>
      </c>
      <c r="AA72" s="255">
        <v>1.1659999999999999</v>
      </c>
      <c r="AB72" s="255">
        <v>0.83199999999999996</v>
      </c>
    </row>
    <row r="73" spans="1:28" x14ac:dyDescent="0.2">
      <c r="A73" s="252" t="s">
        <v>526</v>
      </c>
      <c r="B73" s="247"/>
      <c r="C73" s="253">
        <v>1.4999999999999999E-2</v>
      </c>
      <c r="D73" s="253">
        <v>6.9000000000000006E-2</v>
      </c>
      <c r="E73" s="253">
        <f>0.131+0.146-0.007</f>
        <v>0.27</v>
      </c>
      <c r="F73" s="253">
        <f>0.191+0.557-0.022</f>
        <v>0.72599999999999998</v>
      </c>
      <c r="G73" s="253">
        <f>0.359+1.13-0.052</f>
        <v>1.4369999999999998</v>
      </c>
      <c r="H73" s="253">
        <f>0.436+1.313-(0.119-0.171)</f>
        <v>1.8009999999999999</v>
      </c>
      <c r="I73" s="253">
        <f>0.385+(-0.995)-(0.097-0.063)</f>
        <v>-0.64400000000000002</v>
      </c>
      <c r="J73" s="253">
        <f>0.383+(-3.495)-(0.077-0.4)</f>
        <v>-2.7890000000000001</v>
      </c>
      <c r="K73" s="253">
        <f>0.433+1.75-(0.081-(-0.421))</f>
        <v>1.6809999999999998</v>
      </c>
      <c r="L73" s="253">
        <f>0.518+3.518-(0.111-(-0.058))</f>
        <v>3.8669999999999995</v>
      </c>
      <c r="M73" s="253">
        <f>0.539+-0.204-(0.077-(-0.055))</f>
        <v>0.20300000000000007</v>
      </c>
      <c r="N73" s="254">
        <v>2.57</v>
      </c>
      <c r="O73" s="254">
        <v>1.8869999999999998</v>
      </c>
      <c r="P73" s="254">
        <v>2.024</v>
      </c>
      <c r="Q73" s="254">
        <v>2.1800000000000002</v>
      </c>
      <c r="R73" s="254">
        <v>2.351</v>
      </c>
      <c r="S73" s="255">
        <v>2.3547030000000002</v>
      </c>
      <c r="T73" s="255">
        <v>2.5998208314282349</v>
      </c>
      <c r="U73" s="255">
        <v>2.959293838087242</v>
      </c>
      <c r="V73" s="255">
        <v>3.341985922160938</v>
      </c>
      <c r="W73" s="255">
        <v>3.7438510950433836</v>
      </c>
      <c r="X73" s="255">
        <v>4.1650860492631159</v>
      </c>
      <c r="Y73" s="255">
        <v>4.6014731888519611</v>
      </c>
      <c r="Z73" s="255">
        <v>5.0477596953298054</v>
      </c>
      <c r="AA73" s="255">
        <v>5.5009458579099197</v>
      </c>
      <c r="AB73" s="255">
        <v>5.9573912159571538</v>
      </c>
    </row>
    <row r="74" spans="1:28" x14ac:dyDescent="0.2">
      <c r="A74" s="252" t="s">
        <v>527</v>
      </c>
      <c r="B74" s="247"/>
      <c r="C74" s="253">
        <v>0</v>
      </c>
      <c r="D74" s="253">
        <v>0</v>
      </c>
      <c r="E74" s="253">
        <v>7.6999999999999999E-2</v>
      </c>
      <c r="F74" s="253">
        <v>0.23400000000000001</v>
      </c>
      <c r="G74" s="253">
        <v>0.46800000000000003</v>
      </c>
      <c r="H74" s="253">
        <v>0.70699999999999996</v>
      </c>
      <c r="I74" s="253">
        <v>0.23699999999999999</v>
      </c>
      <c r="J74" s="253">
        <v>4.0000000000000001E-3</v>
      </c>
      <c r="K74" s="253">
        <v>-2.7E-2</v>
      </c>
      <c r="L74" s="253">
        <v>0.872</v>
      </c>
      <c r="M74" s="253">
        <v>0.16</v>
      </c>
      <c r="N74" s="254">
        <v>0.60199999999999998</v>
      </c>
      <c r="O74" s="254">
        <v>0.45600000000000002</v>
      </c>
      <c r="P74" s="254">
        <v>0.49</v>
      </c>
      <c r="Q74" s="254">
        <v>0.52800000000000002</v>
      </c>
      <c r="R74" s="254">
        <v>0.56999999999999995</v>
      </c>
      <c r="S74" s="255">
        <v>0.56512872000000003</v>
      </c>
      <c r="T74" s="255">
        <v>0.62395699954277639</v>
      </c>
      <c r="U74" s="255">
        <v>0.7102305211409381</v>
      </c>
      <c r="V74" s="255">
        <v>0.80207662131862512</v>
      </c>
      <c r="W74" s="255">
        <v>0.89852426281041209</v>
      </c>
      <c r="X74" s="255">
        <v>0.99962065182314774</v>
      </c>
      <c r="Y74" s="255">
        <v>1.1043535653244707</v>
      </c>
      <c r="Z74" s="255">
        <v>1.2114623268791533</v>
      </c>
      <c r="AA74" s="255">
        <v>1.3202270058983807</v>
      </c>
      <c r="AB74" s="255">
        <v>1.4297738918297169</v>
      </c>
    </row>
    <row r="75" spans="1:28" x14ac:dyDescent="0.2">
      <c r="A75" s="252" t="s">
        <v>560</v>
      </c>
      <c r="B75" s="247"/>
      <c r="C75" s="253">
        <v>0</v>
      </c>
      <c r="D75" s="253">
        <v>0</v>
      </c>
      <c r="E75" s="253">
        <v>0</v>
      </c>
      <c r="F75" s="253">
        <v>0</v>
      </c>
      <c r="G75" s="253">
        <v>-6.0000000000000001E-3</v>
      </c>
      <c r="H75" s="253">
        <v>-2.5000000000000001E-2</v>
      </c>
      <c r="I75" s="253">
        <v>1.6E-2</v>
      </c>
      <c r="J75" s="253">
        <v>2.5999999999999999E-2</v>
      </c>
      <c r="K75" s="253">
        <v>0.01</v>
      </c>
      <c r="L75" s="253">
        <v>1E-3</v>
      </c>
      <c r="M75" s="253">
        <v>8.0000000000000002E-3</v>
      </c>
      <c r="N75" s="254">
        <v>1.9E-2</v>
      </c>
      <c r="O75" s="254">
        <v>0.03</v>
      </c>
      <c r="P75" s="254">
        <v>3.1E-2</v>
      </c>
      <c r="Q75" s="254">
        <v>3.5000000000000003E-2</v>
      </c>
      <c r="R75" s="254">
        <v>3.7999999999999999E-2</v>
      </c>
      <c r="S75" s="255">
        <v>3.8059852828583582E-2</v>
      </c>
      <c r="T75" s="255">
        <v>4.2021774391438928E-2</v>
      </c>
      <c r="U75" s="255">
        <v>4.783205693207792E-2</v>
      </c>
      <c r="V75" s="255">
        <v>5.4017637193583858E-2</v>
      </c>
      <c r="W75" s="255">
        <v>6.0513118507719517E-2</v>
      </c>
      <c r="X75" s="255">
        <v>6.7321680081666696E-2</v>
      </c>
      <c r="Y75" s="255">
        <v>7.4375151499946626E-2</v>
      </c>
      <c r="Z75" s="255">
        <v>8.1588629699078097E-2</v>
      </c>
      <c r="AA75" s="255">
        <v>8.8913629349458512E-2</v>
      </c>
      <c r="AB75" s="255">
        <v>9.629130846719347E-2</v>
      </c>
    </row>
    <row r="76" spans="1:28" x14ac:dyDescent="0.2">
      <c r="A76" s="252" t="s">
        <v>146</v>
      </c>
      <c r="B76" s="247"/>
      <c r="C76" s="253">
        <v>0.61499999999999999</v>
      </c>
      <c r="D76" s="253">
        <v>1.8839999999999999</v>
      </c>
      <c r="E76" s="253">
        <v>3.956</v>
      </c>
      <c r="F76" s="253">
        <v>6.5549999999999997</v>
      </c>
      <c r="G76" s="253">
        <v>9.8550000000000004</v>
      </c>
      <c r="H76" s="253">
        <v>12.973000000000001</v>
      </c>
      <c r="I76" s="253">
        <v>14.212</v>
      </c>
      <c r="J76" s="253">
        <v>13.688000000000001</v>
      </c>
      <c r="K76" s="253">
        <v>15.656000000000001</v>
      </c>
      <c r="L76" s="253">
        <v>18.652000000000001</v>
      </c>
      <c r="M76" s="253">
        <v>18.702999999999999</v>
      </c>
      <c r="N76" s="254">
        <v>20.689999999999998</v>
      </c>
      <c r="O76" s="254">
        <v>22.151</v>
      </c>
      <c r="P76" s="254">
        <v>23.715999999999998</v>
      </c>
      <c r="Q76" s="254">
        <v>25.402999999999999</v>
      </c>
      <c r="R76" s="254">
        <v>27.221999999999998</v>
      </c>
      <c r="S76" s="255">
        <v>29.049634132828583</v>
      </c>
      <c r="T76" s="255">
        <v>33.183519739105478</v>
      </c>
      <c r="U76" s="255">
        <v>37.642415112983862</v>
      </c>
      <c r="V76" s="255">
        <v>42.325342051019753</v>
      </c>
      <c r="W76" s="255">
        <v>47.242182001760447</v>
      </c>
      <c r="X76" s="255">
        <v>52.386969079282082</v>
      </c>
      <c r="Y76" s="255">
        <v>57.660463854309512</v>
      </c>
      <c r="Z76" s="255">
        <v>63.040349852459244</v>
      </c>
      <c r="AA76" s="255">
        <v>68.475982333820241</v>
      </c>
      <c r="AB76" s="255">
        <v>73.931890966414855</v>
      </c>
    </row>
    <row r="77" spans="1:28" x14ac:dyDescent="0.2">
      <c r="A77" s="43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37"/>
  <sheetViews>
    <sheetView zoomScaleNormal="100" workbookViewId="0">
      <pane xSplit="1" ySplit="2" topLeftCell="B3" activePane="bottomRight" state="frozen"/>
      <selection activeCell="M12" sqref="M12"/>
      <selection pane="topRight" activeCell="M12" sqref="M12"/>
      <selection pane="bottomLeft" activeCell="M12" sqref="M12"/>
      <selection pane="bottomRight" activeCell="A228" sqref="A228"/>
    </sheetView>
  </sheetViews>
  <sheetFormatPr defaultColWidth="8.85546875" defaultRowHeight="12.75" x14ac:dyDescent="0.2"/>
  <cols>
    <col min="1" max="1" width="70.7109375" style="268" customWidth="1"/>
    <col min="2" max="2" width="7.7109375" style="268" customWidth="1"/>
    <col min="3" max="13" width="7.7109375" style="375" customWidth="1"/>
    <col min="14" max="14" width="8.85546875" style="268"/>
    <col min="15" max="15" width="10.140625" style="268" bestFit="1" customWidth="1"/>
    <col min="16" max="16384" width="8.85546875" style="268"/>
  </cols>
  <sheetData>
    <row r="1" spans="1:29" ht="15.75" x14ac:dyDescent="0.25">
      <c r="A1" s="374" t="s">
        <v>1031</v>
      </c>
      <c r="B1" s="374"/>
      <c r="C1" s="114"/>
      <c r="D1" s="114"/>
      <c r="E1" s="114"/>
      <c r="F1" s="114"/>
      <c r="G1" s="114"/>
      <c r="H1" s="114"/>
    </row>
    <row r="2" spans="1:29" x14ac:dyDescent="0.2">
      <c r="A2" s="47"/>
      <c r="B2" s="376"/>
      <c r="C2" s="376" t="s">
        <v>445</v>
      </c>
      <c r="D2" s="376" t="s">
        <v>446</v>
      </c>
      <c r="E2" s="376" t="s">
        <v>447</v>
      </c>
      <c r="F2" s="376" t="s">
        <v>364</v>
      </c>
      <c r="G2" s="376" t="s">
        <v>449</v>
      </c>
      <c r="H2" s="376" t="s">
        <v>450</v>
      </c>
      <c r="I2" s="377" t="s">
        <v>451</v>
      </c>
      <c r="J2" s="377" t="s">
        <v>452</v>
      </c>
      <c r="K2" s="377" t="s">
        <v>453</v>
      </c>
      <c r="L2" s="377" t="s">
        <v>454</v>
      </c>
      <c r="M2" s="377" t="s">
        <v>455</v>
      </c>
    </row>
    <row r="3" spans="1:29" x14ac:dyDescent="0.2">
      <c r="A3" s="46"/>
      <c r="B3" s="46"/>
      <c r="C3" s="198">
        <v>1</v>
      </c>
      <c r="D3" s="198">
        <v>2</v>
      </c>
      <c r="E3" s="198">
        <v>3</v>
      </c>
      <c r="F3" s="198">
        <v>4</v>
      </c>
      <c r="G3" s="198">
        <v>5</v>
      </c>
      <c r="H3" s="198">
        <v>6</v>
      </c>
      <c r="I3" s="197">
        <v>7</v>
      </c>
      <c r="J3" s="197">
        <v>8</v>
      </c>
      <c r="K3" s="197">
        <v>9</v>
      </c>
      <c r="L3" s="197">
        <v>10</v>
      </c>
      <c r="M3" s="197">
        <v>11</v>
      </c>
      <c r="O3" s="324" t="s">
        <v>565</v>
      </c>
      <c r="P3" s="378" t="s">
        <v>603</v>
      </c>
    </row>
    <row r="4" spans="1:29" ht="15.75" x14ac:dyDescent="0.25">
      <c r="A4" s="51" t="s">
        <v>566</v>
      </c>
      <c r="B4" s="51"/>
      <c r="C4" s="110"/>
      <c r="D4" s="110"/>
      <c r="E4" s="110"/>
      <c r="F4" s="110"/>
      <c r="G4" s="110"/>
      <c r="H4" s="110"/>
      <c r="P4" s="378" t="s">
        <v>604</v>
      </c>
    </row>
    <row r="5" spans="1:29" x14ac:dyDescent="0.2">
      <c r="A5" s="68" t="s">
        <v>363</v>
      </c>
      <c r="B5" s="68"/>
      <c r="C5" s="180">
        <v>53.064</v>
      </c>
      <c r="D5" s="180">
        <v>56.372</v>
      </c>
      <c r="E5" s="180">
        <v>54.145000000000003</v>
      </c>
      <c r="F5" s="180">
        <v>50.347000000000001</v>
      </c>
      <c r="G5" s="180">
        <v>51.128</v>
      </c>
      <c r="H5" s="180">
        <v>54.664999999999999</v>
      </c>
      <c r="I5" s="109">
        <v>56.874000000000002</v>
      </c>
      <c r="J5" s="109">
        <v>61.247999999999998</v>
      </c>
      <c r="K5" s="109">
        <v>64.878</v>
      </c>
      <c r="L5" s="109">
        <v>68.078999999999994</v>
      </c>
      <c r="M5" s="109">
        <v>71.022000000000006</v>
      </c>
      <c r="O5" s="378" t="s">
        <v>613</v>
      </c>
      <c r="AA5" s="274"/>
      <c r="AB5" s="274"/>
      <c r="AC5" s="274"/>
    </row>
    <row r="6" spans="1:29" x14ac:dyDescent="0.2">
      <c r="A6" s="68" t="s">
        <v>286</v>
      </c>
      <c r="B6" s="68"/>
      <c r="C6" s="180">
        <v>3.496</v>
      </c>
      <c r="D6" s="180">
        <v>3.879</v>
      </c>
      <c r="E6" s="180">
        <v>4.1180000000000003</v>
      </c>
      <c r="F6" s="180">
        <v>4.6820000000000004</v>
      </c>
      <c r="G6" s="180">
        <v>5.2809999999999997</v>
      </c>
      <c r="H6" s="180">
        <v>5.13</v>
      </c>
      <c r="I6" s="109">
        <v>5.1280000000000001</v>
      </c>
      <c r="J6" s="109">
        <v>5.32</v>
      </c>
      <c r="K6" s="109">
        <v>5.4539999999999997</v>
      </c>
      <c r="L6" s="109">
        <v>5.3940000000000001</v>
      </c>
      <c r="M6" s="109">
        <v>5.5439999999999996</v>
      </c>
      <c r="O6" s="379" t="s">
        <v>610</v>
      </c>
      <c r="AA6" s="274"/>
      <c r="AB6" s="274"/>
      <c r="AC6" s="274"/>
    </row>
    <row r="7" spans="1:29" x14ac:dyDescent="0.2">
      <c r="A7" s="68" t="s">
        <v>332</v>
      </c>
      <c r="B7" s="68"/>
      <c r="C7" s="181">
        <v>12.613</v>
      </c>
      <c r="D7" s="181">
        <v>15.398999999999999</v>
      </c>
      <c r="E7" s="181">
        <v>15.356</v>
      </c>
      <c r="F7" s="181">
        <v>14.331</v>
      </c>
      <c r="G7" s="181">
        <v>15.084</v>
      </c>
      <c r="H7" s="181">
        <v>16.785</v>
      </c>
      <c r="I7" s="109">
        <v>15.734999999999999</v>
      </c>
      <c r="J7" s="109">
        <v>16.131</v>
      </c>
      <c r="K7" s="109">
        <v>17.010000000000002</v>
      </c>
      <c r="L7" s="109">
        <v>17.670999999999999</v>
      </c>
      <c r="M7" s="109">
        <v>18.294</v>
      </c>
      <c r="O7" s="268" t="str">
        <f>$O$6</f>
        <v>Used in TC 'Other non-investment income' total</v>
      </c>
      <c r="AA7" s="274"/>
      <c r="AB7" s="274"/>
      <c r="AC7" s="274"/>
    </row>
    <row r="8" spans="1:29" x14ac:dyDescent="0.2">
      <c r="A8" s="68" t="s">
        <v>287</v>
      </c>
      <c r="B8" s="68"/>
      <c r="C8" s="181">
        <v>2.9950000000000001</v>
      </c>
      <c r="D8" s="181">
        <v>3.214</v>
      </c>
      <c r="E8" s="181">
        <v>2.9969999999999999</v>
      </c>
      <c r="F8" s="181">
        <v>2.3149999999999999</v>
      </c>
      <c r="G8" s="181">
        <v>2.57</v>
      </c>
      <c r="H8" s="181">
        <v>2.7629999999999999</v>
      </c>
      <c r="I8" s="109">
        <v>3.2109999999999999</v>
      </c>
      <c r="J8" s="109">
        <v>3.71</v>
      </c>
      <c r="K8" s="109">
        <v>4.2649999999999997</v>
      </c>
      <c r="L8" s="109">
        <v>4.49</v>
      </c>
      <c r="M8" s="109">
        <v>5.0359999999999996</v>
      </c>
      <c r="O8" s="378" t="s">
        <v>614</v>
      </c>
      <c r="AA8" s="274"/>
      <c r="AB8" s="274"/>
      <c r="AC8" s="274"/>
    </row>
    <row r="9" spans="1:29" x14ac:dyDescent="0.2">
      <c r="A9" s="68" t="s">
        <v>333</v>
      </c>
      <c r="B9" s="68"/>
      <c r="C9" s="182">
        <v>2.4209999999999998</v>
      </c>
      <c r="D9" s="182">
        <v>2.6150000000000002</v>
      </c>
      <c r="E9" s="182">
        <v>2.89</v>
      </c>
      <c r="F9" s="182">
        <v>3.05</v>
      </c>
      <c r="G9" s="182">
        <v>7.5</v>
      </c>
      <c r="H9" s="182">
        <v>4.1399999999999997</v>
      </c>
      <c r="I9" s="109">
        <v>3.6589999999999998</v>
      </c>
      <c r="J9" s="109">
        <v>3.669</v>
      </c>
      <c r="K9" s="109">
        <v>3.8580000000000001</v>
      </c>
      <c r="L9" s="109">
        <v>3.9319999999999999</v>
      </c>
      <c r="M9" s="109">
        <v>4.0190000000000001</v>
      </c>
      <c r="O9" s="268" t="str">
        <f>$O$6</f>
        <v>Used in TC 'Other non-investment income' total</v>
      </c>
      <c r="AA9" s="274"/>
      <c r="AB9" s="274"/>
      <c r="AC9" s="274"/>
    </row>
    <row r="10" spans="1:29" x14ac:dyDescent="0.2">
      <c r="A10" s="50" t="s">
        <v>284</v>
      </c>
      <c r="B10" s="50"/>
      <c r="C10" s="183">
        <f>SUM(C$5:C$9)</f>
        <v>74.589000000000013</v>
      </c>
      <c r="D10" s="183">
        <f t="shared" ref="D10:M10" si="0">SUM(D$5:D$9)</f>
        <v>81.478999999999985</v>
      </c>
      <c r="E10" s="183">
        <f t="shared" si="0"/>
        <v>79.506</v>
      </c>
      <c r="F10" s="183">
        <f t="shared" si="0"/>
        <v>74.724999999999994</v>
      </c>
      <c r="G10" s="183">
        <f t="shared" si="0"/>
        <v>81.562999999999988</v>
      </c>
      <c r="H10" s="183">
        <f t="shared" si="0"/>
        <v>83.483000000000004</v>
      </c>
      <c r="I10" s="115">
        <f t="shared" si="0"/>
        <v>84.606999999999999</v>
      </c>
      <c r="J10" s="115">
        <f t="shared" si="0"/>
        <v>90.077999999999989</v>
      </c>
      <c r="K10" s="115">
        <f t="shared" si="0"/>
        <v>95.465000000000003</v>
      </c>
      <c r="L10" s="115">
        <f t="shared" si="0"/>
        <v>99.566000000000003</v>
      </c>
      <c r="M10" s="115">
        <f t="shared" si="0"/>
        <v>103.91500000000001</v>
      </c>
      <c r="AA10" s="274"/>
      <c r="AB10" s="274"/>
      <c r="AC10" s="274"/>
    </row>
    <row r="11" spans="1:29" x14ac:dyDescent="0.2">
      <c r="A11" s="50" t="s">
        <v>904</v>
      </c>
      <c r="B11" s="50"/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09">
        <v>0.02</v>
      </c>
      <c r="J11" s="109">
        <v>0.17</v>
      </c>
      <c r="K11" s="109">
        <v>0.25</v>
      </c>
      <c r="L11" s="109">
        <v>0.33</v>
      </c>
      <c r="M11" s="109">
        <v>0.42</v>
      </c>
      <c r="O11" s="324" t="str">
        <f>$O$3</f>
        <v>√</v>
      </c>
      <c r="AA11" s="274"/>
      <c r="AB11" s="274"/>
      <c r="AC11" s="274"/>
    </row>
    <row r="12" spans="1:29" x14ac:dyDescent="0.2">
      <c r="A12" s="50" t="s">
        <v>283</v>
      </c>
      <c r="B12" s="50"/>
      <c r="C12" s="185">
        <v>5.86</v>
      </c>
      <c r="D12" s="185">
        <f>5.638-0.001</f>
        <v>5.6369999999999996</v>
      </c>
      <c r="E12" s="185">
        <v>-3.8929999999999998</v>
      </c>
      <c r="F12" s="185">
        <v>-6.3150000000000004</v>
      </c>
      <c r="G12" s="185">
        <v>-18.396000000000001</v>
      </c>
      <c r="H12" s="185">
        <v>-9.24</v>
      </c>
      <c r="I12" s="170">
        <v>-7.34</v>
      </c>
      <c r="J12" s="170">
        <v>-2.0110000000000001</v>
      </c>
      <c r="K12" s="170">
        <v>6.6000000000000003E-2</v>
      </c>
      <c r="L12" s="170">
        <v>1.383</v>
      </c>
      <c r="M12" s="170">
        <v>2.048</v>
      </c>
      <c r="O12" s="380" t="s">
        <v>699</v>
      </c>
      <c r="AA12" s="274"/>
      <c r="AB12" s="274"/>
      <c r="AC12" s="274"/>
    </row>
    <row r="13" spans="1:29" x14ac:dyDescent="0.2">
      <c r="A13" s="68" t="s">
        <v>570</v>
      </c>
      <c r="B13" s="50"/>
      <c r="C13" s="189">
        <v>2.052</v>
      </c>
      <c r="D13" s="189">
        <v>-3.5419999999999998</v>
      </c>
      <c r="E13" s="189">
        <v>-6.8010000000000002</v>
      </c>
      <c r="F13" s="189">
        <v>1.5620000000000001</v>
      </c>
      <c r="G13" s="189">
        <v>4.6980000000000004</v>
      </c>
      <c r="H13" s="189">
        <v>-5.8339999999999996</v>
      </c>
      <c r="I13" s="212">
        <v>3.8690000000000002</v>
      </c>
      <c r="J13" s="212">
        <v>1.843</v>
      </c>
      <c r="K13" s="212">
        <v>1.8160000000000001</v>
      </c>
      <c r="L13" s="212">
        <v>1.948</v>
      </c>
      <c r="M13" s="212">
        <v>2.12</v>
      </c>
      <c r="O13" s="379" t="s">
        <v>605</v>
      </c>
      <c r="AA13" s="274"/>
      <c r="AB13" s="274"/>
      <c r="AC13" s="274"/>
    </row>
    <row r="14" spans="1:29" x14ac:dyDescent="0.2">
      <c r="A14" s="68" t="s">
        <v>282</v>
      </c>
      <c r="B14" s="50"/>
      <c r="C14" s="180">
        <v>0.191</v>
      </c>
      <c r="D14" s="180">
        <v>0.33400000000000002</v>
      </c>
      <c r="E14" s="180">
        <v>0.21199999999999999</v>
      </c>
      <c r="F14" s="180">
        <v>0.22700000000000001</v>
      </c>
      <c r="G14" s="180">
        <v>0.23699999999999999</v>
      </c>
      <c r="H14" s="180">
        <v>0.23300000000000001</v>
      </c>
      <c r="I14" s="109">
        <v>0.19600000000000001</v>
      </c>
      <c r="J14" s="109">
        <v>0.217</v>
      </c>
      <c r="K14" s="109">
        <v>0.219</v>
      </c>
      <c r="L14" s="109">
        <v>0.219</v>
      </c>
      <c r="M14" s="109">
        <v>0.217</v>
      </c>
      <c r="O14" s="268" t="str">
        <f>$O$13</f>
        <v>Used in TC 'Total Gains/(Losses) plus Net Surplus/(Deficit) from associates &amp; joint ventures' total</v>
      </c>
      <c r="AA14" s="274"/>
      <c r="AB14" s="274"/>
      <c r="AC14" s="274"/>
    </row>
    <row r="15" spans="1:29" x14ac:dyDescent="0.2">
      <c r="A15" s="68" t="s">
        <v>571</v>
      </c>
      <c r="B15" s="50"/>
      <c r="C15" s="180">
        <v>-9.1999999999999998E-2</v>
      </c>
      <c r="D15" s="180">
        <v>2.1999999999999999E-2</v>
      </c>
      <c r="E15" s="180">
        <v>2E-3</v>
      </c>
      <c r="F15" s="180">
        <v>0</v>
      </c>
      <c r="G15" s="180">
        <v>0</v>
      </c>
      <c r="H15" s="180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O15" s="268" t="str">
        <f>$O$13</f>
        <v>Used in TC 'Total Gains/(Losses) plus Net Surplus/(Deficit) from associates &amp; joint ventures' total</v>
      </c>
      <c r="AA15" s="274"/>
      <c r="AB15" s="274"/>
      <c r="AC15" s="274"/>
    </row>
    <row r="16" spans="1:29" x14ac:dyDescent="0.2">
      <c r="A16" s="68" t="s">
        <v>583</v>
      </c>
      <c r="B16" s="50"/>
      <c r="C16" s="180">
        <v>-1.2E-2</v>
      </c>
      <c r="D16" s="180">
        <v>6.7000000000000004E-2</v>
      </c>
      <c r="E16" s="180">
        <v>2.5000000000000001E-2</v>
      </c>
      <c r="F16" s="180">
        <v>-1.7000000000000001E-2</v>
      </c>
      <c r="G16" s="180">
        <v>-0.10100000000000001</v>
      </c>
      <c r="H16" s="180">
        <v>5.6000000000000001E-2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O16" s="268" t="str">
        <f>$O$13</f>
        <v>Used in TC 'Total Gains/(Losses) plus Net Surplus/(Deficit) from associates &amp; joint ventures' total</v>
      </c>
      <c r="AA16" s="274"/>
      <c r="AB16" s="274"/>
      <c r="AC16" s="274"/>
    </row>
    <row r="17" spans="1:29" x14ac:dyDescent="0.2">
      <c r="A17" s="50" t="s">
        <v>129</v>
      </c>
      <c r="B17" s="49"/>
      <c r="C17" s="223">
        <v>8.0229999999999997</v>
      </c>
      <c r="D17" s="223">
        <v>2.3839999999999999</v>
      </c>
      <c r="E17" s="223">
        <v>-10.505000000000001</v>
      </c>
      <c r="F17" s="223">
        <v>-4.5090000000000003</v>
      </c>
      <c r="G17" s="223">
        <v>-13.36</v>
      </c>
      <c r="H17" s="223">
        <v>-14.897</v>
      </c>
      <c r="I17" s="288">
        <v>-3.2749999999999999</v>
      </c>
      <c r="J17" s="288">
        <v>4.9000000000000002E-2</v>
      </c>
      <c r="K17" s="288">
        <v>2.101</v>
      </c>
      <c r="L17" s="288">
        <v>3.55</v>
      </c>
      <c r="M17" s="288">
        <v>4.3849999999999998</v>
      </c>
      <c r="O17" s="268" t="s">
        <v>618</v>
      </c>
      <c r="AA17" s="274"/>
      <c r="AB17" s="274"/>
      <c r="AC17" s="274"/>
    </row>
    <row r="18" spans="1:29" ht="13.5" x14ac:dyDescent="0.25">
      <c r="A18" s="228" t="s">
        <v>584</v>
      </c>
      <c r="B18" s="169"/>
      <c r="C18" s="226" t="str">
        <f>IF(ROUND(C$17-(SUM(C$5:C$9)-C$11-SUM(C$20:C$36)+SUM(C$13,C$14,C$15)-C$16),3)=0,"OK","ERROR")</f>
        <v>OK</v>
      </c>
      <c r="D18" s="226" t="str">
        <f t="shared" ref="D18:M18" si="1">IF(ROUND(D$17-(SUM(D$5:D$9)-D$11-SUM(D$20:D$36)+SUM(D$13,D$14,D$15)-D$16),3)=0,"OK","ERROR")</f>
        <v>OK</v>
      </c>
      <c r="E18" s="226" t="str">
        <f t="shared" si="1"/>
        <v>OK</v>
      </c>
      <c r="F18" s="226" t="str">
        <f t="shared" si="1"/>
        <v>OK</v>
      </c>
      <c r="G18" s="226" t="str">
        <f t="shared" si="1"/>
        <v>OK</v>
      </c>
      <c r="H18" s="226" t="str">
        <f t="shared" si="1"/>
        <v>OK</v>
      </c>
      <c r="I18" s="227" t="str">
        <f t="shared" si="1"/>
        <v>OK</v>
      </c>
      <c r="J18" s="227" t="str">
        <f t="shared" si="1"/>
        <v>OK</v>
      </c>
      <c r="K18" s="227" t="str">
        <f t="shared" si="1"/>
        <v>OK</v>
      </c>
      <c r="L18" s="227" t="str">
        <f t="shared" si="1"/>
        <v>OK</v>
      </c>
      <c r="M18" s="227" t="str">
        <f t="shared" si="1"/>
        <v>OK</v>
      </c>
    </row>
    <row r="19" spans="1:29" x14ac:dyDescent="0.2">
      <c r="A19" s="50" t="s">
        <v>365</v>
      </c>
      <c r="B19" s="16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</row>
    <row r="20" spans="1:29" x14ac:dyDescent="0.2">
      <c r="A20" s="68" t="s">
        <v>334</v>
      </c>
      <c r="B20" s="68"/>
      <c r="C20" s="181">
        <v>19.829000000000001</v>
      </c>
      <c r="D20" s="181">
        <v>21.509</v>
      </c>
      <c r="E20" s="181">
        <v>23.273</v>
      </c>
      <c r="F20" s="181">
        <v>24.206</v>
      </c>
      <c r="G20" s="181">
        <v>25.324000000000002</v>
      </c>
      <c r="H20" s="181">
        <v>25.457000000000001</v>
      </c>
      <c r="I20" s="109">
        <v>26.689</v>
      </c>
      <c r="J20" s="109">
        <v>27.526</v>
      </c>
      <c r="K20" s="109">
        <v>28.128</v>
      </c>
      <c r="L20" s="109">
        <v>28.858000000000001</v>
      </c>
      <c r="M20" s="109">
        <v>29.786999999999999</v>
      </c>
      <c r="O20" s="324" t="str">
        <f>$O$3</f>
        <v>√</v>
      </c>
      <c r="AA20" s="274"/>
      <c r="AB20" s="274"/>
      <c r="AC20" s="274"/>
    </row>
    <row r="21" spans="1:29" x14ac:dyDescent="0.2">
      <c r="A21" s="68" t="s">
        <v>335</v>
      </c>
      <c r="B21" s="68"/>
      <c r="C21" s="181">
        <v>0.64500000000000002</v>
      </c>
      <c r="D21" s="181">
        <v>0.69</v>
      </c>
      <c r="E21" s="181">
        <v>0.65500000000000003</v>
      </c>
      <c r="F21" s="181">
        <v>0.33300000000000002</v>
      </c>
      <c r="G21" s="181">
        <v>0.311</v>
      </c>
      <c r="H21" s="181">
        <v>0.19700000000000001</v>
      </c>
      <c r="I21" s="109">
        <v>0.28699999999999998</v>
      </c>
      <c r="J21" s="109">
        <v>0.26700000000000002</v>
      </c>
      <c r="K21" s="109">
        <v>0.29799999999999999</v>
      </c>
      <c r="L21" s="109">
        <v>0.33300000000000002</v>
      </c>
      <c r="M21" s="109">
        <v>0.36699999999999999</v>
      </c>
      <c r="O21" s="324" t="str">
        <f>$O$3</f>
        <v>√</v>
      </c>
      <c r="AA21" s="274"/>
      <c r="AB21" s="274"/>
      <c r="AC21" s="274"/>
    </row>
    <row r="22" spans="1:29" x14ac:dyDescent="0.2">
      <c r="A22" s="68" t="s">
        <v>435</v>
      </c>
      <c r="B22" s="68"/>
      <c r="C22" s="181">
        <v>10.661</v>
      </c>
      <c r="D22" s="181">
        <v>10.808999999999999</v>
      </c>
      <c r="E22" s="181">
        <v>12.042</v>
      </c>
      <c r="F22" s="181">
        <v>12.673</v>
      </c>
      <c r="G22" s="181">
        <v>13.068</v>
      </c>
      <c r="H22" s="181">
        <v>13.65</v>
      </c>
      <c r="I22" s="109">
        <v>14.108000000000001</v>
      </c>
      <c r="J22" s="109">
        <v>13.815</v>
      </c>
      <c r="K22" s="109">
        <v>13.776</v>
      </c>
      <c r="L22" s="109">
        <v>13.743</v>
      </c>
      <c r="M22" s="109">
        <v>13.709</v>
      </c>
      <c r="O22" s="324" t="str">
        <f>$O$3</f>
        <v>√</v>
      </c>
      <c r="AA22" s="274"/>
      <c r="AB22" s="274"/>
      <c r="AC22" s="274"/>
    </row>
    <row r="23" spans="1:29" x14ac:dyDescent="0.2">
      <c r="A23" s="68" t="s">
        <v>533</v>
      </c>
      <c r="B23" s="68"/>
      <c r="C23" s="181">
        <v>9.8529999999999998</v>
      </c>
      <c r="D23" s="181">
        <v>10.397</v>
      </c>
      <c r="E23" s="181">
        <v>12.465</v>
      </c>
      <c r="F23" s="181">
        <v>12.44</v>
      </c>
      <c r="G23" s="181">
        <v>12.406000000000001</v>
      </c>
      <c r="H23" s="181">
        <v>12.407</v>
      </c>
      <c r="I23" s="109">
        <v>13.262</v>
      </c>
      <c r="J23" s="109">
        <v>13.055</v>
      </c>
      <c r="K23" s="109">
        <v>13.172000000000001</v>
      </c>
      <c r="L23" s="109">
        <v>13.302</v>
      </c>
      <c r="M23" s="109">
        <v>13.349</v>
      </c>
      <c r="O23" s="324" t="str">
        <f>$O$3</f>
        <v>√</v>
      </c>
      <c r="AA23" s="274"/>
      <c r="AB23" s="274"/>
      <c r="AC23" s="274"/>
    </row>
    <row r="24" spans="1:29" x14ac:dyDescent="0.2">
      <c r="A24" s="68" t="s">
        <v>360</v>
      </c>
      <c r="B24" s="68"/>
      <c r="C24" s="181">
        <v>4.6280000000000001</v>
      </c>
      <c r="D24" s="181">
        <v>3.274</v>
      </c>
      <c r="E24" s="181">
        <v>5.1369999999999996</v>
      </c>
      <c r="F24" s="181">
        <v>2.83</v>
      </c>
      <c r="G24" s="181">
        <v>5.5149999999999997</v>
      </c>
      <c r="H24" s="181">
        <v>5.3049999999999997</v>
      </c>
      <c r="I24" s="109">
        <v>5.5380000000000003</v>
      </c>
      <c r="J24" s="109">
        <v>4.2569999999999997</v>
      </c>
      <c r="K24" s="109">
        <v>4.1239999999999997</v>
      </c>
      <c r="L24" s="109">
        <v>4.1689999999999996</v>
      </c>
      <c r="M24" s="109">
        <v>4.1139999999999999</v>
      </c>
      <c r="O24" s="268" t="s">
        <v>616</v>
      </c>
      <c r="AA24" s="274"/>
      <c r="AB24" s="274"/>
      <c r="AC24" s="274"/>
    </row>
    <row r="25" spans="1:29" x14ac:dyDescent="0.2">
      <c r="A25" s="68" t="s">
        <v>361</v>
      </c>
      <c r="B25" s="68"/>
      <c r="C25" s="181">
        <v>2.8220000000000001</v>
      </c>
      <c r="D25" s="181">
        <v>3.0819999999999999</v>
      </c>
      <c r="E25" s="181">
        <v>3.25</v>
      </c>
      <c r="F25" s="181">
        <v>3.3540000000000001</v>
      </c>
      <c r="G25" s="181">
        <v>3.5670000000000002</v>
      </c>
      <c r="H25" s="181">
        <v>3.5920000000000001</v>
      </c>
      <c r="I25" s="109">
        <v>3.8639999999999999</v>
      </c>
      <c r="J25" s="109">
        <v>3.698</v>
      </c>
      <c r="K25" s="109">
        <v>3.6779999999999999</v>
      </c>
      <c r="L25" s="109">
        <v>3.76</v>
      </c>
      <c r="M25" s="109">
        <v>3.7490000000000001</v>
      </c>
      <c r="O25" s="268" t="str">
        <f>$O$24</f>
        <v>Used in TC 'Other Expenses' total</v>
      </c>
      <c r="AA25" s="274"/>
      <c r="AB25" s="274"/>
      <c r="AC25" s="274"/>
    </row>
    <row r="26" spans="1:29" x14ac:dyDescent="0.2">
      <c r="A26" s="68" t="s">
        <v>436</v>
      </c>
      <c r="B26" s="68"/>
      <c r="C26" s="181">
        <v>1.478</v>
      </c>
      <c r="D26" s="181">
        <v>1.5249999999999999</v>
      </c>
      <c r="E26" s="181">
        <v>1.712</v>
      </c>
      <c r="F26" s="181">
        <v>1.7709999999999999</v>
      </c>
      <c r="G26" s="181">
        <v>1.778</v>
      </c>
      <c r="H26" s="181">
        <v>1.6930000000000001</v>
      </c>
      <c r="I26" s="109">
        <v>1.8149999999999999</v>
      </c>
      <c r="J26" s="109">
        <v>1.7829999999999999</v>
      </c>
      <c r="K26" s="109">
        <v>1.79</v>
      </c>
      <c r="L26" s="109">
        <v>1.83</v>
      </c>
      <c r="M26" s="109">
        <v>2.1030000000000002</v>
      </c>
      <c r="O26" s="268" t="str">
        <f>$O$24</f>
        <v>Used in TC 'Other Expenses' total</v>
      </c>
      <c r="AA26" s="274"/>
      <c r="AB26" s="274"/>
      <c r="AC26" s="274"/>
    </row>
    <row r="27" spans="1:29" x14ac:dyDescent="0.2">
      <c r="A27" s="68" t="s">
        <v>355</v>
      </c>
      <c r="B27" s="68"/>
      <c r="C27" s="181">
        <v>6.99</v>
      </c>
      <c r="D27" s="181">
        <v>7.4240000000000004</v>
      </c>
      <c r="E27" s="181">
        <v>9.0229999999999997</v>
      </c>
      <c r="F27" s="181">
        <v>7.9909999999999997</v>
      </c>
      <c r="G27" s="181">
        <v>8.4019999999999992</v>
      </c>
      <c r="H27" s="181">
        <v>10.259</v>
      </c>
      <c r="I27" s="109">
        <v>8.952</v>
      </c>
      <c r="J27" s="109">
        <v>8.8580000000000005</v>
      </c>
      <c r="K27" s="109">
        <v>9.1240000000000006</v>
      </c>
      <c r="L27" s="109">
        <v>9.2669999999999995</v>
      </c>
      <c r="M27" s="109">
        <v>9.5030000000000001</v>
      </c>
      <c r="O27" s="324" t="str">
        <f>$O$3</f>
        <v>√</v>
      </c>
      <c r="AA27" s="274"/>
      <c r="AB27" s="274"/>
      <c r="AC27" s="274"/>
    </row>
    <row r="28" spans="1:29" x14ac:dyDescent="0.2">
      <c r="A28" s="68" t="s">
        <v>356</v>
      </c>
      <c r="B28" s="68"/>
      <c r="C28" s="181">
        <v>4.7229999999999999</v>
      </c>
      <c r="D28" s="181">
        <v>9.0380000000000003</v>
      </c>
      <c r="E28" s="181">
        <v>7.6950000000000003</v>
      </c>
      <c r="F28" s="181">
        <v>7.5410000000000004</v>
      </c>
      <c r="G28" s="181">
        <v>18.818000000000001</v>
      </c>
      <c r="H28" s="181">
        <v>10.018000000000001</v>
      </c>
      <c r="I28" s="109">
        <v>7.4790000000000001</v>
      </c>
      <c r="J28" s="109">
        <v>7.15</v>
      </c>
      <c r="K28" s="109">
        <v>7.7030000000000003</v>
      </c>
      <c r="L28" s="109">
        <v>7.9390000000000001</v>
      </c>
      <c r="M28" s="109">
        <v>8.4450000000000003</v>
      </c>
      <c r="O28" s="324" t="str">
        <f>$O$3</f>
        <v>√</v>
      </c>
      <c r="AA28" s="274"/>
      <c r="AB28" s="274"/>
      <c r="AC28" s="274"/>
    </row>
    <row r="29" spans="1:29" x14ac:dyDescent="0.2">
      <c r="A29" s="68" t="s">
        <v>357</v>
      </c>
      <c r="B29" s="68"/>
      <c r="C29" s="181">
        <v>1.2330000000000001</v>
      </c>
      <c r="D29" s="181">
        <v>1.4590000000000001</v>
      </c>
      <c r="E29" s="181">
        <v>1.4870000000000001</v>
      </c>
      <c r="F29" s="181">
        <v>1.373</v>
      </c>
      <c r="G29" s="181">
        <v>1.603</v>
      </c>
      <c r="H29" s="181">
        <v>1.5880000000000001</v>
      </c>
      <c r="I29" s="109">
        <v>1.5209999999999999</v>
      </c>
      <c r="J29" s="109">
        <v>1.411</v>
      </c>
      <c r="K29" s="109">
        <v>1.423</v>
      </c>
      <c r="L29" s="109">
        <v>1.3879999999999999</v>
      </c>
      <c r="M29" s="109">
        <v>1.3720000000000001</v>
      </c>
      <c r="O29" s="268" t="str">
        <f>$O$24</f>
        <v>Used in TC 'Other Expenses' total</v>
      </c>
      <c r="AA29" s="274"/>
      <c r="AB29" s="274"/>
      <c r="AC29" s="274"/>
    </row>
    <row r="30" spans="1:29" x14ac:dyDescent="0.2">
      <c r="A30" s="68" t="s">
        <v>358</v>
      </c>
      <c r="B30" s="68"/>
      <c r="C30" s="181">
        <v>1.722</v>
      </c>
      <c r="D30" s="181">
        <v>1.7909999999999999</v>
      </c>
      <c r="E30" s="181">
        <v>1.9810000000000001</v>
      </c>
      <c r="F30" s="181">
        <v>1.9330000000000001</v>
      </c>
      <c r="G30" s="181">
        <v>2.2120000000000002</v>
      </c>
      <c r="H30" s="181">
        <v>2.4460000000000002</v>
      </c>
      <c r="I30" s="109">
        <v>2.4769999999999999</v>
      </c>
      <c r="J30" s="109">
        <v>2.5550000000000002</v>
      </c>
      <c r="K30" s="109">
        <v>2.6240000000000001</v>
      </c>
      <c r="L30" s="109">
        <v>2.6829999999999998</v>
      </c>
      <c r="M30" s="109">
        <v>2.7530000000000001</v>
      </c>
      <c r="AA30" s="274"/>
      <c r="AB30" s="274"/>
      <c r="AC30" s="274"/>
    </row>
    <row r="31" spans="1:29" x14ac:dyDescent="0.2">
      <c r="A31" s="68" t="s">
        <v>1032</v>
      </c>
      <c r="B31" s="68"/>
      <c r="C31" s="181">
        <v>0.32100000000000001</v>
      </c>
      <c r="D31" s="181">
        <v>0.54600000000000004</v>
      </c>
      <c r="E31" s="181">
        <v>0.41599999999999998</v>
      </c>
      <c r="F31" s="181">
        <v>0.65100000000000002</v>
      </c>
      <c r="G31" s="181">
        <v>1.2250000000000001</v>
      </c>
      <c r="H31" s="181">
        <v>0.76900000000000002</v>
      </c>
      <c r="I31" s="109">
        <v>0.56100000000000005</v>
      </c>
      <c r="J31" s="109">
        <v>0.46200000000000002</v>
      </c>
      <c r="K31" s="109">
        <v>0.45300000000000001</v>
      </c>
      <c r="L31" s="109">
        <v>0.46899999999999997</v>
      </c>
      <c r="M31" s="109">
        <v>0.45900000000000002</v>
      </c>
      <c r="O31" s="324" t="str">
        <f>$O$3</f>
        <v>√</v>
      </c>
      <c r="AA31" s="274"/>
      <c r="AB31" s="274"/>
      <c r="AC31" s="274"/>
    </row>
    <row r="32" spans="1:29" x14ac:dyDescent="0.2">
      <c r="A32" s="68" t="s">
        <v>359</v>
      </c>
      <c r="B32" s="68"/>
      <c r="C32" s="181">
        <v>0.86499999999999999</v>
      </c>
      <c r="D32" s="181">
        <v>0.93799999999999994</v>
      </c>
      <c r="E32" s="181">
        <v>1.075</v>
      </c>
      <c r="F32" s="181">
        <v>1.087</v>
      </c>
      <c r="G32" s="181">
        <v>1.655</v>
      </c>
      <c r="H32" s="181">
        <v>0.627</v>
      </c>
      <c r="I32" s="109">
        <v>1.1679999999999999</v>
      </c>
      <c r="J32" s="109">
        <v>1.075</v>
      </c>
      <c r="K32" s="109">
        <v>1.097</v>
      </c>
      <c r="L32" s="109">
        <v>1.0620000000000001</v>
      </c>
      <c r="M32" s="109">
        <v>1.0549999999999999</v>
      </c>
      <c r="O32" s="268" t="str">
        <f>$O$24</f>
        <v>Used in TC 'Other Expenses' total</v>
      </c>
      <c r="AA32" s="274"/>
      <c r="AB32" s="274"/>
      <c r="AC32" s="274"/>
    </row>
    <row r="33" spans="1:29" x14ac:dyDescent="0.2">
      <c r="A33" s="68" t="s">
        <v>437</v>
      </c>
      <c r="B33" s="68"/>
      <c r="C33" s="181">
        <v>7.3999999999999996E-2</v>
      </c>
      <c r="D33" s="181">
        <v>0.25900000000000001</v>
      </c>
      <c r="E33" s="181">
        <v>0.11799999999999999</v>
      </c>
      <c r="F33" s="181">
        <v>0.08</v>
      </c>
      <c r="G33" s="181">
        <v>0.47899999999999998</v>
      </c>
      <c r="H33" s="181">
        <v>0.42499999999999999</v>
      </c>
      <c r="I33" s="109">
        <v>0.629</v>
      </c>
      <c r="J33" s="109">
        <v>0.54600000000000004</v>
      </c>
      <c r="K33" s="109">
        <v>0.54400000000000004</v>
      </c>
      <c r="L33" s="109">
        <v>0.54500000000000004</v>
      </c>
      <c r="M33" s="109">
        <v>0.54500000000000004</v>
      </c>
      <c r="O33" s="268" t="str">
        <f>$O$24</f>
        <v>Used in TC 'Other Expenses' total</v>
      </c>
      <c r="AA33" s="274"/>
      <c r="AB33" s="274"/>
      <c r="AC33" s="274"/>
    </row>
    <row r="34" spans="1:29" x14ac:dyDescent="0.2">
      <c r="A34" s="68" t="s">
        <v>153</v>
      </c>
      <c r="B34" s="68"/>
      <c r="C34" s="181">
        <v>2.8849999999999998</v>
      </c>
      <c r="D34" s="181">
        <v>3.101</v>
      </c>
      <c r="E34" s="181">
        <v>3.07</v>
      </c>
      <c r="F34" s="181">
        <v>2.7770000000000001</v>
      </c>
      <c r="G34" s="181">
        <v>3.5960000000000001</v>
      </c>
      <c r="H34" s="181">
        <v>4.29</v>
      </c>
      <c r="I34" s="109">
        <v>4.41</v>
      </c>
      <c r="J34" s="109">
        <v>4.6829999999999998</v>
      </c>
      <c r="K34" s="109">
        <v>5.2610000000000001</v>
      </c>
      <c r="L34" s="109">
        <v>5.3529999999999998</v>
      </c>
      <c r="M34" s="109">
        <v>5.7930000000000001</v>
      </c>
      <c r="O34" s="324" t="str">
        <f>$O$3</f>
        <v>√</v>
      </c>
      <c r="AA34" s="274"/>
      <c r="AB34" s="274"/>
      <c r="AC34" s="274"/>
    </row>
    <row r="35" spans="1:29" x14ac:dyDescent="0.2">
      <c r="A35" s="68" t="s">
        <v>380</v>
      </c>
      <c r="B35" s="68"/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09">
        <v>0.317</v>
      </c>
      <c r="J35" s="109">
        <v>0.97799999999999998</v>
      </c>
      <c r="K35" s="109">
        <v>2.1539999999999999</v>
      </c>
      <c r="L35" s="109">
        <v>3.3519999999999999</v>
      </c>
      <c r="M35" s="109">
        <v>4.5439999999999996</v>
      </c>
      <c r="O35" s="268" t="s">
        <v>617</v>
      </c>
      <c r="AA35" s="274"/>
      <c r="AB35" s="274"/>
      <c r="AC35" s="274"/>
    </row>
    <row r="36" spans="1:29" x14ac:dyDescent="0.2">
      <c r="A36" s="68" t="s">
        <v>281</v>
      </c>
      <c r="B36" s="68"/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09">
        <v>-1.1499999999999999</v>
      </c>
      <c r="J36" s="109">
        <v>-0.2</v>
      </c>
      <c r="K36" s="109">
        <v>-0.2</v>
      </c>
      <c r="L36" s="109">
        <v>-0.2</v>
      </c>
      <c r="M36" s="109">
        <v>-0.2</v>
      </c>
      <c r="O36" s="268" t="str">
        <f>$O$24</f>
        <v>Used in TC 'Other Expenses' total</v>
      </c>
      <c r="AA36" s="274"/>
      <c r="AB36" s="274"/>
      <c r="AC36" s="274"/>
    </row>
    <row r="37" spans="1:29" x14ac:dyDescent="0.2">
      <c r="A37" s="50" t="s">
        <v>285</v>
      </c>
      <c r="B37" s="50"/>
      <c r="C37" s="183">
        <f t="shared" ref="C37:M37" si="2">SUM(C$20:C$36)</f>
        <v>68.728999999999999</v>
      </c>
      <c r="D37" s="183">
        <f t="shared" si="2"/>
        <v>75.842000000000013</v>
      </c>
      <c r="E37" s="183">
        <f t="shared" si="2"/>
        <v>83.398999999999987</v>
      </c>
      <c r="F37" s="183">
        <f t="shared" si="2"/>
        <v>81.039999999999992</v>
      </c>
      <c r="G37" s="183">
        <f t="shared" si="2"/>
        <v>99.958999999999989</v>
      </c>
      <c r="H37" s="183">
        <f t="shared" si="2"/>
        <v>92.722999999999999</v>
      </c>
      <c r="I37" s="115">
        <f t="shared" si="2"/>
        <v>91.927000000000007</v>
      </c>
      <c r="J37" s="115">
        <f t="shared" si="2"/>
        <v>91.919000000000011</v>
      </c>
      <c r="K37" s="115">
        <f t="shared" si="2"/>
        <v>95.148999999999972</v>
      </c>
      <c r="L37" s="115">
        <f t="shared" si="2"/>
        <v>97.85299999999998</v>
      </c>
      <c r="M37" s="115">
        <f t="shared" si="2"/>
        <v>101.44700000000002</v>
      </c>
      <c r="AA37" s="274"/>
      <c r="AB37" s="274"/>
      <c r="AC37" s="274"/>
    </row>
    <row r="38" spans="1:29" x14ac:dyDescent="0.2">
      <c r="A38" s="50" t="s">
        <v>392</v>
      </c>
      <c r="B38" s="50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AA38" s="274"/>
      <c r="AB38" s="274"/>
      <c r="AC38" s="274"/>
    </row>
    <row r="39" spans="1:29" x14ac:dyDescent="0.2">
      <c r="A39" s="68" t="s">
        <v>334</v>
      </c>
      <c r="B39" s="68"/>
      <c r="C39" s="181">
        <v>16.768000000000001</v>
      </c>
      <c r="D39" s="181">
        <v>17.876999999999999</v>
      </c>
      <c r="E39" s="181">
        <v>19.382000000000001</v>
      </c>
      <c r="F39" s="181">
        <v>21.184999999999999</v>
      </c>
      <c r="G39" s="181">
        <v>22.004999999999999</v>
      </c>
      <c r="H39" s="181">
        <v>22.027999999999999</v>
      </c>
      <c r="I39" s="109">
        <v>22.878</v>
      </c>
      <c r="J39" s="109">
        <v>23.597999999999999</v>
      </c>
      <c r="K39" s="109">
        <v>24.113</v>
      </c>
      <c r="L39" s="109">
        <v>24.661000000000001</v>
      </c>
      <c r="M39" s="109">
        <v>25.399000000000001</v>
      </c>
      <c r="O39" s="324" t="str">
        <f t="shared" ref="O39:O49" si="3">$O$3</f>
        <v>√</v>
      </c>
      <c r="AA39" s="274"/>
      <c r="AB39" s="274"/>
      <c r="AC39" s="274"/>
    </row>
    <row r="40" spans="1:29" x14ac:dyDescent="0.2">
      <c r="A40" s="68" t="s">
        <v>335</v>
      </c>
      <c r="B40" s="68"/>
      <c r="C40" s="181">
        <v>0.64500000000000002</v>
      </c>
      <c r="D40" s="181">
        <v>0.69</v>
      </c>
      <c r="E40" s="181">
        <v>0.65500000000000003</v>
      </c>
      <c r="F40" s="181">
        <v>0.32800000000000001</v>
      </c>
      <c r="G40" s="181">
        <v>0.30499999999999999</v>
      </c>
      <c r="H40" s="181">
        <v>0.192</v>
      </c>
      <c r="I40" s="109">
        <v>0.27800000000000002</v>
      </c>
      <c r="J40" s="109">
        <v>0.25800000000000001</v>
      </c>
      <c r="K40" s="109">
        <v>0.28000000000000003</v>
      </c>
      <c r="L40" s="109">
        <v>0.315</v>
      </c>
      <c r="M40" s="109">
        <v>0.34899999999999998</v>
      </c>
      <c r="O40" s="324" t="str">
        <f t="shared" si="3"/>
        <v>√</v>
      </c>
      <c r="AA40" s="274"/>
      <c r="AB40" s="274"/>
      <c r="AC40" s="274"/>
    </row>
    <row r="41" spans="1:29" x14ac:dyDescent="0.2">
      <c r="A41" s="68" t="s">
        <v>435</v>
      </c>
      <c r="B41" s="68"/>
      <c r="C41" s="180">
        <v>10.355</v>
      </c>
      <c r="D41" s="180">
        <v>11.297000000000001</v>
      </c>
      <c r="E41" s="180">
        <v>12.368</v>
      </c>
      <c r="F41" s="180">
        <v>13.128</v>
      </c>
      <c r="G41" s="180">
        <v>13.753</v>
      </c>
      <c r="H41" s="180">
        <v>14.16</v>
      </c>
      <c r="I41" s="109">
        <v>14.741</v>
      </c>
      <c r="J41" s="109">
        <v>14.629</v>
      </c>
      <c r="K41" s="109">
        <v>14.596</v>
      </c>
      <c r="L41" s="109">
        <v>14.573</v>
      </c>
      <c r="M41" s="109">
        <v>14.542</v>
      </c>
      <c r="O41" s="324" t="str">
        <f t="shared" si="3"/>
        <v>√</v>
      </c>
      <c r="AA41" s="274"/>
      <c r="AB41" s="274"/>
      <c r="AC41" s="274"/>
    </row>
    <row r="42" spans="1:29" x14ac:dyDescent="0.2">
      <c r="A42" s="68" t="s">
        <v>533</v>
      </c>
      <c r="B42" s="68"/>
      <c r="C42" s="187">
        <v>9.2690000000000001</v>
      </c>
      <c r="D42" s="187">
        <v>9.5510000000000002</v>
      </c>
      <c r="E42" s="187">
        <v>11.455</v>
      </c>
      <c r="F42" s="187">
        <v>11.724</v>
      </c>
      <c r="G42" s="187">
        <v>11.65</v>
      </c>
      <c r="H42" s="187">
        <v>11.654</v>
      </c>
      <c r="I42" s="109">
        <v>12.4</v>
      </c>
      <c r="J42" s="109">
        <v>12.215</v>
      </c>
      <c r="K42" s="109">
        <v>12.304</v>
      </c>
      <c r="L42" s="109">
        <v>12.395</v>
      </c>
      <c r="M42" s="109">
        <v>12.442</v>
      </c>
      <c r="O42" s="324" t="str">
        <f t="shared" si="3"/>
        <v>√</v>
      </c>
      <c r="AA42" s="274"/>
      <c r="AB42" s="274"/>
      <c r="AC42" s="274"/>
    </row>
    <row r="43" spans="1:29" x14ac:dyDescent="0.2">
      <c r="A43" s="68" t="s">
        <v>360</v>
      </c>
      <c r="B43" s="68"/>
      <c r="C43" s="180">
        <v>4.8159999999999998</v>
      </c>
      <c r="D43" s="180">
        <v>3.371</v>
      </c>
      <c r="E43" s="180">
        <v>5.2930000000000001</v>
      </c>
      <c r="F43" s="180">
        <v>2.9740000000000002</v>
      </c>
      <c r="G43" s="180">
        <v>5.5629999999999997</v>
      </c>
      <c r="H43" s="180">
        <v>5.4279999999999999</v>
      </c>
      <c r="I43" s="109">
        <v>5.64</v>
      </c>
      <c r="J43" s="109">
        <v>4.3540000000000001</v>
      </c>
      <c r="K43" s="109">
        <v>4.2229999999999999</v>
      </c>
      <c r="L43" s="109">
        <v>4.266</v>
      </c>
      <c r="M43" s="109">
        <v>4.2089999999999996</v>
      </c>
      <c r="O43" s="324" t="str">
        <f t="shared" si="3"/>
        <v>√</v>
      </c>
      <c r="AA43" s="274"/>
      <c r="AB43" s="274"/>
      <c r="AC43" s="274"/>
    </row>
    <row r="44" spans="1:29" x14ac:dyDescent="0.2">
      <c r="A44" s="68" t="s">
        <v>361</v>
      </c>
      <c r="B44" s="68"/>
      <c r="C44" s="180">
        <v>2.6989999999999998</v>
      </c>
      <c r="D44" s="180">
        <v>2.8940000000000001</v>
      </c>
      <c r="E44" s="180">
        <v>3.089</v>
      </c>
      <c r="F44" s="180">
        <v>3.1909999999999998</v>
      </c>
      <c r="G44" s="180">
        <v>3.3820000000000001</v>
      </c>
      <c r="H44" s="180">
        <v>3.403</v>
      </c>
      <c r="I44" s="109">
        <v>3.6419999999999999</v>
      </c>
      <c r="J44" s="109">
        <v>3.468</v>
      </c>
      <c r="K44" s="109">
        <v>3.4369999999999998</v>
      </c>
      <c r="L44" s="109">
        <v>3.51</v>
      </c>
      <c r="M44" s="109">
        <v>3.488</v>
      </c>
      <c r="O44" s="324" t="str">
        <f t="shared" si="3"/>
        <v>√</v>
      </c>
      <c r="AA44" s="274"/>
      <c r="AB44" s="274"/>
      <c r="AC44" s="274"/>
    </row>
    <row r="45" spans="1:29" x14ac:dyDescent="0.2">
      <c r="A45" s="68" t="s">
        <v>436</v>
      </c>
      <c r="B45" s="68"/>
      <c r="C45" s="180">
        <v>1.5169999999999999</v>
      </c>
      <c r="D45" s="180">
        <v>1.5620000000000001</v>
      </c>
      <c r="E45" s="180">
        <v>1.7569999999999999</v>
      </c>
      <c r="F45" s="180">
        <v>1.8140000000000001</v>
      </c>
      <c r="G45" s="180">
        <v>1.8089999999999999</v>
      </c>
      <c r="H45" s="180">
        <v>1.736</v>
      </c>
      <c r="I45" s="109">
        <v>1.8640000000000001</v>
      </c>
      <c r="J45" s="109">
        <v>1.8280000000000001</v>
      </c>
      <c r="K45" s="109">
        <v>1.835</v>
      </c>
      <c r="L45" s="109">
        <v>1.879</v>
      </c>
      <c r="M45" s="109">
        <v>2.149</v>
      </c>
      <c r="O45" s="324" t="str">
        <f t="shared" si="3"/>
        <v>√</v>
      </c>
      <c r="AA45" s="274"/>
      <c r="AB45" s="274"/>
      <c r="AC45" s="274"/>
    </row>
    <row r="46" spans="1:29" x14ac:dyDescent="0.2">
      <c r="A46" s="68" t="s">
        <v>355</v>
      </c>
      <c r="B46" s="68"/>
      <c r="C46" s="180">
        <v>2.4049999999999998</v>
      </c>
      <c r="D46" s="180">
        <v>2.2440000000000002</v>
      </c>
      <c r="E46" s="180">
        <v>2.6629999999999998</v>
      </c>
      <c r="F46" s="180">
        <v>2.3450000000000002</v>
      </c>
      <c r="G46" s="180">
        <v>2.2810000000000001</v>
      </c>
      <c r="H46" s="180">
        <v>2.2320000000000002</v>
      </c>
      <c r="I46" s="109">
        <v>2.4350000000000001</v>
      </c>
      <c r="J46" s="109">
        <v>2.073</v>
      </c>
      <c r="K46" s="109">
        <v>2.2120000000000002</v>
      </c>
      <c r="L46" s="109">
        <v>2.145</v>
      </c>
      <c r="M46" s="109">
        <v>2.2170000000000001</v>
      </c>
      <c r="O46" s="324" t="str">
        <f t="shared" si="3"/>
        <v>√</v>
      </c>
      <c r="AA46" s="274"/>
      <c r="AB46" s="274"/>
      <c r="AC46" s="274"/>
    </row>
    <row r="47" spans="1:29" x14ac:dyDescent="0.2">
      <c r="A47" s="68" t="s">
        <v>356</v>
      </c>
      <c r="B47" s="68"/>
      <c r="C47" s="180">
        <v>1.595</v>
      </c>
      <c r="D47" s="187">
        <v>2.8889999999999998</v>
      </c>
      <c r="E47" s="187">
        <v>2.96</v>
      </c>
      <c r="F47" s="187">
        <v>2.839</v>
      </c>
      <c r="G47" s="187">
        <v>2.609</v>
      </c>
      <c r="H47" s="187">
        <v>2.157</v>
      </c>
      <c r="I47" s="109">
        <v>2.0819999999999999</v>
      </c>
      <c r="J47" s="109">
        <v>1.962</v>
      </c>
      <c r="K47" s="109">
        <v>1.895</v>
      </c>
      <c r="L47" s="109">
        <v>1.9239999999999999</v>
      </c>
      <c r="M47" s="109">
        <v>1.944</v>
      </c>
      <c r="O47" s="324" t="str">
        <f t="shared" si="3"/>
        <v>√</v>
      </c>
      <c r="AA47" s="274"/>
      <c r="AB47" s="274"/>
      <c r="AC47" s="274"/>
    </row>
    <row r="48" spans="1:29" x14ac:dyDescent="0.2">
      <c r="A48" s="68" t="s">
        <v>357</v>
      </c>
      <c r="B48" s="68"/>
      <c r="C48" s="180">
        <v>0.438</v>
      </c>
      <c r="D48" s="180">
        <v>0.54100000000000004</v>
      </c>
      <c r="E48" s="180">
        <v>0.53400000000000003</v>
      </c>
      <c r="F48" s="180">
        <v>0.50700000000000001</v>
      </c>
      <c r="G48" s="180">
        <v>0.70599999999999996</v>
      </c>
      <c r="H48" s="180">
        <v>0.64800000000000002</v>
      </c>
      <c r="I48" s="109">
        <v>0.84599999999999997</v>
      </c>
      <c r="J48" s="109">
        <v>0.72599999999999998</v>
      </c>
      <c r="K48" s="109">
        <v>0.71899999999999997</v>
      </c>
      <c r="L48" s="109">
        <v>0.68100000000000005</v>
      </c>
      <c r="M48" s="109">
        <v>0.65800000000000003</v>
      </c>
      <c r="O48" s="324" t="str">
        <f t="shared" si="3"/>
        <v>√</v>
      </c>
      <c r="AA48" s="274"/>
      <c r="AB48" s="274"/>
      <c r="AC48" s="274"/>
    </row>
    <row r="49" spans="1:29" x14ac:dyDescent="0.2">
      <c r="A49" s="68" t="s">
        <v>358</v>
      </c>
      <c r="B49" s="68"/>
      <c r="C49" s="180">
        <v>0.52300000000000002</v>
      </c>
      <c r="D49" s="181">
        <v>0.56100000000000005</v>
      </c>
      <c r="E49" s="181">
        <v>0.58599999999999997</v>
      </c>
      <c r="F49" s="181">
        <v>0.63</v>
      </c>
      <c r="G49" s="181">
        <v>0.74099999999999999</v>
      </c>
      <c r="H49" s="180">
        <v>0.86299999999999999</v>
      </c>
      <c r="I49" s="109">
        <v>0.875</v>
      </c>
      <c r="J49" s="109">
        <v>0.82099999999999995</v>
      </c>
      <c r="K49" s="109">
        <v>0.80400000000000005</v>
      </c>
      <c r="L49" s="109">
        <v>0.79600000000000004</v>
      </c>
      <c r="M49" s="109">
        <v>0.79600000000000004</v>
      </c>
      <c r="O49" s="324" t="str">
        <f t="shared" si="3"/>
        <v>√</v>
      </c>
      <c r="AA49" s="274"/>
      <c r="AB49" s="274"/>
      <c r="AC49" s="274"/>
    </row>
    <row r="50" spans="1:29" x14ac:dyDescent="0.2">
      <c r="A50" s="68" t="s">
        <v>1032</v>
      </c>
      <c r="B50" s="68"/>
      <c r="C50" s="181">
        <v>0.32100000000000001</v>
      </c>
      <c r="D50" s="181">
        <v>0.54600000000000004</v>
      </c>
      <c r="E50" s="181">
        <v>0.41599999999999998</v>
      </c>
      <c r="F50" s="181">
        <v>0.65100000000000002</v>
      </c>
      <c r="G50" s="181">
        <v>1.2250000000000001</v>
      </c>
      <c r="H50" s="181">
        <v>0.76900000000000002</v>
      </c>
      <c r="I50" s="109">
        <v>0.58499999999999996</v>
      </c>
      <c r="J50" s="109">
        <v>0.48599999999999999</v>
      </c>
      <c r="K50" s="109">
        <v>0.47699999999999998</v>
      </c>
      <c r="L50" s="109">
        <v>0.49199999999999999</v>
      </c>
      <c r="M50" s="109">
        <v>0.48299999999999998</v>
      </c>
      <c r="O50" s="324"/>
      <c r="AA50" s="274"/>
      <c r="AB50" s="274"/>
      <c r="AC50" s="274"/>
    </row>
    <row r="51" spans="1:29" x14ac:dyDescent="0.2">
      <c r="A51" s="68" t="s">
        <v>359</v>
      </c>
      <c r="B51" s="68"/>
      <c r="C51" s="180">
        <v>0.255</v>
      </c>
      <c r="D51" s="180">
        <v>0.26</v>
      </c>
      <c r="E51" s="180">
        <v>0.29699999999999999</v>
      </c>
      <c r="F51" s="180">
        <v>0.30599999999999999</v>
      </c>
      <c r="G51" s="180">
        <v>0.876</v>
      </c>
      <c r="H51" s="180">
        <v>-0.13</v>
      </c>
      <c r="I51" s="109">
        <v>0.35699999999999998</v>
      </c>
      <c r="J51" s="109">
        <v>0.28699999999999998</v>
      </c>
      <c r="K51" s="109">
        <v>0.28699999999999998</v>
      </c>
      <c r="L51" s="109">
        <v>0.23400000000000001</v>
      </c>
      <c r="M51" s="109">
        <v>0.2</v>
      </c>
      <c r="O51" s="268" t="s">
        <v>968</v>
      </c>
      <c r="AA51" s="274"/>
      <c r="AB51" s="274"/>
      <c r="AC51" s="274"/>
    </row>
    <row r="52" spans="1:29" x14ac:dyDescent="0.2">
      <c r="A52" s="68" t="s">
        <v>437</v>
      </c>
      <c r="B52" s="68"/>
      <c r="C52" s="180">
        <v>6.8000000000000005E-2</v>
      </c>
      <c r="D52" s="180">
        <v>0.254</v>
      </c>
      <c r="E52" s="180">
        <v>0.11799999999999999</v>
      </c>
      <c r="F52" s="180">
        <v>0.08</v>
      </c>
      <c r="G52" s="180">
        <v>0.47899999999999998</v>
      </c>
      <c r="H52" s="180">
        <v>0.42499999999999999</v>
      </c>
      <c r="I52" s="109">
        <v>0.629</v>
      </c>
      <c r="J52" s="109">
        <v>0.54600000000000004</v>
      </c>
      <c r="K52" s="109">
        <v>0.54400000000000004</v>
      </c>
      <c r="L52" s="109">
        <v>0.54500000000000004</v>
      </c>
      <c r="M52" s="109">
        <v>0.54500000000000004</v>
      </c>
      <c r="O52" s="268" t="str">
        <f>$O$51</f>
        <v>Used in 'CC Housing &amp; Community Development, Other &amp; Top-down expense adjustment' total</v>
      </c>
      <c r="AA52" s="274"/>
      <c r="AB52" s="274"/>
      <c r="AC52" s="274"/>
    </row>
    <row r="53" spans="1:29" x14ac:dyDescent="0.2">
      <c r="A53" s="68" t="s">
        <v>153</v>
      </c>
      <c r="B53" s="68"/>
      <c r="C53" s="180">
        <v>2.3290000000000002</v>
      </c>
      <c r="D53" s="180">
        <v>2.46</v>
      </c>
      <c r="E53" s="180">
        <v>2.4289999999999998</v>
      </c>
      <c r="F53" s="180">
        <v>2.3109999999999999</v>
      </c>
      <c r="G53" s="180">
        <v>3.0659999999999998</v>
      </c>
      <c r="H53" s="180">
        <v>3.5110000000000001</v>
      </c>
      <c r="I53" s="109">
        <v>3.5790000000000002</v>
      </c>
      <c r="J53" s="109">
        <v>3.7519999999999998</v>
      </c>
      <c r="K53" s="109">
        <v>3.972</v>
      </c>
      <c r="L53" s="109">
        <v>3.9889999999999999</v>
      </c>
      <c r="M53" s="109">
        <v>4.2789999999999999</v>
      </c>
      <c r="O53" s="324" t="str">
        <f>$O$3</f>
        <v>√</v>
      </c>
      <c r="AA53" s="274"/>
      <c r="AB53" s="274"/>
      <c r="AC53" s="274"/>
    </row>
    <row r="54" spans="1:29" x14ac:dyDescent="0.2">
      <c r="A54" s="68" t="s">
        <v>544</v>
      </c>
      <c r="B54" s="68"/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09">
        <v>0.317</v>
      </c>
      <c r="J54" s="109">
        <v>0.97799999999999998</v>
      </c>
      <c r="K54" s="109">
        <v>2.1539999999999999</v>
      </c>
      <c r="L54" s="109">
        <v>3.3519999999999999</v>
      </c>
      <c r="M54" s="109">
        <v>4.5439999999999996</v>
      </c>
      <c r="O54" s="324" t="str">
        <f>$O$3</f>
        <v>√</v>
      </c>
      <c r="AA54" s="274"/>
      <c r="AB54" s="274"/>
      <c r="AC54" s="274"/>
    </row>
    <row r="55" spans="1:29" x14ac:dyDescent="0.2">
      <c r="A55" s="68" t="s">
        <v>281</v>
      </c>
      <c r="B55" s="68"/>
      <c r="C55" s="180">
        <v>0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09">
        <v>-1.1499999999999999</v>
      </c>
      <c r="J55" s="109">
        <v>-0.2</v>
      </c>
      <c r="K55" s="109">
        <v>-0.2</v>
      </c>
      <c r="L55" s="109">
        <v>-0.2</v>
      </c>
      <c r="M55" s="109">
        <v>-0.2</v>
      </c>
      <c r="O55" s="268" t="str">
        <f>$O$51</f>
        <v>Used in 'CC Housing &amp; Community Development, Other &amp; Top-down expense adjustment' total</v>
      </c>
      <c r="AA55" s="274"/>
      <c r="AB55" s="274"/>
      <c r="AC55" s="274"/>
    </row>
    <row r="56" spans="1:29" x14ac:dyDescent="0.2">
      <c r="A56" s="50" t="s">
        <v>585</v>
      </c>
      <c r="B56" s="68"/>
      <c r="C56" s="183">
        <f t="shared" ref="C56:M56" si="4">SUM(C$39:C$55)</f>
        <v>54.003000000000007</v>
      </c>
      <c r="D56" s="183">
        <f t="shared" si="4"/>
        <v>56.996999999999993</v>
      </c>
      <c r="E56" s="183">
        <f t="shared" si="4"/>
        <v>64.001999999999981</v>
      </c>
      <c r="F56" s="183">
        <f t="shared" si="4"/>
        <v>64.013000000000005</v>
      </c>
      <c r="G56" s="183">
        <f t="shared" si="4"/>
        <v>70.45</v>
      </c>
      <c r="H56" s="183">
        <f t="shared" si="4"/>
        <v>69.075999999999993</v>
      </c>
      <c r="I56" s="115">
        <f t="shared" si="4"/>
        <v>71.997999999999976</v>
      </c>
      <c r="J56" s="115">
        <f t="shared" si="4"/>
        <v>71.781000000000006</v>
      </c>
      <c r="K56" s="115">
        <f t="shared" si="4"/>
        <v>73.652000000000001</v>
      </c>
      <c r="L56" s="115">
        <f t="shared" si="4"/>
        <v>75.557000000000016</v>
      </c>
      <c r="M56" s="115">
        <f t="shared" si="4"/>
        <v>78.044000000000011</v>
      </c>
      <c r="AA56" s="274"/>
      <c r="AB56" s="274"/>
      <c r="AC56" s="274"/>
    </row>
    <row r="57" spans="1:29" ht="15.75" x14ac:dyDescent="0.25">
      <c r="A57" s="51" t="s">
        <v>586</v>
      </c>
      <c r="B57" s="51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AA57" s="274"/>
      <c r="AB57" s="274"/>
      <c r="AC57" s="274"/>
    </row>
    <row r="58" spans="1:29" x14ac:dyDescent="0.2">
      <c r="A58" s="68" t="s">
        <v>293</v>
      </c>
      <c r="B58" s="68"/>
      <c r="C58" s="180">
        <v>4.1630000000000003</v>
      </c>
      <c r="D58" s="180">
        <v>3.8039999999999998</v>
      </c>
      <c r="E58" s="180">
        <v>6.2679999999999998</v>
      </c>
      <c r="F58" s="180">
        <v>7.774</v>
      </c>
      <c r="G58" s="180">
        <v>9.8010000000000002</v>
      </c>
      <c r="H58" s="180">
        <v>10.686</v>
      </c>
      <c r="I58" s="109">
        <v>13.952</v>
      </c>
      <c r="J58" s="109">
        <v>13.366</v>
      </c>
      <c r="K58" s="109">
        <v>12.933999999999999</v>
      </c>
      <c r="L58" s="109">
        <v>12.772</v>
      </c>
      <c r="M58" s="109">
        <v>12.477</v>
      </c>
      <c r="O58" s="324" t="str">
        <f>$O$3</f>
        <v>√</v>
      </c>
      <c r="AA58" s="274"/>
      <c r="AB58" s="274"/>
      <c r="AC58" s="274"/>
    </row>
    <row r="59" spans="1:29" x14ac:dyDescent="0.2">
      <c r="A59" s="68" t="s">
        <v>341</v>
      </c>
      <c r="B59" s="68"/>
      <c r="C59" s="180">
        <v>12.058</v>
      </c>
      <c r="D59" s="180">
        <v>14.157999999999999</v>
      </c>
      <c r="E59" s="180">
        <v>14.619</v>
      </c>
      <c r="F59" s="180">
        <v>13.884</v>
      </c>
      <c r="G59" s="180">
        <v>21.69</v>
      </c>
      <c r="H59" s="180">
        <v>20.956</v>
      </c>
      <c r="I59" s="109">
        <v>17.626999999999999</v>
      </c>
      <c r="J59" s="109">
        <v>15.994</v>
      </c>
      <c r="K59" s="109">
        <v>15.372</v>
      </c>
      <c r="L59" s="109">
        <v>15.052</v>
      </c>
      <c r="M59" s="109">
        <v>15.146000000000001</v>
      </c>
      <c r="O59" s="324" t="str">
        <f>$O$3</f>
        <v>√</v>
      </c>
      <c r="AA59" s="274"/>
      <c r="AB59" s="274"/>
      <c r="AC59" s="274"/>
    </row>
    <row r="60" spans="1:29" x14ac:dyDescent="0.2">
      <c r="A60" s="68" t="s">
        <v>294</v>
      </c>
      <c r="B60" s="68"/>
      <c r="C60" s="180">
        <v>32.125</v>
      </c>
      <c r="D60" s="180">
        <v>41.189</v>
      </c>
      <c r="E60" s="180">
        <v>45.707999999999998</v>
      </c>
      <c r="F60" s="180">
        <v>43.686999999999998</v>
      </c>
      <c r="G60" s="180">
        <v>49.055999999999997</v>
      </c>
      <c r="H60" s="180">
        <v>48.384999999999998</v>
      </c>
      <c r="I60" s="109">
        <v>39.399000000000001</v>
      </c>
      <c r="J60" s="109">
        <v>42.972000000000001</v>
      </c>
      <c r="K60" s="109">
        <v>38.753</v>
      </c>
      <c r="L60" s="109">
        <v>41.813000000000002</v>
      </c>
      <c r="M60" s="109">
        <v>47.307000000000002</v>
      </c>
      <c r="O60" s="378" t="s">
        <v>704</v>
      </c>
      <c r="AA60" s="274"/>
      <c r="AB60" s="274"/>
      <c r="AC60" s="274"/>
    </row>
    <row r="61" spans="1:29" x14ac:dyDescent="0.2">
      <c r="A61" s="68" t="s">
        <v>295</v>
      </c>
      <c r="B61" s="68"/>
      <c r="C61" s="180">
        <v>13.581</v>
      </c>
      <c r="D61" s="180">
        <v>12.964</v>
      </c>
      <c r="E61" s="180">
        <v>11.16</v>
      </c>
      <c r="F61" s="180">
        <v>12.179</v>
      </c>
      <c r="G61" s="180">
        <v>14.247999999999999</v>
      </c>
      <c r="H61" s="180">
        <v>14.385</v>
      </c>
      <c r="I61" s="109">
        <v>16.302</v>
      </c>
      <c r="J61" s="109">
        <v>17.995000000000001</v>
      </c>
      <c r="K61" s="109">
        <v>19.802</v>
      </c>
      <c r="L61" s="109">
        <v>21.757000000000001</v>
      </c>
      <c r="M61" s="109">
        <v>23.855</v>
      </c>
      <c r="O61" s="268" t="str">
        <f>$O$60</f>
        <v>Used in TC 'Marketable securities, derivatives in gain and share investments' total</v>
      </c>
      <c r="AA61" s="274"/>
      <c r="AB61" s="274"/>
      <c r="AC61" s="274"/>
    </row>
    <row r="62" spans="1:29" x14ac:dyDescent="0.2">
      <c r="A62" s="68" t="s">
        <v>340</v>
      </c>
      <c r="B62" s="68"/>
      <c r="C62" s="180">
        <v>11.792999999999999</v>
      </c>
      <c r="D62" s="180">
        <v>12.948</v>
      </c>
      <c r="E62" s="180">
        <v>15.603999999999999</v>
      </c>
      <c r="F62" s="180">
        <v>18.446999999999999</v>
      </c>
      <c r="G62" s="180">
        <v>20.567</v>
      </c>
      <c r="H62" s="180">
        <v>21.765999999999998</v>
      </c>
      <c r="I62" s="109">
        <v>23.398</v>
      </c>
      <c r="J62" s="109">
        <v>25.295000000000002</v>
      </c>
      <c r="K62" s="109">
        <v>27.606999999999999</v>
      </c>
      <c r="L62" s="109">
        <v>30.632999999999999</v>
      </c>
      <c r="M62" s="109">
        <v>34.136000000000003</v>
      </c>
      <c r="O62" s="324" t="str">
        <f>$O$3</f>
        <v>√</v>
      </c>
      <c r="AA62" s="274"/>
      <c r="AB62" s="274"/>
      <c r="AC62" s="274"/>
    </row>
    <row r="63" spans="1:29" x14ac:dyDescent="0.2">
      <c r="A63" s="68" t="s">
        <v>296</v>
      </c>
      <c r="B63" s="68"/>
      <c r="C63" s="180">
        <v>0.82599999999999996</v>
      </c>
      <c r="D63" s="180">
        <v>0.96399999999999997</v>
      </c>
      <c r="E63" s="180">
        <v>1.0820000000000001</v>
      </c>
      <c r="F63" s="180">
        <v>1.1599999999999999</v>
      </c>
      <c r="G63" s="180">
        <v>1.3080000000000001</v>
      </c>
      <c r="H63" s="180">
        <v>1.234</v>
      </c>
      <c r="I63" s="109">
        <v>1.139</v>
      </c>
      <c r="J63" s="109">
        <v>1.1850000000000001</v>
      </c>
      <c r="K63" s="109">
        <v>1.2350000000000001</v>
      </c>
      <c r="L63" s="109">
        <v>1.2669999999999999</v>
      </c>
      <c r="M63" s="109">
        <v>1.2689999999999999</v>
      </c>
      <c r="O63" s="378" t="s">
        <v>705</v>
      </c>
      <c r="AA63" s="274"/>
      <c r="AB63" s="274"/>
      <c r="AC63" s="274"/>
    </row>
    <row r="64" spans="1:29" x14ac:dyDescent="0.2">
      <c r="A64" s="68" t="s">
        <v>297</v>
      </c>
      <c r="B64" s="68"/>
      <c r="C64" s="180">
        <v>1.5269999999999999</v>
      </c>
      <c r="D64" s="180">
        <v>1.663</v>
      </c>
      <c r="E64" s="180">
        <v>1.63</v>
      </c>
      <c r="F64" s="180">
        <v>1.661</v>
      </c>
      <c r="G64" s="180">
        <v>1.996</v>
      </c>
      <c r="H64" s="180">
        <v>2.1339999999999999</v>
      </c>
      <c r="I64" s="109">
        <v>1.972</v>
      </c>
      <c r="J64" s="109">
        <v>2.08</v>
      </c>
      <c r="K64" s="109">
        <v>1.8180000000000001</v>
      </c>
      <c r="L64" s="109">
        <v>1.819</v>
      </c>
      <c r="M64" s="109">
        <v>1.8240000000000001</v>
      </c>
      <c r="O64" s="268" t="str">
        <f>$O$63</f>
        <v>Used in TC 'Non-financial assets excluding property, plant and equipment' total</v>
      </c>
      <c r="AA64" s="274"/>
      <c r="AB64" s="274"/>
      <c r="AC64" s="274"/>
    </row>
    <row r="65" spans="1:29" x14ac:dyDescent="0.2">
      <c r="A65" s="68" t="s">
        <v>382</v>
      </c>
      <c r="B65" s="68"/>
      <c r="C65" s="180">
        <v>95.597999999999999</v>
      </c>
      <c r="D65" s="180">
        <v>103.32899999999999</v>
      </c>
      <c r="E65" s="180">
        <v>110.13500000000001</v>
      </c>
      <c r="F65" s="180">
        <v>113.33</v>
      </c>
      <c r="G65" s="180">
        <v>114.854</v>
      </c>
      <c r="H65" s="180">
        <v>108.584</v>
      </c>
      <c r="I65" s="109">
        <v>111.71899999999999</v>
      </c>
      <c r="J65" s="109">
        <v>114.69199999999999</v>
      </c>
      <c r="K65" s="109">
        <v>116.643</v>
      </c>
      <c r="L65" s="109">
        <v>118.5</v>
      </c>
      <c r="M65" s="109">
        <v>120.474</v>
      </c>
      <c r="O65" s="324" t="str">
        <f>$O$3</f>
        <v>√</v>
      </c>
      <c r="AA65" s="274"/>
      <c r="AB65" s="274"/>
      <c r="AC65" s="274"/>
    </row>
    <row r="66" spans="1:29" x14ac:dyDescent="0.2">
      <c r="A66" s="68" t="s">
        <v>298</v>
      </c>
      <c r="B66" s="68"/>
      <c r="C66" s="180">
        <v>7.0010000000000003</v>
      </c>
      <c r="D66" s="180">
        <v>8.0649999999999995</v>
      </c>
      <c r="E66" s="180">
        <v>8.7769999999999992</v>
      </c>
      <c r="F66" s="180">
        <v>9.0489999999999995</v>
      </c>
      <c r="G66" s="180">
        <v>9.3010000000000002</v>
      </c>
      <c r="H66" s="180">
        <v>9.4830000000000005</v>
      </c>
      <c r="I66" s="109">
        <v>9.8249999999999993</v>
      </c>
      <c r="J66" s="109">
        <v>9.9819999999999993</v>
      </c>
      <c r="K66" s="109">
        <v>10.122</v>
      </c>
      <c r="L66" s="109">
        <v>10.247999999999999</v>
      </c>
      <c r="M66" s="109">
        <v>10.374000000000001</v>
      </c>
      <c r="O66" s="268" t="str">
        <f>$O$63</f>
        <v>Used in TC 'Non-financial assets excluding property, plant and equipment' total</v>
      </c>
      <c r="AA66" s="274"/>
      <c r="AB66" s="274"/>
      <c r="AC66" s="274"/>
    </row>
    <row r="67" spans="1:29" x14ac:dyDescent="0.2">
      <c r="A67" s="68" t="s">
        <v>300</v>
      </c>
      <c r="B67" s="68"/>
      <c r="C67" s="180">
        <v>1.677</v>
      </c>
      <c r="D67" s="180">
        <v>1.7509999999999999</v>
      </c>
      <c r="E67" s="180">
        <v>2.1680000000000001</v>
      </c>
      <c r="F67" s="180">
        <v>2.1840000000000002</v>
      </c>
      <c r="G67" s="180">
        <v>2.3940000000000001</v>
      </c>
      <c r="H67" s="180">
        <v>2.7050000000000001</v>
      </c>
      <c r="I67" s="109">
        <v>2.7080000000000002</v>
      </c>
      <c r="J67" s="109">
        <v>2.7949999999999999</v>
      </c>
      <c r="K67" s="109">
        <v>2.774</v>
      </c>
      <c r="L67" s="109">
        <v>2.7229999999999999</v>
      </c>
      <c r="M67" s="109">
        <v>2.64</v>
      </c>
      <c r="O67" s="268" t="str">
        <f>$O$63</f>
        <v>Used in TC 'Non-financial assets excluding property, plant and equipment' total</v>
      </c>
      <c r="AA67" s="274"/>
      <c r="AB67" s="274"/>
      <c r="AC67" s="274"/>
    </row>
    <row r="68" spans="1:29" x14ac:dyDescent="0.2">
      <c r="A68" s="68" t="s">
        <v>383</v>
      </c>
      <c r="B68" s="68"/>
      <c r="C68" s="180">
        <v>0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  <c r="I68" s="109">
        <v>0.17899999999999999</v>
      </c>
      <c r="J68" s="109">
        <v>0.90500000000000003</v>
      </c>
      <c r="K68" s="109">
        <v>1.726</v>
      </c>
      <c r="L68" s="109">
        <v>2.5259999999999998</v>
      </c>
      <c r="M68" s="109">
        <v>3.4359999999999999</v>
      </c>
      <c r="O68" s="378" t="s">
        <v>969</v>
      </c>
      <c r="AA68" s="274"/>
      <c r="AB68" s="274"/>
      <c r="AC68" s="274"/>
    </row>
    <row r="69" spans="1:29" x14ac:dyDescent="0.2">
      <c r="A69" s="68" t="s">
        <v>299</v>
      </c>
      <c r="B69" s="68"/>
      <c r="C69" s="180">
        <v>0</v>
      </c>
      <c r="D69" s="180">
        <v>0</v>
      </c>
      <c r="E69" s="180">
        <v>0</v>
      </c>
      <c r="F69" s="180">
        <v>0</v>
      </c>
      <c r="G69" s="180">
        <v>0</v>
      </c>
      <c r="H69" s="180">
        <v>0</v>
      </c>
      <c r="I69" s="109">
        <v>-0.4</v>
      </c>
      <c r="J69" s="109">
        <v>-0.5</v>
      </c>
      <c r="K69" s="109">
        <v>-0.6</v>
      </c>
      <c r="L69" s="109">
        <v>-0.65</v>
      </c>
      <c r="M69" s="109">
        <v>-0.7</v>
      </c>
      <c r="O69" s="268" t="str">
        <f>$O$63</f>
        <v>Used in TC 'Non-financial assets excluding property, plant and equipment' total</v>
      </c>
      <c r="AA69" s="274"/>
      <c r="AB69" s="274"/>
      <c r="AC69" s="274"/>
    </row>
    <row r="70" spans="1:29" x14ac:dyDescent="0.2">
      <c r="A70" s="50" t="s">
        <v>384</v>
      </c>
      <c r="B70" s="50"/>
      <c r="C70" s="183">
        <f t="shared" ref="C70:M70" si="5">SUM(C$58:C$69)</f>
        <v>180.34899999999999</v>
      </c>
      <c r="D70" s="183">
        <f t="shared" si="5"/>
        <v>200.83499999999998</v>
      </c>
      <c r="E70" s="183">
        <f t="shared" si="5"/>
        <v>217.15099999999998</v>
      </c>
      <c r="F70" s="183">
        <f t="shared" si="5"/>
        <v>223.35500000000002</v>
      </c>
      <c r="G70" s="183">
        <f t="shared" si="5"/>
        <v>245.21499999999997</v>
      </c>
      <c r="H70" s="183">
        <f t="shared" si="5"/>
        <v>240.31800000000001</v>
      </c>
      <c r="I70" s="115">
        <f t="shared" si="5"/>
        <v>237.81999999999996</v>
      </c>
      <c r="J70" s="115">
        <f t="shared" si="5"/>
        <v>246.761</v>
      </c>
      <c r="K70" s="115">
        <f t="shared" si="5"/>
        <v>248.18600000000001</v>
      </c>
      <c r="L70" s="115">
        <f t="shared" si="5"/>
        <v>258.46000000000004</v>
      </c>
      <c r="M70" s="115">
        <f t="shared" si="5"/>
        <v>272.23800000000006</v>
      </c>
      <c r="AA70" s="274"/>
      <c r="AB70" s="274"/>
      <c r="AC70" s="274"/>
    </row>
    <row r="71" spans="1:29" x14ac:dyDescent="0.2">
      <c r="A71" s="68" t="s">
        <v>288</v>
      </c>
      <c r="B71" s="68"/>
      <c r="C71" s="180">
        <v>3.444</v>
      </c>
      <c r="D71" s="180">
        <v>3.53</v>
      </c>
      <c r="E71" s="180">
        <v>4.0049999999999999</v>
      </c>
      <c r="F71" s="180">
        <v>4.0199999999999996</v>
      </c>
      <c r="G71" s="180">
        <v>4.2539999999999996</v>
      </c>
      <c r="H71" s="180">
        <v>4.4569999999999999</v>
      </c>
      <c r="I71" s="109">
        <v>4.617</v>
      </c>
      <c r="J71" s="109">
        <v>4.8479999999999999</v>
      </c>
      <c r="K71" s="109">
        <v>5.09</v>
      </c>
      <c r="L71" s="109">
        <v>5.3449999999999998</v>
      </c>
      <c r="M71" s="109">
        <v>5.6120000000000001</v>
      </c>
      <c r="O71" s="378" t="s">
        <v>706</v>
      </c>
      <c r="AA71" s="274"/>
      <c r="AB71" s="274"/>
      <c r="AC71" s="274"/>
    </row>
    <row r="72" spans="1:29" x14ac:dyDescent="0.2">
      <c r="A72" s="68" t="s">
        <v>289</v>
      </c>
      <c r="B72" s="68"/>
      <c r="C72" s="180">
        <v>8.0749999999999993</v>
      </c>
      <c r="D72" s="180">
        <v>10.895</v>
      </c>
      <c r="E72" s="180">
        <v>9.1389999999999993</v>
      </c>
      <c r="F72" s="180">
        <v>9.9309999999999992</v>
      </c>
      <c r="G72" s="180">
        <v>11.099</v>
      </c>
      <c r="H72" s="180">
        <v>11.603999999999999</v>
      </c>
      <c r="I72" s="109">
        <v>12.423</v>
      </c>
      <c r="J72" s="109">
        <v>11.704000000000001</v>
      </c>
      <c r="K72" s="109">
        <v>11.763</v>
      </c>
      <c r="L72" s="109">
        <v>11.946999999999999</v>
      </c>
      <c r="M72" s="109">
        <v>12.298</v>
      </c>
      <c r="O72" s="268" t="str">
        <f>$O$71</f>
        <v>Used in TC 'Other Non-Core Crown non-debt liabilities' total</v>
      </c>
      <c r="AA72" s="274"/>
      <c r="AB72" s="274"/>
      <c r="AC72" s="274"/>
    </row>
    <row r="73" spans="1:29" x14ac:dyDescent="0.2">
      <c r="A73" s="68" t="s">
        <v>292</v>
      </c>
      <c r="B73" s="68"/>
      <c r="C73" s="180">
        <v>0.96599999999999997</v>
      </c>
      <c r="D73" s="180">
        <v>1.292</v>
      </c>
      <c r="E73" s="180">
        <v>1.4259999999999999</v>
      </c>
      <c r="F73" s="180">
        <v>1.6279999999999999</v>
      </c>
      <c r="G73" s="180">
        <v>1.6739999999999999</v>
      </c>
      <c r="H73" s="180">
        <v>1.712</v>
      </c>
      <c r="I73" s="109">
        <v>1.548</v>
      </c>
      <c r="J73" s="109">
        <v>1.548</v>
      </c>
      <c r="K73" s="109">
        <v>1.5820000000000001</v>
      </c>
      <c r="L73" s="109">
        <v>1.627</v>
      </c>
      <c r="M73" s="109">
        <v>1.663</v>
      </c>
      <c r="O73" s="268" t="str">
        <f>$O$71</f>
        <v>Used in TC 'Other Non-Core Crown non-debt liabilities' total</v>
      </c>
      <c r="AA73" s="274"/>
      <c r="AB73" s="274"/>
      <c r="AC73" s="274"/>
    </row>
    <row r="74" spans="1:29" x14ac:dyDescent="0.2">
      <c r="A74" s="68" t="s">
        <v>545</v>
      </c>
      <c r="B74" s="68"/>
      <c r="C74" s="180">
        <v>41.898000000000003</v>
      </c>
      <c r="D74" s="180">
        <v>46.11</v>
      </c>
      <c r="E74" s="180">
        <v>61.953000000000003</v>
      </c>
      <c r="F74" s="180">
        <v>69.733000000000004</v>
      </c>
      <c r="G74" s="180">
        <v>90.245000000000005</v>
      </c>
      <c r="H74" s="180">
        <v>100.53400000000001</v>
      </c>
      <c r="I74" s="109">
        <v>102.749</v>
      </c>
      <c r="J74" s="109">
        <v>113.669</v>
      </c>
      <c r="K74" s="109">
        <v>112.494</v>
      </c>
      <c r="L74" s="109">
        <v>117.733</v>
      </c>
      <c r="M74" s="109">
        <v>125.419</v>
      </c>
      <c r="O74" s="378" t="s">
        <v>707</v>
      </c>
      <c r="AA74" s="274"/>
      <c r="AB74" s="274"/>
      <c r="AC74" s="274"/>
    </row>
    <row r="75" spans="1:29" x14ac:dyDescent="0.2">
      <c r="A75" s="68" t="s">
        <v>290</v>
      </c>
      <c r="B75" s="68"/>
      <c r="C75" s="180">
        <v>17.417999999999999</v>
      </c>
      <c r="D75" s="180">
        <v>20.484000000000002</v>
      </c>
      <c r="E75" s="180">
        <v>26.567</v>
      </c>
      <c r="F75" s="180">
        <v>27.131</v>
      </c>
      <c r="G75" s="180">
        <v>39.314</v>
      </c>
      <c r="H75" s="180">
        <v>41.186</v>
      </c>
      <c r="I75" s="109">
        <v>38.159999999999997</v>
      </c>
      <c r="J75" s="109">
        <v>36.237000000000002</v>
      </c>
      <c r="K75" s="109">
        <v>35.543999999999997</v>
      </c>
      <c r="L75" s="109">
        <v>35.648000000000003</v>
      </c>
      <c r="M75" s="109">
        <v>37.159999999999997</v>
      </c>
      <c r="O75" s="268" t="str">
        <f>$O$71</f>
        <v>Used in TC 'Other Non-Core Crown non-debt liabilities' total</v>
      </c>
      <c r="AA75" s="274"/>
      <c r="AB75" s="274"/>
      <c r="AC75" s="274"/>
    </row>
    <row r="76" spans="1:29" x14ac:dyDescent="0.2">
      <c r="A76" s="68" t="s">
        <v>546</v>
      </c>
      <c r="B76" s="68"/>
      <c r="C76" s="180">
        <v>7.1609999999999996</v>
      </c>
      <c r="D76" s="180">
        <v>8.2569999999999997</v>
      </c>
      <c r="E76" s="180">
        <v>8.9930000000000003</v>
      </c>
      <c r="F76" s="180">
        <v>9.94</v>
      </c>
      <c r="G76" s="180">
        <v>10.156000000000001</v>
      </c>
      <c r="H76" s="180">
        <v>13.539</v>
      </c>
      <c r="I76" s="109">
        <v>12.96</v>
      </c>
      <c r="J76" s="109">
        <v>12.484999999999999</v>
      </c>
      <c r="K76" s="109">
        <v>12.019</v>
      </c>
      <c r="L76" s="109">
        <v>11.571999999999999</v>
      </c>
      <c r="M76" s="109">
        <v>11.146000000000001</v>
      </c>
      <c r="O76" s="378" t="s">
        <v>725</v>
      </c>
      <c r="AA76" s="274"/>
      <c r="AB76" s="274"/>
      <c r="AC76" s="274"/>
    </row>
    <row r="77" spans="1:29" x14ac:dyDescent="0.2">
      <c r="A77" s="68" t="s">
        <v>291</v>
      </c>
      <c r="B77" s="68"/>
      <c r="C77" s="188">
        <v>4.5599999999999996</v>
      </c>
      <c r="D77" s="180">
        <v>4.7530000000000001</v>
      </c>
      <c r="E77" s="180">
        <v>5.5529999999999999</v>
      </c>
      <c r="F77" s="180">
        <v>5.984</v>
      </c>
      <c r="G77" s="180">
        <v>7.5860000000000003</v>
      </c>
      <c r="H77" s="180">
        <v>7.5060000000000002</v>
      </c>
      <c r="I77" s="109">
        <v>7.3010000000000002</v>
      </c>
      <c r="J77" s="109">
        <v>6.5529999999999999</v>
      </c>
      <c r="K77" s="109">
        <v>6.2720000000000002</v>
      </c>
      <c r="L77" s="109">
        <v>5.9379999999999997</v>
      </c>
      <c r="M77" s="109">
        <v>5.6829999999999998</v>
      </c>
      <c r="O77" s="268" t="str">
        <f>$O$71</f>
        <v>Used in TC 'Other Non-Core Crown non-debt liabilities' total</v>
      </c>
      <c r="AA77" s="274"/>
      <c r="AB77" s="274"/>
      <c r="AC77" s="274"/>
    </row>
    <row r="78" spans="1:29" x14ac:dyDescent="0.2">
      <c r="A78" s="50" t="s">
        <v>385</v>
      </c>
      <c r="B78" s="50"/>
      <c r="C78" s="183">
        <f t="shared" ref="C78:M78" si="6">SUM(C$71:C$77)</f>
        <v>83.522000000000006</v>
      </c>
      <c r="D78" s="183">
        <f t="shared" si="6"/>
        <v>95.321000000000012</v>
      </c>
      <c r="E78" s="183">
        <f t="shared" si="6"/>
        <v>117.636</v>
      </c>
      <c r="F78" s="183">
        <f t="shared" si="6"/>
        <v>128.36699999999999</v>
      </c>
      <c r="G78" s="183">
        <f t="shared" si="6"/>
        <v>164.32800000000003</v>
      </c>
      <c r="H78" s="183">
        <f t="shared" si="6"/>
        <v>180.53799999999998</v>
      </c>
      <c r="I78" s="115">
        <f t="shared" si="6"/>
        <v>179.75799999999998</v>
      </c>
      <c r="J78" s="115">
        <f t="shared" si="6"/>
        <v>187.04399999999998</v>
      </c>
      <c r="K78" s="115">
        <f t="shared" si="6"/>
        <v>184.76400000000001</v>
      </c>
      <c r="L78" s="115">
        <f t="shared" si="6"/>
        <v>189.80999999999997</v>
      </c>
      <c r="M78" s="115">
        <f t="shared" si="6"/>
        <v>198.98099999999999</v>
      </c>
      <c r="AA78" s="274"/>
      <c r="AB78" s="274"/>
      <c r="AC78" s="274"/>
    </row>
    <row r="79" spans="1:29" x14ac:dyDescent="0.2">
      <c r="A79" s="50" t="s">
        <v>301</v>
      </c>
      <c r="B79" s="50"/>
      <c r="C79" s="189">
        <v>96.826999999999984</v>
      </c>
      <c r="D79" s="189">
        <v>105.514</v>
      </c>
      <c r="E79" s="189">
        <v>99.515000000000001</v>
      </c>
      <c r="F79" s="189">
        <v>94.988</v>
      </c>
      <c r="G79" s="189">
        <v>80.887</v>
      </c>
      <c r="H79" s="189">
        <v>59.78</v>
      </c>
      <c r="I79" s="212">
        <v>58.061999999999998</v>
      </c>
      <c r="J79" s="212">
        <v>59.716999999999999</v>
      </c>
      <c r="K79" s="212">
        <v>63.421999999999997</v>
      </c>
      <c r="L79" s="212">
        <v>68.650000000000006</v>
      </c>
      <c r="M79" s="212">
        <v>73.257000000000005</v>
      </c>
      <c r="O79" s="378" t="s">
        <v>708</v>
      </c>
      <c r="AA79" s="274"/>
      <c r="AB79" s="274"/>
      <c r="AC79" s="274"/>
    </row>
    <row r="80" spans="1:29" ht="13.5" x14ac:dyDescent="0.25">
      <c r="A80" s="228" t="s">
        <v>587</v>
      </c>
      <c r="B80" s="169"/>
      <c r="C80" s="226" t="str">
        <f>IF(ROUND(C$79-(SUM(C$58:C$69)-SUM(C$71:C$77)),3)=0,"OK","ERROR")</f>
        <v>OK</v>
      </c>
      <c r="D80" s="226" t="str">
        <f t="shared" ref="D80:M80" si="7">IF(ROUND(D$79-(SUM(D$58:D$69)-SUM(D$71:D$77)),3)=0,"OK","ERROR")</f>
        <v>OK</v>
      </c>
      <c r="E80" s="226" t="str">
        <f t="shared" si="7"/>
        <v>OK</v>
      </c>
      <c r="F80" s="226" t="str">
        <f t="shared" si="7"/>
        <v>OK</v>
      </c>
      <c r="G80" s="226" t="str">
        <f t="shared" si="7"/>
        <v>OK</v>
      </c>
      <c r="H80" s="226" t="str">
        <f t="shared" si="7"/>
        <v>OK</v>
      </c>
      <c r="I80" s="227" t="str">
        <f t="shared" si="7"/>
        <v>OK</v>
      </c>
      <c r="J80" s="227" t="str">
        <f t="shared" si="7"/>
        <v>OK</v>
      </c>
      <c r="K80" s="227" t="str">
        <f t="shared" si="7"/>
        <v>OK</v>
      </c>
      <c r="L80" s="227" t="str">
        <f t="shared" si="7"/>
        <v>OK</v>
      </c>
      <c r="M80" s="227" t="str">
        <f t="shared" si="7"/>
        <v>OK</v>
      </c>
    </row>
    <row r="81" spans="1:29" ht="15.75" x14ac:dyDescent="0.25">
      <c r="A81" s="51" t="s">
        <v>588</v>
      </c>
      <c r="B81" s="169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</row>
    <row r="82" spans="1:29" x14ac:dyDescent="0.2">
      <c r="A82" s="50" t="s">
        <v>547</v>
      </c>
      <c r="B82" s="169"/>
      <c r="C82" s="180">
        <v>31.163</v>
      </c>
      <c r="D82" s="180">
        <v>33.192</v>
      </c>
      <c r="E82" s="180">
        <v>44.448</v>
      </c>
      <c r="F82" s="180">
        <v>50.017000000000003</v>
      </c>
      <c r="G82" s="180">
        <v>67.765000000000001</v>
      </c>
      <c r="H82" s="180">
        <v>75.700999999999993</v>
      </c>
      <c r="I82" s="109">
        <v>76.400000000000006</v>
      </c>
      <c r="J82" s="109">
        <v>85.344999999999999</v>
      </c>
      <c r="K82" s="109">
        <v>82.367999999999995</v>
      </c>
      <c r="L82" s="109">
        <v>85.075000000000003</v>
      </c>
      <c r="M82" s="109">
        <v>89.477999999999994</v>
      </c>
      <c r="O82" s="324" t="str">
        <f>$O$3</f>
        <v>√</v>
      </c>
      <c r="AA82" s="274"/>
      <c r="AB82" s="274"/>
      <c r="AC82" s="274"/>
    </row>
    <row r="83" spans="1:29" x14ac:dyDescent="0.2">
      <c r="A83" s="50" t="s">
        <v>678</v>
      </c>
      <c r="B83" s="169"/>
      <c r="C83" s="180">
        <v>10.734999999999999</v>
      </c>
      <c r="D83" s="180">
        <v>12.917999999999999</v>
      </c>
      <c r="E83" s="180">
        <v>17.504999999999999</v>
      </c>
      <c r="F83" s="180">
        <v>19.716000000000001</v>
      </c>
      <c r="G83" s="180">
        <v>22.48</v>
      </c>
      <c r="H83" s="180">
        <v>24.832999999999998</v>
      </c>
      <c r="I83" s="109">
        <v>26.349</v>
      </c>
      <c r="J83" s="109">
        <v>28.324000000000002</v>
      </c>
      <c r="K83" s="109">
        <v>30.126000000000001</v>
      </c>
      <c r="L83" s="109">
        <v>32.658000000000001</v>
      </c>
      <c r="M83" s="109">
        <v>35.941000000000003</v>
      </c>
      <c r="O83" s="324" t="str">
        <f>$O$3</f>
        <v>√</v>
      </c>
      <c r="AA83" s="274"/>
      <c r="AB83" s="274"/>
      <c r="AC83" s="274"/>
    </row>
    <row r="84" spans="1:29" ht="13.5" x14ac:dyDescent="0.25">
      <c r="A84" s="228" t="s">
        <v>679</v>
      </c>
      <c r="B84" s="169"/>
      <c r="C84" s="226" t="str">
        <f t="shared" ref="C84:M84" si="8">IF(ROUND(C$74-SUM(C$82:C$83),3)=0,"OK","ERROR")</f>
        <v>OK</v>
      </c>
      <c r="D84" s="226" t="str">
        <f t="shared" si="8"/>
        <v>OK</v>
      </c>
      <c r="E84" s="226" t="str">
        <f t="shared" si="8"/>
        <v>OK</v>
      </c>
      <c r="F84" s="226" t="str">
        <f t="shared" si="8"/>
        <v>OK</v>
      </c>
      <c r="G84" s="226" t="str">
        <f t="shared" si="8"/>
        <v>OK</v>
      </c>
      <c r="H84" s="226" t="str">
        <f t="shared" si="8"/>
        <v>OK</v>
      </c>
      <c r="I84" s="227" t="str">
        <f t="shared" si="8"/>
        <v>OK</v>
      </c>
      <c r="J84" s="227" t="str">
        <f t="shared" si="8"/>
        <v>OK</v>
      </c>
      <c r="K84" s="227" t="str">
        <f t="shared" si="8"/>
        <v>OK</v>
      </c>
      <c r="L84" s="227" t="str">
        <f t="shared" si="8"/>
        <v>OK</v>
      </c>
      <c r="M84" s="227" t="str">
        <f t="shared" si="8"/>
        <v>OK</v>
      </c>
    </row>
    <row r="85" spans="1:29" x14ac:dyDescent="0.2">
      <c r="A85" s="68" t="s">
        <v>548</v>
      </c>
      <c r="B85" s="169"/>
      <c r="C85" s="180">
        <v>35.892000000000003</v>
      </c>
      <c r="D85" s="180">
        <v>37.335999999999999</v>
      </c>
      <c r="E85" s="180">
        <v>50.545000000000002</v>
      </c>
      <c r="F85" s="180">
        <v>58.582999999999998</v>
      </c>
      <c r="G85" s="180">
        <v>76.885000000000005</v>
      </c>
      <c r="H85" s="180">
        <v>84.68</v>
      </c>
      <c r="I85" s="109">
        <v>86.281999999999996</v>
      </c>
      <c r="J85" s="109">
        <v>94.688999999999993</v>
      </c>
      <c r="K85" s="109">
        <v>92.597999999999999</v>
      </c>
      <c r="L85" s="109">
        <v>96.570999999999998</v>
      </c>
      <c r="M85" s="109">
        <v>102.45</v>
      </c>
      <c r="O85" s="324" t="str">
        <f>$O$3</f>
        <v>√</v>
      </c>
      <c r="AA85" s="274"/>
      <c r="AB85" s="274"/>
      <c r="AC85" s="274"/>
    </row>
    <row r="86" spans="1:29" x14ac:dyDescent="0.2">
      <c r="A86" s="68" t="s">
        <v>589</v>
      </c>
      <c r="B86" s="169"/>
      <c r="C86" s="180">
        <v>0.91300000000000003</v>
      </c>
      <c r="D86" s="180">
        <v>0.40899999999999997</v>
      </c>
      <c r="E86" s="180">
        <v>0.42799999999999999</v>
      </c>
      <c r="F86" s="180">
        <v>0.308</v>
      </c>
      <c r="G86" s="180">
        <v>0.40500000000000003</v>
      </c>
      <c r="H86" s="180">
        <v>-0.51200000000000001</v>
      </c>
      <c r="I86" s="109">
        <v>-0.67100000000000004</v>
      </c>
      <c r="J86" s="109">
        <v>-0.81200000000000006</v>
      </c>
      <c r="K86" s="109">
        <v>-0.91100000000000003</v>
      </c>
      <c r="L86" s="109">
        <v>-1.056</v>
      </c>
      <c r="M86" s="109">
        <v>-1.111</v>
      </c>
      <c r="O86" s="324" t="str">
        <f>$O$3</f>
        <v>√</v>
      </c>
      <c r="AA86" s="274"/>
      <c r="AB86" s="274"/>
      <c r="AC86" s="274"/>
    </row>
    <row r="87" spans="1:29" x14ac:dyDescent="0.2">
      <c r="A87" s="50" t="s">
        <v>402</v>
      </c>
      <c r="C87" s="183">
        <f>SUM(C$85:C$86)</f>
        <v>36.805</v>
      </c>
      <c r="D87" s="183">
        <f t="shared" ref="D87:M87" si="9">SUM(D$85:D$86)</f>
        <v>37.744999999999997</v>
      </c>
      <c r="E87" s="183">
        <f t="shared" si="9"/>
        <v>50.972999999999999</v>
      </c>
      <c r="F87" s="183">
        <f t="shared" si="9"/>
        <v>58.890999999999998</v>
      </c>
      <c r="G87" s="183">
        <f t="shared" si="9"/>
        <v>77.290000000000006</v>
      </c>
      <c r="H87" s="183">
        <f t="shared" si="9"/>
        <v>84.168000000000006</v>
      </c>
      <c r="I87" s="115">
        <f t="shared" si="9"/>
        <v>85.61099999999999</v>
      </c>
      <c r="J87" s="115">
        <f t="shared" si="9"/>
        <v>93.876999999999995</v>
      </c>
      <c r="K87" s="115">
        <f t="shared" si="9"/>
        <v>91.686999999999998</v>
      </c>
      <c r="L87" s="115">
        <f t="shared" si="9"/>
        <v>95.515000000000001</v>
      </c>
      <c r="M87" s="115">
        <f t="shared" si="9"/>
        <v>101.339</v>
      </c>
      <c r="AA87" s="274"/>
      <c r="AB87" s="274"/>
      <c r="AC87" s="274"/>
    </row>
    <row r="88" spans="1:29" x14ac:dyDescent="0.2">
      <c r="A88" s="68" t="s">
        <v>805</v>
      </c>
      <c r="B88" s="169"/>
      <c r="C88" s="180">
        <v>44.271999999999998</v>
      </c>
      <c r="D88" s="180">
        <v>50.698</v>
      </c>
      <c r="E88" s="180">
        <v>55.768999999999998</v>
      </c>
      <c r="F88" s="180">
        <v>57.209000000000003</v>
      </c>
      <c r="G88" s="180">
        <v>65.400000000000006</v>
      </c>
      <c r="H88" s="180">
        <v>64.016999999999996</v>
      </c>
      <c r="I88" s="109">
        <v>59.177</v>
      </c>
      <c r="J88" s="109">
        <v>62.98</v>
      </c>
      <c r="K88" s="109">
        <v>59.328000000000003</v>
      </c>
      <c r="L88" s="109">
        <v>63.203000000000003</v>
      </c>
      <c r="M88" s="109">
        <v>68.921000000000006</v>
      </c>
      <c r="O88" s="378" t="s">
        <v>709</v>
      </c>
      <c r="AA88" s="274"/>
      <c r="AB88" s="274"/>
      <c r="AC88" s="274"/>
    </row>
    <row r="89" spans="1:29" x14ac:dyDescent="0.2">
      <c r="A89" s="297" t="s">
        <v>804</v>
      </c>
      <c r="B89" s="169"/>
      <c r="C89" s="183">
        <f>SUM(C$85:C$86,-C$88)</f>
        <v>-7.4669999999999987</v>
      </c>
      <c r="D89" s="183">
        <f t="shared" ref="D89:M89" si="10">SUM(D$85:D$86,-D$88)</f>
        <v>-12.953000000000003</v>
      </c>
      <c r="E89" s="183">
        <f t="shared" si="10"/>
        <v>-4.7959999999999994</v>
      </c>
      <c r="F89" s="183">
        <f t="shared" si="10"/>
        <v>1.6819999999999951</v>
      </c>
      <c r="G89" s="183">
        <f t="shared" si="10"/>
        <v>11.89</v>
      </c>
      <c r="H89" s="183">
        <f t="shared" si="10"/>
        <v>20.15100000000001</v>
      </c>
      <c r="I89" s="115">
        <f t="shared" si="10"/>
        <v>26.43399999999999</v>
      </c>
      <c r="J89" s="115">
        <f t="shared" si="10"/>
        <v>30.896999999999998</v>
      </c>
      <c r="K89" s="115">
        <f t="shared" si="10"/>
        <v>32.358999999999995</v>
      </c>
      <c r="L89" s="115">
        <f t="shared" si="10"/>
        <v>32.311999999999998</v>
      </c>
      <c r="M89" s="115">
        <f t="shared" si="10"/>
        <v>32.417999999999992</v>
      </c>
      <c r="AA89" s="274"/>
      <c r="AB89" s="274"/>
      <c r="AC89" s="274"/>
    </row>
    <row r="90" spans="1:29" x14ac:dyDescent="0.2">
      <c r="A90" s="68" t="s">
        <v>609</v>
      </c>
      <c r="B90" s="169"/>
      <c r="C90" s="180">
        <v>11.576000000000001</v>
      </c>
      <c r="D90" s="180">
        <v>12.933999999999999</v>
      </c>
      <c r="E90" s="180">
        <v>11.486000000000001</v>
      </c>
      <c r="F90" s="180">
        <v>14.189</v>
      </c>
      <c r="G90" s="180">
        <v>16.158999999999999</v>
      </c>
      <c r="H90" s="180">
        <v>17.196000000000002</v>
      </c>
      <c r="I90" s="109">
        <v>19.666</v>
      </c>
      <c r="J90" s="109">
        <v>21.294</v>
      </c>
      <c r="K90" s="109">
        <v>22.972999999999999</v>
      </c>
      <c r="L90" s="109">
        <v>24.82</v>
      </c>
      <c r="M90" s="109">
        <v>26.693000000000001</v>
      </c>
      <c r="O90" s="324" t="str">
        <f>$O$3</f>
        <v>√</v>
      </c>
      <c r="AA90" s="274"/>
      <c r="AB90" s="274"/>
      <c r="AC90" s="274"/>
    </row>
    <row r="91" spans="1:29" x14ac:dyDescent="0.2">
      <c r="A91" s="50" t="s">
        <v>549</v>
      </c>
      <c r="B91" s="169"/>
      <c r="C91" s="189">
        <v>4.109</v>
      </c>
      <c r="D91" s="189">
        <v>-1.9E-2</v>
      </c>
      <c r="E91" s="189">
        <v>6.69</v>
      </c>
      <c r="F91" s="189">
        <v>15.871</v>
      </c>
      <c r="G91" s="189">
        <v>28.048999999999999</v>
      </c>
      <c r="H91" s="189">
        <v>37.347000000000001</v>
      </c>
      <c r="I91" s="212">
        <v>46.1</v>
      </c>
      <c r="J91" s="212">
        <v>52.191000000000003</v>
      </c>
      <c r="K91" s="212">
        <v>55.332000000000001</v>
      </c>
      <c r="L91" s="212">
        <v>57.131999999999998</v>
      </c>
      <c r="M91" s="212">
        <v>59.110999999999997</v>
      </c>
      <c r="O91" s="380" t="s">
        <v>807</v>
      </c>
      <c r="AB91" s="274"/>
      <c r="AC91" s="274"/>
    </row>
    <row r="92" spans="1:29" x14ac:dyDescent="0.2">
      <c r="A92" s="68" t="s">
        <v>832</v>
      </c>
      <c r="B92" s="169"/>
      <c r="C92" s="180">
        <v>9.0869999999999997</v>
      </c>
      <c r="D92" s="180">
        <v>10.276999999999999</v>
      </c>
      <c r="E92" s="180">
        <v>10.429</v>
      </c>
      <c r="F92" s="180">
        <v>10.867000000000001</v>
      </c>
      <c r="G92" s="180">
        <v>12.079000000000001</v>
      </c>
      <c r="H92" s="180">
        <v>13.324</v>
      </c>
      <c r="I92" s="109">
        <v>13.898</v>
      </c>
      <c r="J92" s="109">
        <v>14.558</v>
      </c>
      <c r="K92" s="109">
        <v>15.353</v>
      </c>
      <c r="L92" s="109">
        <v>16.344999999999999</v>
      </c>
      <c r="M92" s="109">
        <v>16.748999999999999</v>
      </c>
      <c r="O92" s="268" t="str">
        <f>$O$112</f>
        <v>Used in calculation of 'Core Crown marketable securities, derivatives in gain and share investments'</v>
      </c>
      <c r="AB92" s="274"/>
      <c r="AC92" s="274"/>
    </row>
    <row r="93" spans="1:29" x14ac:dyDescent="0.2">
      <c r="A93" s="50" t="s">
        <v>803</v>
      </c>
      <c r="B93" s="169"/>
      <c r="C93" s="189">
        <v>13.196</v>
      </c>
      <c r="D93" s="295">
        <v>10.257999999999999</v>
      </c>
      <c r="E93" s="295">
        <v>17.119</v>
      </c>
      <c r="F93" s="295">
        <v>26.738</v>
      </c>
      <c r="G93" s="295">
        <v>40.128</v>
      </c>
      <c r="H93" s="295">
        <v>50.670999999999999</v>
      </c>
      <c r="I93" s="296">
        <v>59.997999999999998</v>
      </c>
      <c r="J93" s="296">
        <v>66.748999999999995</v>
      </c>
      <c r="K93" s="296">
        <v>70.685000000000002</v>
      </c>
      <c r="L93" s="296">
        <v>73.477000000000004</v>
      </c>
      <c r="M93" s="296">
        <v>75.86</v>
      </c>
      <c r="O93" s="378" t="s">
        <v>710</v>
      </c>
      <c r="AB93" s="274"/>
      <c r="AC93" s="274"/>
    </row>
    <row r="94" spans="1:29" ht="13.5" x14ac:dyDescent="0.25">
      <c r="A94" s="228" t="s">
        <v>608</v>
      </c>
      <c r="B94" s="169"/>
      <c r="C94" s="226" t="str">
        <f>IF(ROUND(C$93-(SUM(C$85:C$86,C$90,C$92)-C$88),3)=0,"OK","ERROR")</f>
        <v>OK</v>
      </c>
      <c r="D94" s="226" t="str">
        <f t="shared" ref="D94:M94" si="11">IF(ROUND(D$93-(SUM(D$85:D$86,D$90,D$92)-D$88),3)=0,"OK","ERROR")</f>
        <v>OK</v>
      </c>
      <c r="E94" s="226" t="str">
        <f t="shared" si="11"/>
        <v>OK</v>
      </c>
      <c r="F94" s="226" t="str">
        <f t="shared" si="11"/>
        <v>OK</v>
      </c>
      <c r="G94" s="226" t="str">
        <f t="shared" si="11"/>
        <v>OK</v>
      </c>
      <c r="H94" s="226" t="str">
        <f t="shared" si="11"/>
        <v>OK</v>
      </c>
      <c r="I94" s="227" t="str">
        <f t="shared" si="11"/>
        <v>OK</v>
      </c>
      <c r="J94" s="227" t="str">
        <f t="shared" si="11"/>
        <v>OK</v>
      </c>
      <c r="K94" s="227" t="str">
        <f t="shared" si="11"/>
        <v>OK</v>
      </c>
      <c r="L94" s="227" t="str">
        <f t="shared" si="11"/>
        <v>OK</v>
      </c>
      <c r="M94" s="227" t="str">
        <f t="shared" si="11"/>
        <v>OK</v>
      </c>
      <c r="AB94" s="274"/>
      <c r="AC94" s="274"/>
    </row>
    <row r="95" spans="1:29" x14ac:dyDescent="0.2">
      <c r="A95" s="68" t="s">
        <v>771</v>
      </c>
      <c r="C95" s="180">
        <v>7.758</v>
      </c>
      <c r="D95" s="180">
        <v>7.9550000000000001</v>
      </c>
      <c r="E95" s="180">
        <v>9.2170000000000005</v>
      </c>
      <c r="F95" s="180">
        <v>6.9</v>
      </c>
      <c r="G95" s="180">
        <v>6.47</v>
      </c>
      <c r="H95" s="180">
        <v>6.133</v>
      </c>
      <c r="I95" s="109">
        <v>7.0350000000000001</v>
      </c>
      <c r="J95" s="109">
        <v>7.0350000000000001</v>
      </c>
      <c r="K95" s="109">
        <v>7.0350000000000001</v>
      </c>
      <c r="L95" s="109">
        <v>7.0549999999999997</v>
      </c>
      <c r="M95" s="109">
        <v>7.08</v>
      </c>
      <c r="O95" s="378" t="s">
        <v>711</v>
      </c>
      <c r="AB95" s="274"/>
      <c r="AC95" s="274"/>
    </row>
    <row r="96" spans="1:29" x14ac:dyDescent="0.2">
      <c r="A96" s="68" t="s">
        <v>550</v>
      </c>
      <c r="C96" s="180">
        <v>1.6</v>
      </c>
      <c r="D96" s="180">
        <v>1.6</v>
      </c>
      <c r="E96" s="180">
        <v>1.6</v>
      </c>
      <c r="F96" s="180">
        <v>1.6</v>
      </c>
      <c r="G96" s="180">
        <v>1.6</v>
      </c>
      <c r="H96" s="180">
        <v>1.6</v>
      </c>
      <c r="I96" s="109">
        <v>1.6</v>
      </c>
      <c r="J96" s="109">
        <v>1.6</v>
      </c>
      <c r="K96" s="109">
        <v>1.6</v>
      </c>
      <c r="L96" s="109">
        <v>1.6</v>
      </c>
      <c r="M96" s="109">
        <v>1.6</v>
      </c>
      <c r="O96" s="268" t="str">
        <f>$O$95</f>
        <v>Used in calculation of 'NOTE T.1: RB SETTLEMENT CASH EXCLUDED FROM GSID'</v>
      </c>
      <c r="AB96" s="274"/>
      <c r="AC96" s="274"/>
    </row>
    <row r="97" spans="1:29" x14ac:dyDescent="0.2">
      <c r="A97" s="50" t="s">
        <v>772</v>
      </c>
      <c r="B97" s="169"/>
      <c r="C97" s="189">
        <v>30.647000000000002</v>
      </c>
      <c r="D97" s="189">
        <v>31.39</v>
      </c>
      <c r="E97" s="189">
        <v>43.356000000000002</v>
      </c>
      <c r="F97" s="189">
        <v>53.591000000000001</v>
      </c>
      <c r="G97" s="189">
        <v>72.42</v>
      </c>
      <c r="H97" s="189">
        <v>79.635000000000005</v>
      </c>
      <c r="I97" s="212">
        <v>80.176000000000002</v>
      </c>
      <c r="J97" s="212">
        <v>88.441999999999993</v>
      </c>
      <c r="K97" s="212">
        <v>86.251999999999995</v>
      </c>
      <c r="L97" s="212">
        <v>90.06</v>
      </c>
      <c r="M97" s="212">
        <v>95.858999999999995</v>
      </c>
      <c r="O97" s="378" t="s">
        <v>712</v>
      </c>
      <c r="AB97" s="274"/>
      <c r="AC97" s="274"/>
    </row>
    <row r="98" spans="1:29" ht="13.5" x14ac:dyDescent="0.25">
      <c r="A98" s="228" t="s">
        <v>590</v>
      </c>
      <c r="B98" s="169"/>
      <c r="C98" s="226" t="str">
        <f>IF(ROUND(C$97-(SUM(C$85:C$86,C$96)-C$95),3)=0,"OK","ERROR")</f>
        <v>OK</v>
      </c>
      <c r="D98" s="226" t="str">
        <f t="shared" ref="D98:M98" si="12">IF(ROUND(D$97-(SUM(D$85:D$86,D$96)-D$95),3)=0,"OK","ERROR")</f>
        <v>OK</v>
      </c>
      <c r="E98" s="226" t="str">
        <f t="shared" si="12"/>
        <v>OK</v>
      </c>
      <c r="F98" s="226" t="str">
        <f t="shared" si="12"/>
        <v>OK</v>
      </c>
      <c r="G98" s="226" t="str">
        <f t="shared" si="12"/>
        <v>OK</v>
      </c>
      <c r="H98" s="226" t="str">
        <f t="shared" si="12"/>
        <v>OK</v>
      </c>
      <c r="I98" s="227" t="str">
        <f t="shared" si="12"/>
        <v>OK</v>
      </c>
      <c r="J98" s="227" t="str">
        <f t="shared" si="12"/>
        <v>OK</v>
      </c>
      <c r="K98" s="227" t="str">
        <f t="shared" si="12"/>
        <v>OK</v>
      </c>
      <c r="L98" s="227" t="str">
        <f t="shared" si="12"/>
        <v>OK</v>
      </c>
      <c r="M98" s="227" t="str">
        <f t="shared" si="12"/>
        <v>OK</v>
      </c>
      <c r="AB98" s="274"/>
      <c r="AC98" s="274"/>
    </row>
    <row r="99" spans="1:29" ht="15.75" x14ac:dyDescent="0.25">
      <c r="A99" s="51" t="s">
        <v>568</v>
      </c>
      <c r="B99" s="51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AB99" s="274"/>
      <c r="AC99" s="274"/>
    </row>
    <row r="100" spans="1:29" x14ac:dyDescent="0.2">
      <c r="A100" s="68" t="s">
        <v>363</v>
      </c>
      <c r="B100" s="68"/>
      <c r="C100" s="190">
        <v>53.476999999999997</v>
      </c>
      <c r="D100" s="190">
        <v>56.747</v>
      </c>
      <c r="E100" s="190">
        <v>54.680999999999997</v>
      </c>
      <c r="F100" s="190">
        <v>50.744</v>
      </c>
      <c r="G100" s="190">
        <v>51.557000000000002</v>
      </c>
      <c r="H100" s="190">
        <v>55.081000000000003</v>
      </c>
      <c r="I100" s="109">
        <v>57.375999999999998</v>
      </c>
      <c r="J100" s="109">
        <v>61.856999999999999</v>
      </c>
      <c r="K100" s="109">
        <v>65.643000000000001</v>
      </c>
      <c r="L100" s="109">
        <v>68.914000000000001</v>
      </c>
      <c r="M100" s="109">
        <v>71.903999999999996</v>
      </c>
      <c r="O100" s="324" t="str">
        <f>$O$3</f>
        <v>√</v>
      </c>
    </row>
    <row r="101" spans="1:29" x14ac:dyDescent="0.2">
      <c r="A101" s="68" t="s">
        <v>286</v>
      </c>
      <c r="B101" s="68"/>
      <c r="C101" s="190">
        <v>0.63600000000000001</v>
      </c>
      <c r="D101" s="190">
        <v>0.73299999999999998</v>
      </c>
      <c r="E101" s="190">
        <v>0.80800000000000005</v>
      </c>
      <c r="F101" s="190">
        <v>1.0149999999999999</v>
      </c>
      <c r="G101" s="190">
        <v>1.2749999999999999</v>
      </c>
      <c r="H101" s="190">
        <v>0.93500000000000005</v>
      </c>
      <c r="I101" s="109">
        <v>1.121</v>
      </c>
      <c r="J101" s="109">
        <v>1.236</v>
      </c>
      <c r="K101" s="109">
        <v>1.2749999999999999</v>
      </c>
      <c r="L101" s="109">
        <v>1.113</v>
      </c>
      <c r="M101" s="109">
        <v>1.161</v>
      </c>
      <c r="O101" s="379" t="s">
        <v>611</v>
      </c>
    </row>
    <row r="102" spans="1:29" x14ac:dyDescent="0.2">
      <c r="A102" s="68" t="s">
        <v>332</v>
      </c>
      <c r="B102" s="68"/>
      <c r="C102" s="190">
        <v>1.095</v>
      </c>
      <c r="D102" s="190">
        <v>1.097</v>
      </c>
      <c r="E102" s="190">
        <v>1.2370000000000001</v>
      </c>
      <c r="F102" s="190">
        <v>1.387</v>
      </c>
      <c r="G102" s="190">
        <v>1.4430000000000001</v>
      </c>
      <c r="H102" s="190">
        <v>1.448</v>
      </c>
      <c r="I102" s="109">
        <v>1.409</v>
      </c>
      <c r="J102" s="109">
        <v>1.373</v>
      </c>
      <c r="K102" s="109">
        <v>1.337</v>
      </c>
      <c r="L102" s="109">
        <v>1.33</v>
      </c>
      <c r="M102" s="109">
        <v>1.33</v>
      </c>
      <c r="O102" s="379" t="str">
        <f>$O$101</f>
        <v>Used in CC 'Other non-investment income' total</v>
      </c>
    </row>
    <row r="103" spans="1:29" x14ac:dyDescent="0.2">
      <c r="A103" s="68" t="s">
        <v>569</v>
      </c>
      <c r="B103" s="68"/>
      <c r="C103" s="190">
        <v>2.58</v>
      </c>
      <c r="D103" s="190">
        <v>2.3439999999999999</v>
      </c>
      <c r="E103" s="190">
        <v>1.8720000000000001</v>
      </c>
      <c r="F103" s="190">
        <v>2.1349999999999998</v>
      </c>
      <c r="G103" s="190">
        <v>2.169</v>
      </c>
      <c r="H103" s="190">
        <v>1.7949999999999999</v>
      </c>
      <c r="I103" s="109">
        <v>2.2610000000000001</v>
      </c>
      <c r="J103" s="109">
        <v>2.5859999999999999</v>
      </c>
      <c r="K103" s="109">
        <v>2.8330000000000002</v>
      </c>
      <c r="L103" s="109">
        <v>2.8879999999999999</v>
      </c>
      <c r="M103" s="109">
        <v>3.1509999999999998</v>
      </c>
      <c r="O103" s="324" t="str">
        <f>$O$3</f>
        <v>√</v>
      </c>
    </row>
    <row r="104" spans="1:29" x14ac:dyDescent="0.2">
      <c r="A104" s="68" t="s">
        <v>333</v>
      </c>
      <c r="B104" s="68"/>
      <c r="C104" s="190">
        <v>0.42299999999999999</v>
      </c>
      <c r="D104" s="190">
        <v>0.89800000000000002</v>
      </c>
      <c r="E104" s="190">
        <v>0.88400000000000001</v>
      </c>
      <c r="F104" s="190">
        <v>0.93500000000000005</v>
      </c>
      <c r="G104" s="190">
        <v>1.1060000000000001</v>
      </c>
      <c r="H104" s="190">
        <v>1.306</v>
      </c>
      <c r="I104" s="109">
        <v>0.77200000000000002</v>
      </c>
      <c r="J104" s="109">
        <v>0.73399999999999999</v>
      </c>
      <c r="K104" s="109">
        <v>0.72899999999999998</v>
      </c>
      <c r="L104" s="109">
        <v>0.72199999999999998</v>
      </c>
      <c r="M104" s="109">
        <v>0.72099999999999997</v>
      </c>
      <c r="O104" s="379" t="str">
        <f>$O$101</f>
        <v>Used in CC 'Other non-investment income' total</v>
      </c>
    </row>
    <row r="105" spans="1:29" x14ac:dyDescent="0.2">
      <c r="A105" s="50" t="s">
        <v>579</v>
      </c>
      <c r="B105" s="68"/>
      <c r="C105" s="183">
        <f>SUM(C$100:C$104)</f>
        <v>58.210999999999999</v>
      </c>
      <c r="D105" s="183">
        <f t="shared" ref="D105:M105" si="13">SUM(D$100:D$104)</f>
        <v>61.819000000000003</v>
      </c>
      <c r="E105" s="183">
        <f t="shared" si="13"/>
        <v>59.481999999999999</v>
      </c>
      <c r="F105" s="183">
        <f t="shared" si="13"/>
        <v>56.216000000000001</v>
      </c>
      <c r="G105" s="183">
        <f t="shared" si="13"/>
        <v>57.55</v>
      </c>
      <c r="H105" s="183">
        <f t="shared" si="13"/>
        <v>60.565000000000005</v>
      </c>
      <c r="I105" s="115">
        <f t="shared" si="13"/>
        <v>62.939</v>
      </c>
      <c r="J105" s="115">
        <f t="shared" si="13"/>
        <v>67.785999999999987</v>
      </c>
      <c r="K105" s="115">
        <f t="shared" si="13"/>
        <v>71.817000000000007</v>
      </c>
      <c r="L105" s="115">
        <f t="shared" si="13"/>
        <v>74.966999999999999</v>
      </c>
      <c r="M105" s="115">
        <f t="shared" si="13"/>
        <v>78.266999999999996</v>
      </c>
    </row>
    <row r="106" spans="1:29" x14ac:dyDescent="0.2">
      <c r="A106" s="68" t="s">
        <v>570</v>
      </c>
      <c r="B106" s="68"/>
      <c r="C106" s="190">
        <v>2.3420000000000001</v>
      </c>
      <c r="D106" s="190">
        <v>-1.014</v>
      </c>
      <c r="E106" s="190">
        <v>-1.494</v>
      </c>
      <c r="F106" s="190">
        <v>0.74199999999999999</v>
      </c>
      <c r="G106" s="190">
        <v>3.53</v>
      </c>
      <c r="H106" s="190">
        <v>-3.262</v>
      </c>
      <c r="I106" s="109">
        <v>2.8250000000000002</v>
      </c>
      <c r="J106" s="109">
        <v>1.6819999999999999</v>
      </c>
      <c r="K106" s="109">
        <v>1.79</v>
      </c>
      <c r="L106" s="109">
        <v>1.841</v>
      </c>
      <c r="M106" s="109">
        <v>1.9390000000000001</v>
      </c>
      <c r="O106" s="379" t="s">
        <v>607</v>
      </c>
    </row>
    <row r="107" spans="1:29" x14ac:dyDescent="0.2">
      <c r="A107" s="68" t="s">
        <v>842</v>
      </c>
      <c r="B107" s="68"/>
      <c r="C107" s="190">
        <f>0.053-0.092</f>
        <v>-3.9E-2</v>
      </c>
      <c r="D107" s="190">
        <f>0.085-0.002</f>
        <v>8.3000000000000004E-2</v>
      </c>
      <c r="E107" s="190">
        <f>0.155-0.003</f>
        <v>0.152</v>
      </c>
      <c r="F107" s="190">
        <v>5.5E-2</v>
      </c>
      <c r="G107" s="190">
        <v>0.10299999999999999</v>
      </c>
      <c r="H107" s="190">
        <v>0.10199999999999999</v>
      </c>
      <c r="I107" s="109">
        <v>7.6999999999999999E-2</v>
      </c>
      <c r="J107" s="109">
        <v>7.8E-2</v>
      </c>
      <c r="K107" s="109">
        <v>6.9000000000000006E-2</v>
      </c>
      <c r="L107" s="109">
        <v>6.8000000000000005E-2</v>
      </c>
      <c r="M107" s="109">
        <v>6.8000000000000005E-2</v>
      </c>
      <c r="O107" s="379" t="str">
        <f>$O$106</f>
        <v>Used in CC 'Total Gains/(Losses) plus Net Surplus/(Deficit) from associates &amp; joint ventures' total</v>
      </c>
    </row>
    <row r="108" spans="1:29" x14ac:dyDescent="0.2">
      <c r="A108" s="50" t="s">
        <v>129</v>
      </c>
      <c r="B108" s="68"/>
      <c r="C108" s="223">
        <v>6.5110000000000001</v>
      </c>
      <c r="D108" s="223">
        <v>3.891</v>
      </c>
      <c r="E108" s="223">
        <v>-5.8620000000000001</v>
      </c>
      <c r="F108" s="223">
        <v>-7</v>
      </c>
      <c r="G108" s="223">
        <v>-9.2669999999999995</v>
      </c>
      <c r="H108" s="223">
        <v>-11.670999999999999</v>
      </c>
      <c r="I108" s="288">
        <v>-6.157</v>
      </c>
      <c r="J108" s="288">
        <v>-2.2349999999999999</v>
      </c>
      <c r="K108" s="288">
        <v>2.4E-2</v>
      </c>
      <c r="L108" s="288">
        <v>1.319</v>
      </c>
      <c r="M108" s="288">
        <v>2.23</v>
      </c>
      <c r="O108" s="379" t="str">
        <f>$O$17</f>
        <v>Used in CHECK in main model</v>
      </c>
    </row>
    <row r="109" spans="1:29" ht="13.5" x14ac:dyDescent="0.25">
      <c r="A109" s="228" t="s">
        <v>573</v>
      </c>
      <c r="B109" s="68"/>
      <c r="C109" s="226" t="str">
        <f t="shared" ref="C109:M109" si="14">IF(ROUND(C$108-(SUM(C$100:C$104)-SUM(C$39:C$55)+SUM(C$106,C$107)),3)=0,"OK","ERROR")</f>
        <v>OK</v>
      </c>
      <c r="D109" s="226" t="str">
        <f t="shared" si="14"/>
        <v>OK</v>
      </c>
      <c r="E109" s="226" t="str">
        <f t="shared" si="14"/>
        <v>OK</v>
      </c>
      <c r="F109" s="226" t="str">
        <f t="shared" si="14"/>
        <v>OK</v>
      </c>
      <c r="G109" s="226" t="str">
        <f t="shared" si="14"/>
        <v>OK</v>
      </c>
      <c r="H109" s="226" t="str">
        <f t="shared" si="14"/>
        <v>OK</v>
      </c>
      <c r="I109" s="227" t="str">
        <f t="shared" si="14"/>
        <v>OK</v>
      </c>
      <c r="J109" s="227" t="str">
        <f t="shared" si="14"/>
        <v>OK</v>
      </c>
      <c r="K109" s="227" t="str">
        <f t="shared" si="14"/>
        <v>OK</v>
      </c>
      <c r="L109" s="227" t="str">
        <f t="shared" si="14"/>
        <v>OK</v>
      </c>
      <c r="M109" s="227" t="str">
        <f t="shared" si="14"/>
        <v>OK</v>
      </c>
    </row>
    <row r="110" spans="1:29" x14ac:dyDescent="0.2">
      <c r="A110" s="68" t="s">
        <v>293</v>
      </c>
      <c r="B110" s="68"/>
      <c r="C110" s="190">
        <v>1.1180000000000001</v>
      </c>
      <c r="D110" s="190">
        <v>0.872</v>
      </c>
      <c r="E110" s="190">
        <v>3.375</v>
      </c>
      <c r="F110" s="190">
        <v>4.9729999999999999</v>
      </c>
      <c r="G110" s="190">
        <v>6.0869999999999997</v>
      </c>
      <c r="H110" s="190">
        <v>6.7560000000000002</v>
      </c>
      <c r="I110" s="109">
        <v>9.1620000000000008</v>
      </c>
      <c r="J110" s="109">
        <v>9.1690000000000005</v>
      </c>
      <c r="K110" s="109">
        <v>9.1630000000000003</v>
      </c>
      <c r="L110" s="109">
        <v>9.1199999999999992</v>
      </c>
      <c r="M110" s="109">
        <v>9.0429999999999993</v>
      </c>
      <c r="O110" s="324" t="str">
        <f>$O$3</f>
        <v>√</v>
      </c>
    </row>
    <row r="111" spans="1:29" x14ac:dyDescent="0.2">
      <c r="A111" s="68" t="s">
        <v>341</v>
      </c>
      <c r="B111" s="68"/>
      <c r="C111" s="190">
        <v>7.59</v>
      </c>
      <c r="D111" s="190">
        <v>9.0310000000000006</v>
      </c>
      <c r="E111" s="190">
        <v>10.243</v>
      </c>
      <c r="F111" s="190">
        <v>8.7759999999999998</v>
      </c>
      <c r="G111" s="190">
        <v>11.375999999999999</v>
      </c>
      <c r="H111" s="190">
        <v>10.974</v>
      </c>
      <c r="I111" s="109">
        <v>10.564</v>
      </c>
      <c r="J111" s="109">
        <v>9.7050000000000001</v>
      </c>
      <c r="K111" s="109">
        <v>9.7260000000000009</v>
      </c>
      <c r="L111" s="109">
        <v>9.7029999999999994</v>
      </c>
      <c r="M111" s="109">
        <v>9.7110000000000003</v>
      </c>
      <c r="O111" s="324" t="str">
        <f>$O$3</f>
        <v>√</v>
      </c>
    </row>
    <row r="112" spans="1:29" x14ac:dyDescent="0.2">
      <c r="A112" s="68" t="s">
        <v>574</v>
      </c>
      <c r="B112" s="68"/>
      <c r="C112" s="190">
        <v>43.377000000000002</v>
      </c>
      <c r="D112" s="191">
        <v>49.725999999999999</v>
      </c>
      <c r="E112" s="191">
        <v>51.994999999999997</v>
      </c>
      <c r="F112" s="191">
        <v>52.231999999999999</v>
      </c>
      <c r="G112" s="191">
        <v>59.012</v>
      </c>
      <c r="H112" s="190">
        <v>57.250999999999998</v>
      </c>
      <c r="I112" s="290">
        <v>50.012999999999998</v>
      </c>
      <c r="J112" s="290">
        <v>53.801000000000002</v>
      </c>
      <c r="K112" s="290">
        <v>50.140999999999998</v>
      </c>
      <c r="L112" s="290">
        <v>54.033999999999999</v>
      </c>
      <c r="M112" s="290">
        <v>59.795999999999999</v>
      </c>
      <c r="O112" s="378" t="s">
        <v>713</v>
      </c>
    </row>
    <row r="113" spans="1:15" x14ac:dyDescent="0.2">
      <c r="A113" s="68" t="s">
        <v>575</v>
      </c>
      <c r="B113" s="68"/>
      <c r="C113" s="190">
        <v>26.213000000000001</v>
      </c>
      <c r="D113" s="190">
        <v>28.637</v>
      </c>
      <c r="E113" s="190">
        <v>30.486999999999998</v>
      </c>
      <c r="F113" s="190">
        <v>29.986000000000001</v>
      </c>
      <c r="G113" s="190">
        <v>29.548999999999999</v>
      </c>
      <c r="H113" s="190">
        <v>29.376999999999999</v>
      </c>
      <c r="I113" s="109">
        <v>29.994</v>
      </c>
      <c r="J113" s="290">
        <v>30.757000000000001</v>
      </c>
      <c r="K113" s="290">
        <v>31.341999999999999</v>
      </c>
      <c r="L113" s="290">
        <v>31.231999999999999</v>
      </c>
      <c r="M113" s="290">
        <v>31.123999999999999</v>
      </c>
      <c r="O113" s="324" t="str">
        <f>$O$3</f>
        <v>√</v>
      </c>
    </row>
    <row r="114" spans="1:15" x14ac:dyDescent="0.2">
      <c r="A114" s="68" t="s">
        <v>576</v>
      </c>
      <c r="B114" s="68"/>
      <c r="C114" s="190">
        <v>25.048999999999999</v>
      </c>
      <c r="D114" s="190">
        <v>25.696000000000002</v>
      </c>
      <c r="E114" s="190">
        <v>27.536000000000001</v>
      </c>
      <c r="F114" s="190">
        <v>28.663</v>
      </c>
      <c r="G114" s="190">
        <v>30.093</v>
      </c>
      <c r="H114" s="190">
        <v>31.308</v>
      </c>
      <c r="I114" s="290">
        <v>32.747</v>
      </c>
      <c r="J114" s="290">
        <v>33.755000000000003</v>
      </c>
      <c r="K114" s="290">
        <v>34.94</v>
      </c>
      <c r="L114" s="290">
        <v>36.347999999999999</v>
      </c>
      <c r="M114" s="290">
        <v>37.887</v>
      </c>
      <c r="O114" s="324" t="str">
        <f>$O$3</f>
        <v>√</v>
      </c>
    </row>
    <row r="115" spans="1:15" x14ac:dyDescent="0.2">
      <c r="A115" s="68" t="s">
        <v>300</v>
      </c>
      <c r="B115" s="68"/>
      <c r="C115" s="190">
        <v>0.80400000000000005</v>
      </c>
      <c r="D115" s="190">
        <v>0.84499999999999997</v>
      </c>
      <c r="E115" s="190">
        <v>1.135</v>
      </c>
      <c r="F115" s="190">
        <v>1.1220000000000001</v>
      </c>
      <c r="G115" s="190">
        <v>1.157</v>
      </c>
      <c r="H115" s="190">
        <v>1.111</v>
      </c>
      <c r="I115" s="111">
        <v>1.1759999999999999</v>
      </c>
      <c r="J115" s="111">
        <v>1.2869999999999999</v>
      </c>
      <c r="K115" s="111">
        <v>1.3180000000000001</v>
      </c>
      <c r="L115" s="111">
        <v>1.288</v>
      </c>
      <c r="M115" s="111">
        <v>1.2569999999999999</v>
      </c>
      <c r="O115" s="324" t="str">
        <f>$O$3</f>
        <v>√</v>
      </c>
    </row>
    <row r="116" spans="1:15" x14ac:dyDescent="0.2">
      <c r="A116" s="68" t="s">
        <v>577</v>
      </c>
      <c r="B116" s="68"/>
      <c r="C116" s="190">
        <v>1.0620000000000001</v>
      </c>
      <c r="D116" s="190">
        <v>1.375</v>
      </c>
      <c r="E116" s="190">
        <v>1.429</v>
      </c>
      <c r="F116" s="190">
        <v>1.4630000000000001</v>
      </c>
      <c r="G116" s="190">
        <v>1.6910000000000001</v>
      </c>
      <c r="H116" s="190">
        <v>1.6319999999999999</v>
      </c>
      <c r="I116" s="111">
        <v>1.532</v>
      </c>
      <c r="J116" s="111">
        <v>1.66</v>
      </c>
      <c r="K116" s="111">
        <v>1.4339999999999999</v>
      </c>
      <c r="L116" s="111">
        <v>1.454</v>
      </c>
      <c r="M116" s="111">
        <v>1.456</v>
      </c>
      <c r="O116" s="378" t="s">
        <v>714</v>
      </c>
    </row>
    <row r="117" spans="1:15" x14ac:dyDescent="0.2">
      <c r="A117" s="50" t="s">
        <v>578</v>
      </c>
      <c r="B117" s="68"/>
      <c r="C117" s="183">
        <f t="shared" ref="C117:M117" si="15">SUM(C$110:C$116,C$68:C$69)</f>
        <v>105.21300000000001</v>
      </c>
      <c r="D117" s="183">
        <f t="shared" si="15"/>
        <v>116.18199999999999</v>
      </c>
      <c r="E117" s="183">
        <f t="shared" si="15"/>
        <v>126.2</v>
      </c>
      <c r="F117" s="183">
        <f t="shared" si="15"/>
        <v>127.21499999999999</v>
      </c>
      <c r="G117" s="183">
        <f t="shared" si="15"/>
        <v>138.965</v>
      </c>
      <c r="H117" s="183">
        <f t="shared" si="15"/>
        <v>138.40899999999999</v>
      </c>
      <c r="I117" s="115">
        <f t="shared" si="15"/>
        <v>134.96700000000001</v>
      </c>
      <c r="J117" s="115">
        <f t="shared" si="15"/>
        <v>140.53900000000002</v>
      </c>
      <c r="K117" s="115">
        <f t="shared" si="15"/>
        <v>139.19000000000003</v>
      </c>
      <c r="L117" s="115">
        <f t="shared" si="15"/>
        <v>145.05500000000004</v>
      </c>
      <c r="M117" s="115">
        <f t="shared" si="15"/>
        <v>153.01</v>
      </c>
    </row>
    <row r="118" spans="1:15" x14ac:dyDescent="0.2">
      <c r="A118" s="68" t="s">
        <v>545</v>
      </c>
      <c r="B118" s="68"/>
      <c r="C118" s="190">
        <v>35.884999999999998</v>
      </c>
      <c r="D118" s="190">
        <v>37.167000000000002</v>
      </c>
      <c r="E118" s="190">
        <v>49.889000000000003</v>
      </c>
      <c r="F118" s="190">
        <v>57.582999999999998</v>
      </c>
      <c r="G118" s="190">
        <v>76.826999999999998</v>
      </c>
      <c r="H118" s="190">
        <v>84.51</v>
      </c>
      <c r="I118" s="109">
        <v>86.28</v>
      </c>
      <c r="J118" s="109">
        <v>94.686999999999998</v>
      </c>
      <c r="K118" s="109">
        <v>92.596999999999994</v>
      </c>
      <c r="L118" s="109">
        <v>96.569000000000003</v>
      </c>
      <c r="M118" s="109">
        <v>102.45</v>
      </c>
      <c r="O118" s="378" t="s">
        <v>715</v>
      </c>
    </row>
    <row r="119" spans="1:15" x14ac:dyDescent="0.2">
      <c r="A119" s="68" t="s">
        <v>580</v>
      </c>
      <c r="B119" s="68"/>
      <c r="C119" s="190">
        <v>18.538</v>
      </c>
      <c r="D119" s="190">
        <v>22.032</v>
      </c>
      <c r="E119" s="190">
        <v>23.242000000000001</v>
      </c>
      <c r="F119" s="190">
        <v>24.963000000000001</v>
      </c>
      <c r="G119" s="190">
        <v>27.207000000000001</v>
      </c>
      <c r="H119" s="190">
        <v>30.527999999999999</v>
      </c>
      <c r="I119" s="109">
        <v>30.145</v>
      </c>
      <c r="J119" s="109">
        <v>28.195</v>
      </c>
      <c r="K119" s="109">
        <v>27.585999999999999</v>
      </c>
      <c r="L119" s="109">
        <v>26.795999999999999</v>
      </c>
      <c r="M119" s="109">
        <v>26.605</v>
      </c>
      <c r="O119" s="378" t="s">
        <v>716</v>
      </c>
    </row>
    <row r="120" spans="1:15" x14ac:dyDescent="0.2">
      <c r="A120" s="50" t="s">
        <v>581</v>
      </c>
      <c r="B120" s="68"/>
      <c r="C120" s="183">
        <f>SUM(C$118:C$119)</f>
        <v>54.423000000000002</v>
      </c>
      <c r="D120" s="183">
        <f t="shared" ref="D120:M120" si="16">SUM(D$118:D$119)</f>
        <v>59.198999999999998</v>
      </c>
      <c r="E120" s="183">
        <f t="shared" si="16"/>
        <v>73.131</v>
      </c>
      <c r="F120" s="183">
        <f t="shared" si="16"/>
        <v>82.545999999999992</v>
      </c>
      <c r="G120" s="183">
        <f t="shared" si="16"/>
        <v>104.03399999999999</v>
      </c>
      <c r="H120" s="183">
        <f t="shared" si="16"/>
        <v>115.03800000000001</v>
      </c>
      <c r="I120" s="115">
        <f t="shared" si="16"/>
        <v>116.425</v>
      </c>
      <c r="J120" s="115">
        <f t="shared" si="16"/>
        <v>122.88200000000001</v>
      </c>
      <c r="K120" s="115">
        <f t="shared" si="16"/>
        <v>120.18299999999999</v>
      </c>
      <c r="L120" s="115">
        <f t="shared" si="16"/>
        <v>123.36500000000001</v>
      </c>
      <c r="M120" s="115">
        <f t="shared" si="16"/>
        <v>129.05500000000001</v>
      </c>
    </row>
    <row r="121" spans="1:15" x14ac:dyDescent="0.2">
      <c r="A121" s="50" t="s">
        <v>130</v>
      </c>
      <c r="B121" s="68"/>
      <c r="C121" s="211">
        <v>50.79</v>
      </c>
      <c r="D121" s="211">
        <v>56.982999999999997</v>
      </c>
      <c r="E121" s="211">
        <v>53.069000000000003</v>
      </c>
      <c r="F121" s="211">
        <v>44.668999999999997</v>
      </c>
      <c r="G121" s="211">
        <v>34.930999999999997</v>
      </c>
      <c r="H121" s="211">
        <v>23.370999999999999</v>
      </c>
      <c r="I121" s="212">
        <v>18.542000000000002</v>
      </c>
      <c r="J121" s="212">
        <v>17.657</v>
      </c>
      <c r="K121" s="212">
        <v>19.007000000000001</v>
      </c>
      <c r="L121" s="212">
        <v>21.69</v>
      </c>
      <c r="M121" s="212">
        <v>23.954999999999998</v>
      </c>
      <c r="O121" s="378" t="s">
        <v>717</v>
      </c>
    </row>
    <row r="122" spans="1:15" ht="13.5" x14ac:dyDescent="0.25">
      <c r="A122" s="228" t="s">
        <v>582</v>
      </c>
      <c r="B122" s="68"/>
      <c r="C122" s="226" t="str">
        <f t="shared" ref="C122:M122" si="17">IF(ROUND(C$121-(SUM(C$110:C$116,C$68:C$69)-SUM(C$118:C$119)),3)=0,"OK","ERROR")</f>
        <v>OK</v>
      </c>
      <c r="D122" s="226" t="str">
        <f t="shared" si="17"/>
        <v>OK</v>
      </c>
      <c r="E122" s="226" t="str">
        <f t="shared" si="17"/>
        <v>OK</v>
      </c>
      <c r="F122" s="226" t="str">
        <f t="shared" si="17"/>
        <v>OK</v>
      </c>
      <c r="G122" s="226" t="str">
        <f t="shared" si="17"/>
        <v>OK</v>
      </c>
      <c r="H122" s="226" t="str">
        <f t="shared" si="17"/>
        <v>OK</v>
      </c>
      <c r="I122" s="227" t="str">
        <f t="shared" si="17"/>
        <v>OK</v>
      </c>
      <c r="J122" s="227" t="str">
        <f t="shared" si="17"/>
        <v>OK</v>
      </c>
      <c r="K122" s="227" t="str">
        <f t="shared" si="17"/>
        <v>OK</v>
      </c>
      <c r="L122" s="227" t="str">
        <f t="shared" si="17"/>
        <v>OK</v>
      </c>
      <c r="M122" s="227" t="str">
        <f t="shared" si="17"/>
        <v>OK</v>
      </c>
    </row>
    <row r="123" spans="1:15" ht="15.75" x14ac:dyDescent="0.25">
      <c r="A123" s="51" t="s">
        <v>302</v>
      </c>
      <c r="B123" s="51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</row>
    <row r="124" spans="1:15" x14ac:dyDescent="0.2">
      <c r="A124" s="68" t="s">
        <v>185</v>
      </c>
      <c r="B124" s="68"/>
      <c r="C124" s="181">
        <v>20.98</v>
      </c>
      <c r="D124" s="181">
        <v>23.344999999999999</v>
      </c>
      <c r="E124" s="181">
        <v>22.587</v>
      </c>
      <c r="F124" s="181">
        <v>21.774000000000001</v>
      </c>
      <c r="G124" s="181">
        <v>20.856999999999999</v>
      </c>
      <c r="H124" s="181">
        <v>21.236999999999998</v>
      </c>
      <c r="I124" s="109">
        <v>22.038</v>
      </c>
      <c r="J124" s="109">
        <v>23.117000000000001</v>
      </c>
      <c r="K124" s="109">
        <v>24.300999999999998</v>
      </c>
      <c r="L124" s="109">
        <v>25.486999999999998</v>
      </c>
      <c r="M124" s="109">
        <v>26.75</v>
      </c>
      <c r="O124" s="324" t="str">
        <f>$O$3</f>
        <v>√</v>
      </c>
    </row>
    <row r="125" spans="1:15" x14ac:dyDescent="0.2">
      <c r="A125" s="68" t="s">
        <v>186</v>
      </c>
      <c r="B125" s="68"/>
      <c r="C125" s="181">
        <v>4.4400000000000004</v>
      </c>
      <c r="D125" s="181">
        <v>5.0709999999999997</v>
      </c>
      <c r="E125" s="181">
        <v>4.4080000000000004</v>
      </c>
      <c r="F125" s="181">
        <v>3.9870000000000001</v>
      </c>
      <c r="G125" s="181">
        <v>3.7909999999999999</v>
      </c>
      <c r="H125" s="181">
        <v>4.2320000000000002</v>
      </c>
      <c r="I125" s="109">
        <v>4.641</v>
      </c>
      <c r="J125" s="109">
        <v>4.74</v>
      </c>
      <c r="K125" s="109">
        <v>4.9349999999999996</v>
      </c>
      <c r="L125" s="109">
        <v>5.1159999999999997</v>
      </c>
      <c r="M125" s="109">
        <v>5.3140000000000001</v>
      </c>
      <c r="O125" s="379" t="s">
        <v>602</v>
      </c>
    </row>
    <row r="126" spans="1:15" x14ac:dyDescent="0.2">
      <c r="A126" s="68" t="s">
        <v>187</v>
      </c>
      <c r="B126" s="68"/>
      <c r="C126" s="181">
        <v>-1.08</v>
      </c>
      <c r="D126" s="181">
        <v>-1.47</v>
      </c>
      <c r="E126" s="181">
        <v>-1.6359999999999999</v>
      </c>
      <c r="F126" s="181">
        <v>-1.831</v>
      </c>
      <c r="G126" s="181">
        <v>-1.679</v>
      </c>
      <c r="H126" s="181">
        <v>-1.736</v>
      </c>
      <c r="I126" s="109">
        <v>-1.5640000000000001</v>
      </c>
      <c r="J126" s="109">
        <v>-1.4259999999999999</v>
      </c>
      <c r="K126" s="109">
        <v>-1.4139999999999999</v>
      </c>
      <c r="L126" s="109">
        <v>-1.4179999999999999</v>
      </c>
      <c r="M126" s="109">
        <v>-1.4630000000000001</v>
      </c>
      <c r="O126" s="379" t="str">
        <f>$O$125</f>
        <v>Used in 'Other taxes' total</v>
      </c>
    </row>
    <row r="127" spans="1:15" x14ac:dyDescent="0.2">
      <c r="A127" s="68" t="s">
        <v>188</v>
      </c>
      <c r="B127" s="68"/>
      <c r="C127" s="181">
        <v>0.46800000000000003</v>
      </c>
      <c r="D127" s="181">
        <v>0.52200000000000002</v>
      </c>
      <c r="E127" s="181">
        <v>0.5</v>
      </c>
      <c r="F127" s="181">
        <v>0.46100000000000002</v>
      </c>
      <c r="G127" s="181">
        <v>0.46200000000000002</v>
      </c>
      <c r="H127" s="181">
        <v>0.46200000000000002</v>
      </c>
      <c r="I127" s="109">
        <v>0.439</v>
      </c>
      <c r="J127" s="109">
        <v>0.45400000000000001</v>
      </c>
      <c r="K127" s="109">
        <v>0.49</v>
      </c>
      <c r="L127" s="109">
        <v>0.50900000000000001</v>
      </c>
      <c r="M127" s="109">
        <v>0.52900000000000003</v>
      </c>
      <c r="O127" s="379" t="str">
        <f>$O$125</f>
        <v>Used in 'Other taxes' total</v>
      </c>
    </row>
    <row r="128" spans="1:15" x14ac:dyDescent="0.2">
      <c r="A128" s="68" t="s">
        <v>562</v>
      </c>
      <c r="B128" s="68"/>
      <c r="C128" s="181">
        <v>9.891</v>
      </c>
      <c r="D128" s="181">
        <v>10.122</v>
      </c>
      <c r="E128" s="181">
        <v>9.2759999999999998</v>
      </c>
      <c r="F128" s="181">
        <v>7.2</v>
      </c>
      <c r="G128" s="181">
        <v>6.9569999999999999</v>
      </c>
      <c r="H128" s="181">
        <v>8.6120000000000001</v>
      </c>
      <c r="I128" s="109">
        <v>8.6690000000000005</v>
      </c>
      <c r="J128" s="109">
        <v>9.5540000000000003</v>
      </c>
      <c r="K128" s="109">
        <v>10.032999999999999</v>
      </c>
      <c r="L128" s="109">
        <v>10.425000000000001</v>
      </c>
      <c r="M128" s="109">
        <v>10.847</v>
      </c>
      <c r="O128" s="324" t="str">
        <f>$O$3</f>
        <v>√</v>
      </c>
    </row>
    <row r="129" spans="1:16" x14ac:dyDescent="0.2">
      <c r="A129" s="68" t="s">
        <v>563</v>
      </c>
      <c r="B129" s="68"/>
      <c r="C129" s="181">
        <v>2.3180000000000001</v>
      </c>
      <c r="D129" s="181">
        <v>2.7709999999999999</v>
      </c>
      <c r="E129" s="181">
        <v>2.637</v>
      </c>
      <c r="F129" s="181">
        <v>1.9359999999999999</v>
      </c>
      <c r="G129" s="181">
        <v>1.901</v>
      </c>
      <c r="H129" s="181">
        <v>1.9710000000000001</v>
      </c>
      <c r="I129" s="109">
        <v>1.897</v>
      </c>
      <c r="J129" s="109">
        <v>2.2389999999999999</v>
      </c>
      <c r="K129" s="109">
        <v>2.601</v>
      </c>
      <c r="L129" s="109">
        <v>2.9710000000000001</v>
      </c>
      <c r="M129" s="109">
        <v>3.2610000000000001</v>
      </c>
      <c r="O129" s="379" t="str">
        <f>$O$125</f>
        <v>Used in 'Other taxes' total</v>
      </c>
    </row>
    <row r="130" spans="1:16" x14ac:dyDescent="0.2">
      <c r="A130" s="68" t="s">
        <v>564</v>
      </c>
      <c r="B130" s="68"/>
      <c r="C130" s="181">
        <v>11.215</v>
      </c>
      <c r="D130" s="181">
        <v>11.115</v>
      </c>
      <c r="E130" s="181">
        <v>11.551</v>
      </c>
      <c r="F130" s="181">
        <v>11.917</v>
      </c>
      <c r="G130" s="181">
        <v>13.708</v>
      </c>
      <c r="H130" s="181">
        <v>14.571999999999999</v>
      </c>
      <c r="I130" s="109">
        <v>15.302</v>
      </c>
      <c r="J130" s="109">
        <v>16.768000000000001</v>
      </c>
      <c r="K130" s="109">
        <v>17.783999999999999</v>
      </c>
      <c r="L130" s="109">
        <v>18.504999999999999</v>
      </c>
      <c r="M130" s="109">
        <v>19.082999999999998</v>
      </c>
      <c r="O130" s="379" t="str">
        <f>$O$125</f>
        <v>Used in 'Other taxes' total</v>
      </c>
    </row>
    <row r="131" spans="1:16" x14ac:dyDescent="0.2">
      <c r="A131" s="68" t="s">
        <v>905</v>
      </c>
      <c r="B131" s="68"/>
      <c r="C131" s="181">
        <f>0.786+0.222+0.819+0.561</f>
        <v>2.3879999999999999</v>
      </c>
      <c r="D131" s="181">
        <f>0.851+0.226+0.819+0.528</f>
        <v>2.4239999999999999</v>
      </c>
      <c r="E131" s="181">
        <f>0.868+0.171+0.781+0.514</f>
        <v>2.3339999999999996</v>
      </c>
      <c r="F131" s="181">
        <f>0.91+0.171+0.805+0.622</f>
        <v>2.508</v>
      </c>
      <c r="G131" s="181">
        <f>1.016+0.172+0.872+0.575</f>
        <v>2.6349999999999998</v>
      </c>
      <c r="H131" s="181">
        <v>2.698</v>
      </c>
      <c r="I131" s="109">
        <v>2.8540000000000001</v>
      </c>
      <c r="J131" s="109">
        <v>3.117</v>
      </c>
      <c r="K131" s="109">
        <v>3.3690000000000002</v>
      </c>
      <c r="L131" s="109">
        <v>3.5939999999999999</v>
      </c>
      <c r="M131" s="109">
        <v>3.7069999999999999</v>
      </c>
      <c r="O131" s="324" t="str">
        <f>$O$3</f>
        <v>√</v>
      </c>
    </row>
    <row r="132" spans="1:16" x14ac:dyDescent="0.2">
      <c r="A132" s="68" t="s">
        <v>949</v>
      </c>
      <c r="B132" s="68"/>
      <c r="C132" s="181">
        <f>1.836-0.561+0.553+0.238+0.23+0.094+0.054</f>
        <v>2.4439999999999995</v>
      </c>
      <c r="D132" s="181">
        <f>0.573+0.159+0.222+0.804+0.303+0.26+0.105+0.046</f>
        <v>2.4719999999999995</v>
      </c>
      <c r="E132" s="181">
        <f>0.616+0.172+0.213+0.891+0.262+0.215+0.08+0.039</f>
        <v>2.488</v>
      </c>
      <c r="F132" s="181">
        <f>0.6+0.217+0.225+0.851+0.175+0.219+0.069+0.039</f>
        <v>2.395</v>
      </c>
      <c r="G132" s="181">
        <f>0.623+0.22+0.229+0.924+0.188+0.214+0.062+0.036</f>
        <v>2.496</v>
      </c>
      <c r="H132" s="181">
        <v>2.617</v>
      </c>
      <c r="I132" s="109">
        <v>2.5979999999999999</v>
      </c>
      <c r="J132" s="109">
        <v>2.6850000000000001</v>
      </c>
      <c r="K132" s="109">
        <v>2.7789999999999999</v>
      </c>
      <c r="L132" s="109">
        <v>2.89</v>
      </c>
      <c r="M132" s="109">
        <v>2.9940000000000002</v>
      </c>
      <c r="O132" s="379" t="str">
        <f>$O$125</f>
        <v>Used in 'Other taxes' total</v>
      </c>
    </row>
    <row r="133" spans="1:16" ht="13.5" x14ac:dyDescent="0.25">
      <c r="A133" s="228" t="s">
        <v>572</v>
      </c>
      <c r="B133" s="169"/>
      <c r="C133" s="226" t="str">
        <f t="shared" ref="C133:M133" si="18">IF(ROUND(C$5-SUM(C$124:C$132),3)=0,"OK","ERROR")</f>
        <v>OK</v>
      </c>
      <c r="D133" s="226" t="str">
        <f t="shared" si="18"/>
        <v>OK</v>
      </c>
      <c r="E133" s="226" t="str">
        <f t="shared" si="18"/>
        <v>OK</v>
      </c>
      <c r="F133" s="226" t="str">
        <f t="shared" si="18"/>
        <v>OK</v>
      </c>
      <c r="G133" s="226" t="str">
        <f t="shared" si="18"/>
        <v>OK</v>
      </c>
      <c r="H133" s="226" t="str">
        <f t="shared" si="18"/>
        <v>OK</v>
      </c>
      <c r="I133" s="227" t="str">
        <f t="shared" si="18"/>
        <v>OK</v>
      </c>
      <c r="J133" s="227" t="str">
        <f t="shared" si="18"/>
        <v>OK</v>
      </c>
      <c r="K133" s="227" t="str">
        <f t="shared" si="18"/>
        <v>OK</v>
      </c>
      <c r="L133" s="227" t="str">
        <f t="shared" si="18"/>
        <v>OK</v>
      </c>
      <c r="M133" s="227" t="str">
        <f t="shared" si="18"/>
        <v>OK</v>
      </c>
    </row>
    <row r="134" spans="1:16" ht="15.75" x14ac:dyDescent="0.25">
      <c r="A134" s="51" t="s">
        <v>624</v>
      </c>
      <c r="B134" s="169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</row>
    <row r="135" spans="1:16" x14ac:dyDescent="0.2">
      <c r="A135" s="68" t="s">
        <v>591</v>
      </c>
      <c r="B135" s="169"/>
      <c r="C135" s="181">
        <v>0.75600000000000001</v>
      </c>
      <c r="D135" s="181">
        <v>1.2330000000000001</v>
      </c>
      <c r="E135" s="181">
        <v>1.248</v>
      </c>
      <c r="F135" s="181">
        <v>1.1459999999999999</v>
      </c>
      <c r="G135" s="181">
        <v>1.234</v>
      </c>
      <c r="H135" s="181">
        <v>1.181</v>
      </c>
      <c r="I135" s="109">
        <v>1.1140000000000001</v>
      </c>
      <c r="J135" s="109">
        <v>1.248</v>
      </c>
      <c r="K135" s="109">
        <v>1.347</v>
      </c>
      <c r="L135" s="109">
        <v>1.4610000000000001</v>
      </c>
      <c r="M135" s="109">
        <v>1.585</v>
      </c>
      <c r="O135" s="379" t="s">
        <v>612</v>
      </c>
    </row>
    <row r="136" spans="1:16" x14ac:dyDescent="0.2">
      <c r="A136" s="68" t="s">
        <v>592</v>
      </c>
      <c r="B136" s="169"/>
      <c r="C136" s="181">
        <v>0.48399999999999999</v>
      </c>
      <c r="D136" s="181">
        <v>0.70399999999999996</v>
      </c>
      <c r="E136" s="181">
        <v>0.77100000000000002</v>
      </c>
      <c r="F136" s="181">
        <v>0.626</v>
      </c>
      <c r="G136" s="181">
        <v>0.80100000000000005</v>
      </c>
      <c r="H136" s="181">
        <v>0.85799999999999998</v>
      </c>
      <c r="I136" s="109">
        <v>0.86399999999999999</v>
      </c>
      <c r="J136" s="109">
        <v>1.028</v>
      </c>
      <c r="K136" s="109">
        <v>1.2390000000000001</v>
      </c>
      <c r="L136" s="109">
        <v>1.3420000000000001</v>
      </c>
      <c r="M136" s="109">
        <v>1.55</v>
      </c>
      <c r="O136" s="379" t="str">
        <f>$O$135</f>
        <v>Used in 'CE &amp; SOE investment income' total</v>
      </c>
    </row>
    <row r="137" spans="1:16" x14ac:dyDescent="0.2">
      <c r="A137" s="68" t="s">
        <v>593</v>
      </c>
      <c r="B137" s="169"/>
      <c r="C137" s="181">
        <v>0.82499999999999996</v>
      </c>
      <c r="D137" s="181">
        <v>1.0669999999999999</v>
      </c>
      <c r="E137" s="181">
        <v>0.89400000000000002</v>
      </c>
      <c r="F137" s="181">
        <v>1.5920000000000001</v>
      </c>
      <c r="G137" s="181">
        <v>1.6339999999999999</v>
      </c>
      <c r="H137" s="181">
        <v>1.071</v>
      </c>
      <c r="I137" s="109">
        <v>1.028</v>
      </c>
      <c r="J137" s="109">
        <v>1.1519999999999999</v>
      </c>
      <c r="K137" s="109">
        <v>1.1539999999999999</v>
      </c>
      <c r="L137" s="109">
        <v>1.2010000000000001</v>
      </c>
      <c r="M137" s="109">
        <v>1.25</v>
      </c>
      <c r="O137" s="324" t="str">
        <f>$O$3</f>
        <v>√</v>
      </c>
    </row>
    <row r="138" spans="1:16" ht="13.5" x14ac:dyDescent="0.25">
      <c r="A138" s="228" t="s">
        <v>594</v>
      </c>
      <c r="B138" s="169"/>
      <c r="C138" s="226" t="str">
        <f t="shared" ref="C138:M138" si="19">IF(ROUND(C$8-C$103-SUM(C$135:C$136,-C$137),3)=0,"OK","ERROR")</f>
        <v>OK</v>
      </c>
      <c r="D138" s="226" t="str">
        <f t="shared" si="19"/>
        <v>OK</v>
      </c>
      <c r="E138" s="226" t="str">
        <f t="shared" si="19"/>
        <v>OK</v>
      </c>
      <c r="F138" s="226" t="str">
        <f t="shared" si="19"/>
        <v>OK</v>
      </c>
      <c r="G138" s="226" t="str">
        <f t="shared" si="19"/>
        <v>OK</v>
      </c>
      <c r="H138" s="226" t="str">
        <f t="shared" si="19"/>
        <v>OK</v>
      </c>
      <c r="I138" s="227" t="str">
        <f t="shared" si="19"/>
        <v>OK</v>
      </c>
      <c r="J138" s="227" t="str">
        <f t="shared" si="19"/>
        <v>OK</v>
      </c>
      <c r="K138" s="227" t="str">
        <f t="shared" si="19"/>
        <v>OK</v>
      </c>
      <c r="L138" s="227" t="str">
        <f t="shared" si="19"/>
        <v>OK</v>
      </c>
      <c r="M138" s="227" t="str">
        <f t="shared" si="19"/>
        <v>OK</v>
      </c>
    </row>
    <row r="139" spans="1:16" ht="15.75" x14ac:dyDescent="0.25">
      <c r="A139" s="51" t="s">
        <v>303</v>
      </c>
      <c r="B139" s="51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O139" s="274"/>
      <c r="P139" s="274"/>
    </row>
    <row r="140" spans="1:16" x14ac:dyDescent="0.2">
      <c r="A140" s="68" t="s">
        <v>412</v>
      </c>
      <c r="B140" s="68"/>
      <c r="C140" s="180">
        <v>6.81</v>
      </c>
      <c r="D140" s="180">
        <v>7.3479999999999999</v>
      </c>
      <c r="E140" s="180">
        <v>7.7439999999999998</v>
      </c>
      <c r="F140" s="180">
        <v>8.2899999999999991</v>
      </c>
      <c r="G140" s="180">
        <v>8.83</v>
      </c>
      <c r="H140" s="180">
        <v>9.5839999999999996</v>
      </c>
      <c r="I140" s="109">
        <v>10.228</v>
      </c>
      <c r="J140" s="109">
        <v>10.85</v>
      </c>
      <c r="K140" s="109">
        <v>11.414999999999999</v>
      </c>
      <c r="L140" s="109">
        <v>12.073</v>
      </c>
      <c r="M140" s="109">
        <v>12.686</v>
      </c>
      <c r="O140" s="324" t="str">
        <f t="shared" ref="O140:O146" si="20">$O$3</f>
        <v>√</v>
      </c>
      <c r="P140" s="274"/>
    </row>
    <row r="141" spans="1:16" x14ac:dyDescent="0.2">
      <c r="A141" s="68" t="s">
        <v>414</v>
      </c>
      <c r="B141" s="68"/>
      <c r="C141" s="180">
        <v>1.468</v>
      </c>
      <c r="D141" s="180">
        <v>1.478</v>
      </c>
      <c r="E141" s="180">
        <v>1.53</v>
      </c>
      <c r="F141" s="180">
        <v>1.6930000000000001</v>
      </c>
      <c r="G141" s="180">
        <v>1.7569999999999999</v>
      </c>
      <c r="H141" s="180">
        <v>1.8109999999999999</v>
      </c>
      <c r="I141" s="109">
        <v>1.7509999999999999</v>
      </c>
      <c r="J141" s="109">
        <v>1.762</v>
      </c>
      <c r="K141" s="109">
        <v>1.776</v>
      </c>
      <c r="L141" s="109">
        <v>1.8109999999999999</v>
      </c>
      <c r="M141" s="109">
        <v>1.84</v>
      </c>
      <c r="O141" s="324" t="str">
        <f t="shared" si="20"/>
        <v>√</v>
      </c>
      <c r="P141" s="274"/>
    </row>
    <row r="142" spans="1:16" x14ac:dyDescent="0.2">
      <c r="A142" s="68" t="s">
        <v>413</v>
      </c>
      <c r="B142" s="68"/>
      <c r="C142" s="180">
        <v>0.61299999999999999</v>
      </c>
      <c r="D142" s="180">
        <v>0.45800000000000002</v>
      </c>
      <c r="E142" s="180">
        <v>0.58599999999999997</v>
      </c>
      <c r="F142" s="180">
        <v>0.93</v>
      </c>
      <c r="G142" s="180">
        <v>0.94299999999999995</v>
      </c>
      <c r="H142" s="180">
        <v>0.88300000000000001</v>
      </c>
      <c r="I142" s="109">
        <v>0.83599999999999997</v>
      </c>
      <c r="J142" s="109">
        <v>0.83899999999999997</v>
      </c>
      <c r="K142" s="109">
        <v>0.81399999999999995</v>
      </c>
      <c r="L142" s="109">
        <v>0.80400000000000005</v>
      </c>
      <c r="M142" s="109">
        <v>0.78300000000000003</v>
      </c>
      <c r="O142" s="324" t="str">
        <f t="shared" si="20"/>
        <v>√</v>
      </c>
      <c r="P142" s="274"/>
    </row>
    <row r="143" spans="1:16" x14ac:dyDescent="0.2">
      <c r="A143" s="68" t="s">
        <v>416</v>
      </c>
      <c r="B143" s="68"/>
      <c r="C143" s="193">
        <v>1.1319999999999999</v>
      </c>
      <c r="D143" s="193">
        <v>1.216</v>
      </c>
      <c r="E143" s="193">
        <v>1.26</v>
      </c>
      <c r="F143" s="193">
        <v>1.3029999999999999</v>
      </c>
      <c r="G143" s="193">
        <v>1.306</v>
      </c>
      <c r="H143" s="193">
        <v>1.325</v>
      </c>
      <c r="I143" s="109">
        <v>1.323</v>
      </c>
      <c r="J143" s="109">
        <v>1.3049999999999999</v>
      </c>
      <c r="K143" s="109">
        <v>1.2769999999999999</v>
      </c>
      <c r="L143" s="109">
        <v>1.2729999999999999</v>
      </c>
      <c r="M143" s="109">
        <v>1.274</v>
      </c>
      <c r="O143" s="324" t="str">
        <f t="shared" si="20"/>
        <v>√</v>
      </c>
      <c r="P143" s="274"/>
    </row>
    <row r="144" spans="1:16" x14ac:dyDescent="0.2">
      <c r="A144" s="68" t="s">
        <v>417</v>
      </c>
      <c r="B144" s="68"/>
      <c r="C144" s="193">
        <v>0.57299999999999995</v>
      </c>
      <c r="D144" s="193">
        <v>0.58199999999999996</v>
      </c>
      <c r="E144" s="193">
        <v>0.61299999999999999</v>
      </c>
      <c r="F144" s="193">
        <v>0.71</v>
      </c>
      <c r="G144" s="193">
        <v>0.74299999999999999</v>
      </c>
      <c r="H144" s="193">
        <v>0.77500000000000002</v>
      </c>
      <c r="I144" s="109">
        <v>0.78400000000000003</v>
      </c>
      <c r="J144" s="109">
        <v>0.80900000000000005</v>
      </c>
      <c r="K144" s="109">
        <v>0.84499999999999997</v>
      </c>
      <c r="L144" s="109">
        <v>0.86799999999999999</v>
      </c>
      <c r="M144" s="109">
        <v>0.878</v>
      </c>
      <c r="O144" s="324" t="str">
        <f t="shared" si="20"/>
        <v>√</v>
      </c>
      <c r="P144" s="274"/>
    </row>
    <row r="145" spans="1:20" x14ac:dyDescent="0.2">
      <c r="A145" s="68" t="s">
        <v>859</v>
      </c>
      <c r="B145" s="68"/>
      <c r="C145" s="193">
        <v>1.6990000000000001</v>
      </c>
      <c r="D145" s="193">
        <v>1.897</v>
      </c>
      <c r="E145" s="193">
        <v>2.0619999999999998</v>
      </c>
      <c r="F145" s="193">
        <v>2.1680000000000001</v>
      </c>
      <c r="G145" s="193">
        <v>2.1389999999999998</v>
      </c>
      <c r="H145" s="193">
        <v>2.0819999999999999</v>
      </c>
      <c r="I145" s="109">
        <v>2.0619999999999998</v>
      </c>
      <c r="J145" s="109">
        <v>2.0369999999999999</v>
      </c>
      <c r="K145" s="109">
        <v>1.9930000000000001</v>
      </c>
      <c r="L145" s="109">
        <v>1.9610000000000001</v>
      </c>
      <c r="M145" s="109">
        <v>1.976</v>
      </c>
      <c r="O145" s="324" t="str">
        <f t="shared" si="20"/>
        <v>√</v>
      </c>
      <c r="P145" s="274"/>
    </row>
    <row r="146" spans="1:20" x14ac:dyDescent="0.2">
      <c r="A146" s="68" t="s">
        <v>860</v>
      </c>
      <c r="B146" s="68"/>
      <c r="C146" s="193">
        <v>0.877</v>
      </c>
      <c r="D146" s="193">
        <v>0.89100000000000001</v>
      </c>
      <c r="E146" s="193">
        <v>0.98899999999999999</v>
      </c>
      <c r="F146" s="193">
        <v>1.1539999999999999</v>
      </c>
      <c r="G146" s="193">
        <v>1.1970000000000001</v>
      </c>
      <c r="H146" s="193">
        <v>1.1950000000000001</v>
      </c>
      <c r="I146" s="109">
        <v>1.1970000000000001</v>
      </c>
      <c r="J146" s="109">
        <v>1.2290000000000001</v>
      </c>
      <c r="K146" s="109">
        <v>1.248</v>
      </c>
      <c r="L146" s="109">
        <v>1.2709999999999999</v>
      </c>
      <c r="M146" s="109">
        <v>1.288</v>
      </c>
      <c r="O146" s="324" t="str">
        <f t="shared" si="20"/>
        <v>√</v>
      </c>
      <c r="P146" s="274"/>
    </row>
    <row r="147" spans="1:20" x14ac:dyDescent="0.2">
      <c r="A147" s="68" t="s">
        <v>862</v>
      </c>
      <c r="B147" s="68"/>
      <c r="C147" s="193">
        <v>0.27</v>
      </c>
      <c r="D147" s="193">
        <v>0.27800000000000002</v>
      </c>
      <c r="E147" s="193">
        <v>0.39</v>
      </c>
      <c r="F147" s="193">
        <v>0.41099999999999998</v>
      </c>
      <c r="G147" s="193">
        <v>0.40899999999999997</v>
      </c>
      <c r="H147" s="193">
        <v>0.40100000000000002</v>
      </c>
      <c r="I147" s="109">
        <v>0.36299999999999999</v>
      </c>
      <c r="J147" s="109">
        <v>0.35799999999999998</v>
      </c>
      <c r="K147" s="109">
        <v>0.35599999999999998</v>
      </c>
      <c r="L147" s="109">
        <v>0.35799999999999998</v>
      </c>
      <c r="M147" s="109">
        <v>0.35799999999999998</v>
      </c>
      <c r="O147" s="379" t="s">
        <v>970</v>
      </c>
      <c r="P147" s="274"/>
    </row>
    <row r="148" spans="1:20" x14ac:dyDescent="0.2">
      <c r="A148" s="68" t="s">
        <v>983</v>
      </c>
      <c r="B148" s="68"/>
      <c r="C148" s="193">
        <f>1.291+0.44+0.461</f>
        <v>2.1919999999999997</v>
      </c>
      <c r="D148" s="193">
        <f>1.339+0.474+0.563</f>
        <v>2.3759999999999999</v>
      </c>
      <c r="E148" s="193">
        <f>1.509+0.512+0.584</f>
        <v>2.605</v>
      </c>
      <c r="F148" s="193">
        <f>1.408+0.522+0.595</f>
        <v>2.5249999999999999</v>
      </c>
      <c r="G148" s="193">
        <f>1.553+0.553+0.585</f>
        <v>2.6909999999999998</v>
      </c>
      <c r="H148" s="193">
        <f>1.309+0.58+0.567</f>
        <v>2.4559999999999995</v>
      </c>
      <c r="I148" s="109">
        <v>1.4419999999999999</v>
      </c>
      <c r="J148" s="109">
        <v>1.4419999999999999</v>
      </c>
      <c r="K148" s="109">
        <v>1.4239999999999999</v>
      </c>
      <c r="L148" s="109">
        <v>1.4319999999999999</v>
      </c>
      <c r="M148" s="109">
        <v>1.446</v>
      </c>
      <c r="O148" s="379" t="str">
        <f>O$147</f>
        <v>Used in 'Other welfare assistance and expenses' total</v>
      </c>
      <c r="P148" s="274"/>
    </row>
    <row r="149" spans="1:20" x14ac:dyDescent="0.2">
      <c r="A149" s="68" t="s">
        <v>861</v>
      </c>
      <c r="B149" s="68"/>
      <c r="C149" s="193">
        <v>0.38200000000000001</v>
      </c>
      <c r="D149" s="193">
        <v>0.38600000000000001</v>
      </c>
      <c r="E149" s="193">
        <v>0.44400000000000001</v>
      </c>
      <c r="F149" s="193">
        <v>0.56999999999999995</v>
      </c>
      <c r="G149" s="193">
        <v>0.62</v>
      </c>
      <c r="H149" s="193">
        <v>0.64400000000000002</v>
      </c>
      <c r="I149" s="109">
        <v>0.54100000000000004</v>
      </c>
      <c r="J149" s="109">
        <v>0.51100000000000001</v>
      </c>
      <c r="K149" s="109">
        <v>0.49299999999999999</v>
      </c>
      <c r="L149" s="109">
        <v>0.48299999999999998</v>
      </c>
      <c r="M149" s="109">
        <v>0.47899999999999998</v>
      </c>
      <c r="O149" s="324" t="str">
        <f>$O$3</f>
        <v>√</v>
      </c>
      <c r="P149" s="274"/>
    </row>
    <row r="150" spans="1:20" x14ac:dyDescent="0.2">
      <c r="A150" s="68" t="s">
        <v>552</v>
      </c>
      <c r="B150" s="68"/>
      <c r="C150" s="193">
        <v>0</v>
      </c>
      <c r="D150" s="193">
        <v>1.1020000000000001</v>
      </c>
      <c r="E150" s="193">
        <v>1.2809999999999999</v>
      </c>
      <c r="F150" s="193">
        <v>1.024</v>
      </c>
      <c r="G150" s="193">
        <v>1.042</v>
      </c>
      <c r="H150" s="193">
        <v>0.68799999999999994</v>
      </c>
      <c r="I150" s="111">
        <v>0.71</v>
      </c>
      <c r="J150" s="111">
        <v>0.70199999999999996</v>
      </c>
      <c r="K150" s="111">
        <v>0.69599999999999995</v>
      </c>
      <c r="L150" s="111">
        <v>0.72099999999999997</v>
      </c>
      <c r="M150" s="111">
        <v>0.748</v>
      </c>
      <c r="O150" s="324" t="str">
        <f>$O$3</f>
        <v>√</v>
      </c>
      <c r="P150" s="274"/>
    </row>
    <row r="151" spans="1:20" x14ac:dyDescent="0.2">
      <c r="A151" s="68" t="s">
        <v>1011</v>
      </c>
      <c r="C151" s="180">
        <v>0.434</v>
      </c>
      <c r="D151" s="180">
        <v>0.46500000000000002</v>
      </c>
      <c r="E151" s="180">
        <v>0.504</v>
      </c>
      <c r="F151" s="180">
        <v>0.52200000000000002</v>
      </c>
      <c r="G151" s="180">
        <v>0.55300000000000005</v>
      </c>
      <c r="H151" s="180">
        <v>0.57999999999999996</v>
      </c>
      <c r="I151" s="109">
        <v>0.61399999999999999</v>
      </c>
      <c r="J151" s="109">
        <v>0.66</v>
      </c>
      <c r="K151" s="109">
        <v>0.70699999999999996</v>
      </c>
      <c r="L151" s="109">
        <v>0.75900000000000001</v>
      </c>
      <c r="M151" s="109">
        <v>0.80800000000000005</v>
      </c>
      <c r="O151" s="324"/>
      <c r="P151" s="324"/>
      <c r="Q151" s="324"/>
      <c r="R151" s="324"/>
      <c r="S151" s="324"/>
      <c r="T151" s="324"/>
    </row>
    <row r="152" spans="1:20" ht="15.75" x14ac:dyDescent="0.25">
      <c r="A152" s="348" t="s">
        <v>878</v>
      </c>
      <c r="B152" s="68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O152" s="324"/>
      <c r="P152" s="274"/>
    </row>
    <row r="153" spans="1:20" x14ac:dyDescent="0.2">
      <c r="A153" s="343" t="s">
        <v>879</v>
      </c>
      <c r="B153" s="68"/>
      <c r="C153" s="193">
        <v>0</v>
      </c>
      <c r="D153" s="193">
        <v>0</v>
      </c>
      <c r="E153" s="193">
        <v>0</v>
      </c>
      <c r="F153" s="193">
        <v>0</v>
      </c>
      <c r="G153" s="193">
        <v>0</v>
      </c>
      <c r="H153" s="193">
        <v>0</v>
      </c>
      <c r="I153" s="109">
        <v>0.317</v>
      </c>
      <c r="J153" s="109">
        <v>0.26700000000000002</v>
      </c>
      <c r="K153" s="109">
        <v>0.29199999999999998</v>
      </c>
      <c r="L153" s="109">
        <v>0.26700000000000002</v>
      </c>
      <c r="M153" s="109">
        <v>0.26800000000000002</v>
      </c>
      <c r="O153" s="378" t="s">
        <v>971</v>
      </c>
      <c r="P153" s="274"/>
    </row>
    <row r="154" spans="1:20" x14ac:dyDescent="0.2">
      <c r="A154" s="343" t="s">
        <v>880</v>
      </c>
      <c r="B154" s="68"/>
      <c r="C154" s="193">
        <v>0</v>
      </c>
      <c r="D154" s="193">
        <v>0</v>
      </c>
      <c r="E154" s="193">
        <v>0</v>
      </c>
      <c r="F154" s="193">
        <v>0</v>
      </c>
      <c r="G154" s="193">
        <v>0</v>
      </c>
      <c r="H154" s="193">
        <v>0</v>
      </c>
      <c r="I154" s="109">
        <v>0</v>
      </c>
      <c r="J154" s="109">
        <v>0.71099999999999997</v>
      </c>
      <c r="K154" s="109">
        <v>0.67200000000000004</v>
      </c>
      <c r="L154" s="109">
        <v>0.68100000000000005</v>
      </c>
      <c r="M154" s="109">
        <v>0.63400000000000001</v>
      </c>
      <c r="O154" s="378" t="str">
        <f>O$153</f>
        <v>Only used as check on 'Forecast new operating spending' from 'Forecast Statement of Financial Performance'</v>
      </c>
      <c r="P154" s="274"/>
    </row>
    <row r="155" spans="1:20" x14ac:dyDescent="0.2">
      <c r="A155" s="343" t="s">
        <v>881</v>
      </c>
      <c r="B155" s="68"/>
      <c r="C155" s="193">
        <v>0</v>
      </c>
      <c r="D155" s="193">
        <v>0</v>
      </c>
      <c r="E155" s="193">
        <v>0</v>
      </c>
      <c r="F155" s="193">
        <v>0</v>
      </c>
      <c r="G155" s="193">
        <v>0</v>
      </c>
      <c r="H155" s="193">
        <v>0</v>
      </c>
      <c r="I155" s="111">
        <v>0</v>
      </c>
      <c r="J155" s="111">
        <v>0</v>
      </c>
      <c r="K155" s="111">
        <v>1.19</v>
      </c>
      <c r="L155" s="111">
        <v>1.19</v>
      </c>
      <c r="M155" s="111">
        <v>1.19</v>
      </c>
      <c r="O155" s="378" t="str">
        <f>O$153</f>
        <v>Only used as check on 'Forecast new operating spending' from 'Forecast Statement of Financial Performance'</v>
      </c>
      <c r="P155" s="274"/>
    </row>
    <row r="156" spans="1:20" x14ac:dyDescent="0.2">
      <c r="A156" s="343" t="s">
        <v>882</v>
      </c>
      <c r="B156" s="68"/>
      <c r="C156" s="193">
        <v>0</v>
      </c>
      <c r="D156" s="193">
        <v>0</v>
      </c>
      <c r="E156" s="193">
        <v>0</v>
      </c>
      <c r="F156" s="193">
        <v>0</v>
      </c>
      <c r="G156" s="193">
        <v>0</v>
      </c>
      <c r="H156" s="193">
        <v>0</v>
      </c>
      <c r="I156" s="111">
        <v>0</v>
      </c>
      <c r="J156" s="111">
        <v>0</v>
      </c>
      <c r="K156" s="111">
        <v>0</v>
      </c>
      <c r="L156" s="111">
        <v>1.214</v>
      </c>
      <c r="M156" s="111">
        <v>1.214</v>
      </c>
      <c r="O156" s="378" t="str">
        <f>O$153</f>
        <v>Only used as check on 'Forecast new operating spending' from 'Forecast Statement of Financial Performance'</v>
      </c>
      <c r="P156" s="274"/>
    </row>
    <row r="157" spans="1:20" x14ac:dyDescent="0.2">
      <c r="A157" s="343" t="s">
        <v>883</v>
      </c>
      <c r="B157" s="68"/>
      <c r="C157" s="193">
        <v>0</v>
      </c>
      <c r="D157" s="193">
        <v>0</v>
      </c>
      <c r="E157" s="193">
        <v>0</v>
      </c>
      <c r="F157" s="193">
        <v>0</v>
      </c>
      <c r="G157" s="193">
        <v>0</v>
      </c>
      <c r="H157" s="193">
        <v>0</v>
      </c>
      <c r="I157" s="290">
        <v>0</v>
      </c>
      <c r="J157" s="290">
        <v>0</v>
      </c>
      <c r="K157" s="290">
        <v>0</v>
      </c>
      <c r="L157" s="290">
        <v>0</v>
      </c>
      <c r="M157" s="290">
        <v>1.238</v>
      </c>
      <c r="O157" s="378" t="str">
        <f>O$153</f>
        <v>Only used as check on 'Forecast new operating spending' from 'Forecast Statement of Financial Performance'</v>
      </c>
      <c r="P157" s="274"/>
    </row>
    <row r="158" spans="1:20" ht="13.5" x14ac:dyDescent="0.25">
      <c r="A158" s="349" t="s">
        <v>900</v>
      </c>
      <c r="B158" s="68"/>
      <c r="C158" s="226" t="str">
        <f t="shared" ref="C158:M158" si="21">IF(ROUND(C$35-SUM(C$153:C$157),3)=0,"OK","ERROR")</f>
        <v>OK</v>
      </c>
      <c r="D158" s="226" t="str">
        <f t="shared" si="21"/>
        <v>OK</v>
      </c>
      <c r="E158" s="226" t="str">
        <f t="shared" si="21"/>
        <v>OK</v>
      </c>
      <c r="F158" s="226" t="str">
        <f t="shared" si="21"/>
        <v>OK</v>
      </c>
      <c r="G158" s="226" t="str">
        <f t="shared" si="21"/>
        <v>OK</v>
      </c>
      <c r="H158" s="226" t="str">
        <f t="shared" si="21"/>
        <v>OK</v>
      </c>
      <c r="I158" s="227" t="str">
        <f t="shared" si="21"/>
        <v>OK</v>
      </c>
      <c r="J158" s="227" t="str">
        <f t="shared" si="21"/>
        <v>OK</v>
      </c>
      <c r="K158" s="227" t="str">
        <f t="shared" si="21"/>
        <v>OK</v>
      </c>
      <c r="L158" s="227" t="str">
        <f t="shared" si="21"/>
        <v>OK</v>
      </c>
      <c r="M158" s="227" t="str">
        <f t="shared" si="21"/>
        <v>OK</v>
      </c>
      <c r="O158" s="324"/>
      <c r="P158" s="274"/>
    </row>
    <row r="159" spans="1:20" ht="15.75" x14ac:dyDescent="0.25">
      <c r="A159" s="348" t="s">
        <v>885</v>
      </c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O159" s="324"/>
      <c r="P159" s="274"/>
    </row>
    <row r="160" spans="1:20" x14ac:dyDescent="0.2">
      <c r="A160" s="343" t="s">
        <v>879</v>
      </c>
      <c r="B160" s="68"/>
      <c r="C160" s="193">
        <v>0</v>
      </c>
      <c r="D160" s="193">
        <v>0</v>
      </c>
      <c r="E160" s="193">
        <v>0</v>
      </c>
      <c r="F160" s="193">
        <v>0</v>
      </c>
      <c r="G160" s="193">
        <v>0</v>
      </c>
      <c r="H160" s="193">
        <v>0</v>
      </c>
      <c r="I160" s="109">
        <v>7.9000000000000001E-2</v>
      </c>
      <c r="J160" s="109">
        <v>0.105</v>
      </c>
      <c r="K160" s="109">
        <v>0.126</v>
      </c>
      <c r="L160" s="109">
        <v>0.126</v>
      </c>
      <c r="M160" s="109">
        <v>0.126</v>
      </c>
      <c r="O160" s="379" t="s">
        <v>972</v>
      </c>
      <c r="P160" s="274"/>
    </row>
    <row r="161" spans="1:16" x14ac:dyDescent="0.2">
      <c r="A161" s="343" t="s">
        <v>880</v>
      </c>
      <c r="B161" s="68"/>
      <c r="C161" s="193">
        <v>0</v>
      </c>
      <c r="D161" s="193">
        <v>0</v>
      </c>
      <c r="E161" s="193">
        <v>0</v>
      </c>
      <c r="F161" s="193">
        <v>0</v>
      </c>
      <c r="G161" s="193">
        <v>0</v>
      </c>
      <c r="H161" s="193">
        <v>0</v>
      </c>
      <c r="I161" s="109">
        <v>0.1</v>
      </c>
      <c r="J161" s="109">
        <v>0.7</v>
      </c>
      <c r="K161" s="109">
        <v>1</v>
      </c>
      <c r="L161" s="109">
        <v>1.25</v>
      </c>
      <c r="M161" s="109">
        <v>1.4</v>
      </c>
      <c r="O161" s="379" t="str">
        <f>O$160</f>
        <v>Used in 'Forecast New Capital Spending' total</v>
      </c>
      <c r="P161" s="274"/>
    </row>
    <row r="162" spans="1:16" x14ac:dyDescent="0.2">
      <c r="A162" s="343" t="s">
        <v>881</v>
      </c>
      <c r="B162" s="68"/>
      <c r="C162" s="193">
        <v>0</v>
      </c>
      <c r="D162" s="193">
        <v>0</v>
      </c>
      <c r="E162" s="193">
        <v>0</v>
      </c>
      <c r="F162" s="193">
        <v>0</v>
      </c>
      <c r="G162" s="193">
        <v>0</v>
      </c>
      <c r="H162" s="193">
        <v>0</v>
      </c>
      <c r="I162" s="111">
        <v>0</v>
      </c>
      <c r="J162" s="111">
        <v>0.1</v>
      </c>
      <c r="K162" s="111">
        <v>0.5</v>
      </c>
      <c r="L162" s="111">
        <v>0.7</v>
      </c>
      <c r="M162" s="111">
        <v>0.95</v>
      </c>
      <c r="O162" s="379" t="str">
        <f>O$160</f>
        <v>Used in 'Forecast New Capital Spending' total</v>
      </c>
      <c r="P162" s="274"/>
    </row>
    <row r="163" spans="1:16" x14ac:dyDescent="0.2">
      <c r="A163" s="343" t="s">
        <v>882</v>
      </c>
      <c r="B163" s="68"/>
      <c r="C163" s="193">
        <v>0</v>
      </c>
      <c r="D163" s="193">
        <v>0</v>
      </c>
      <c r="E163" s="193">
        <v>0</v>
      </c>
      <c r="F163" s="193">
        <v>0</v>
      </c>
      <c r="G163" s="193">
        <v>0</v>
      </c>
      <c r="H163" s="193">
        <v>0</v>
      </c>
      <c r="I163" s="109">
        <v>0</v>
      </c>
      <c r="J163" s="109">
        <v>0</v>
      </c>
      <c r="K163" s="109">
        <v>0.1</v>
      </c>
      <c r="L163" s="109">
        <v>0.35</v>
      </c>
      <c r="M163" s="109">
        <v>0.51</v>
      </c>
      <c r="O163" s="379" t="str">
        <f>O$160</f>
        <v>Used in 'Forecast New Capital Spending' total</v>
      </c>
      <c r="P163" s="274"/>
    </row>
    <row r="164" spans="1:16" x14ac:dyDescent="0.2">
      <c r="A164" s="343" t="s">
        <v>883</v>
      </c>
      <c r="B164" s="68"/>
      <c r="C164" s="193">
        <v>0</v>
      </c>
      <c r="D164" s="193">
        <v>0</v>
      </c>
      <c r="E164" s="193">
        <v>0</v>
      </c>
      <c r="F164" s="193">
        <v>0</v>
      </c>
      <c r="G164" s="193">
        <v>0</v>
      </c>
      <c r="H164" s="193">
        <v>0</v>
      </c>
      <c r="I164" s="111">
        <v>0</v>
      </c>
      <c r="J164" s="111">
        <v>0</v>
      </c>
      <c r="K164" s="111">
        <v>0</v>
      </c>
      <c r="L164" s="111">
        <v>0.1</v>
      </c>
      <c r="M164" s="111">
        <v>0.35</v>
      </c>
      <c r="O164" s="379" t="str">
        <f>O$160</f>
        <v>Used in 'Forecast New Capital Spending' total</v>
      </c>
      <c r="P164" s="274"/>
    </row>
    <row r="165" spans="1:16" x14ac:dyDescent="0.2">
      <c r="A165" s="343" t="s">
        <v>899</v>
      </c>
      <c r="B165" s="68"/>
      <c r="C165" s="193">
        <v>0</v>
      </c>
      <c r="D165" s="193">
        <v>0</v>
      </c>
      <c r="E165" s="193">
        <v>0</v>
      </c>
      <c r="F165" s="193">
        <v>0</v>
      </c>
      <c r="G165" s="193">
        <v>0</v>
      </c>
      <c r="H165" s="193">
        <v>0</v>
      </c>
      <c r="I165" s="111">
        <v>0</v>
      </c>
      <c r="J165" s="111">
        <v>0</v>
      </c>
      <c r="K165" s="111">
        <v>0</v>
      </c>
      <c r="L165" s="111">
        <v>0</v>
      </c>
      <c r="M165" s="111">
        <v>0.1</v>
      </c>
      <c r="O165" s="379" t="str">
        <f>O$160</f>
        <v>Used in 'Forecast New Capital Spending' total</v>
      </c>
      <c r="P165" s="274"/>
    </row>
    <row r="166" spans="1:16" ht="13.5" x14ac:dyDescent="0.25">
      <c r="A166" s="349" t="s">
        <v>884</v>
      </c>
      <c r="B166" s="68"/>
      <c r="C166" s="226" t="str">
        <f t="shared" ref="C166:M166" si="22">IF(ROUND(C$68-SUM(C$160:C$165),3)=0,"OK","ERROR")</f>
        <v>OK</v>
      </c>
      <c r="D166" s="226" t="str">
        <f t="shared" si="22"/>
        <v>OK</v>
      </c>
      <c r="E166" s="226" t="str">
        <f t="shared" si="22"/>
        <v>OK</v>
      </c>
      <c r="F166" s="226" t="str">
        <f t="shared" si="22"/>
        <v>OK</v>
      </c>
      <c r="G166" s="226" t="str">
        <f t="shared" si="22"/>
        <v>OK</v>
      </c>
      <c r="H166" s="226" t="str">
        <f t="shared" si="22"/>
        <v>OK</v>
      </c>
      <c r="I166" s="227" t="str">
        <f t="shared" si="22"/>
        <v>OK</v>
      </c>
      <c r="J166" s="227" t="str">
        <f t="shared" si="22"/>
        <v>OK</v>
      </c>
      <c r="K166" s="227" t="str">
        <f t="shared" si="22"/>
        <v>OK</v>
      </c>
      <c r="L166" s="227" t="str">
        <f t="shared" si="22"/>
        <v>OK</v>
      </c>
      <c r="M166" s="227" t="str">
        <f t="shared" si="22"/>
        <v>OK</v>
      </c>
      <c r="O166" s="324"/>
      <c r="P166" s="274"/>
    </row>
    <row r="167" spans="1:16" ht="15.75" x14ac:dyDescent="0.25">
      <c r="A167" s="51" t="s">
        <v>625</v>
      </c>
      <c r="B167" s="68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O167" s="324"/>
      <c r="P167" s="274"/>
    </row>
    <row r="168" spans="1:16" x14ac:dyDescent="0.2">
      <c r="A168" s="68" t="s">
        <v>765</v>
      </c>
      <c r="B168" s="68"/>
      <c r="C168" s="180">
        <v>16.991</v>
      </c>
      <c r="D168" s="180">
        <v>20.536000000000001</v>
      </c>
      <c r="E168" s="180">
        <v>22.831</v>
      </c>
      <c r="F168" s="180">
        <v>23.097000000000001</v>
      </c>
      <c r="G168" s="180">
        <v>29.928000000000001</v>
      </c>
      <c r="H168" s="180">
        <v>26.062000000000001</v>
      </c>
      <c r="I168" s="109">
        <v>16.481999999999999</v>
      </c>
      <c r="J168" s="109">
        <v>18.071000000000002</v>
      </c>
      <c r="K168" s="109">
        <v>11.648999999999999</v>
      </c>
      <c r="L168" s="109">
        <v>12.468</v>
      </c>
      <c r="M168" s="109">
        <v>15.554</v>
      </c>
      <c r="O168" s="379" t="s">
        <v>718</v>
      </c>
    </row>
    <row r="169" spans="1:16" x14ac:dyDescent="0.2">
      <c r="A169" s="68" t="s">
        <v>766</v>
      </c>
      <c r="B169" s="68"/>
      <c r="C169" s="180">
        <v>17.718</v>
      </c>
      <c r="D169" s="180">
        <v>18.158999999999999</v>
      </c>
      <c r="E169" s="180">
        <v>22.372</v>
      </c>
      <c r="F169" s="180">
        <v>19.260000000000002</v>
      </c>
      <c r="G169" s="180">
        <v>17.908999999999999</v>
      </c>
      <c r="H169" s="180">
        <v>17.573</v>
      </c>
      <c r="I169" s="109">
        <v>17.963999999999999</v>
      </c>
      <c r="J169" s="109">
        <v>17.981000000000002</v>
      </c>
      <c r="K169" s="109">
        <v>17.577999999999999</v>
      </c>
      <c r="L169" s="109">
        <v>17.664000000000001</v>
      </c>
      <c r="M169" s="109">
        <v>17.934999999999999</v>
      </c>
      <c r="O169" s="379" t="s">
        <v>718</v>
      </c>
    </row>
    <row r="170" spans="1:16" x14ac:dyDescent="0.2">
      <c r="A170" s="68" t="s">
        <v>308</v>
      </c>
      <c r="B170" s="68"/>
      <c r="C170" s="180">
        <v>12.576000000000001</v>
      </c>
      <c r="D170" s="180">
        <v>13.791</v>
      </c>
      <c r="E170" s="180">
        <v>12.877000000000001</v>
      </c>
      <c r="F170" s="180">
        <v>15.552</v>
      </c>
      <c r="G170" s="180">
        <v>18.687000000000001</v>
      </c>
      <c r="H170" s="180">
        <v>18.815000000000001</v>
      </c>
      <c r="I170" s="109">
        <v>21.491</v>
      </c>
      <c r="J170" s="109">
        <v>22.544</v>
      </c>
      <c r="K170" s="109">
        <v>24.132000000000001</v>
      </c>
      <c r="L170" s="109">
        <v>25.827999999999999</v>
      </c>
      <c r="M170" s="109">
        <v>27.657</v>
      </c>
      <c r="O170" s="379" t="str">
        <f>$O$169</f>
        <v>Used in calculation of all components of CC 'Marketable securities, derivatives in gain and share investments'</v>
      </c>
    </row>
    <row r="171" spans="1:16" x14ac:dyDescent="0.2">
      <c r="A171" s="68" t="s">
        <v>309</v>
      </c>
      <c r="B171" s="68"/>
      <c r="C171" s="180">
        <v>15.003</v>
      </c>
      <c r="D171" s="180">
        <v>17.006</v>
      </c>
      <c r="E171" s="180">
        <v>17.399000000000001</v>
      </c>
      <c r="F171" s="180">
        <v>16.507999999999999</v>
      </c>
      <c r="G171" s="180">
        <v>19.116</v>
      </c>
      <c r="H171" s="180">
        <v>20.454999999999998</v>
      </c>
      <c r="I171" s="109">
        <v>20.236999999999998</v>
      </c>
      <c r="J171" s="109">
        <v>19.925000000000001</v>
      </c>
      <c r="K171" s="109">
        <v>20.045999999999999</v>
      </c>
      <c r="L171" s="109">
        <v>20.474</v>
      </c>
      <c r="M171" s="109">
        <v>21.079000000000001</v>
      </c>
      <c r="O171" s="379" t="str">
        <f>$O$169</f>
        <v>Used in calculation of all components of CC 'Marketable securities, derivatives in gain and share investments'</v>
      </c>
    </row>
    <row r="172" spans="1:16" x14ac:dyDescent="0.2">
      <c r="A172" s="68" t="s">
        <v>767</v>
      </c>
      <c r="B172" s="68"/>
      <c r="C172" s="193">
        <v>10.204000000000001</v>
      </c>
      <c r="D172" s="193">
        <v>9.5950000000000006</v>
      </c>
      <c r="E172" s="193">
        <v>9.8659999999999997</v>
      </c>
      <c r="F172" s="193">
        <v>8.4369999999999994</v>
      </c>
      <c r="G172" s="193">
        <v>9.1649999999999991</v>
      </c>
      <c r="H172" s="193">
        <v>7.9240000000000004</v>
      </c>
      <c r="I172" s="111">
        <v>6.4349999999999996</v>
      </c>
      <c r="J172" s="111">
        <v>5.8460000000000001</v>
      </c>
      <c r="K172" s="111">
        <v>4.3760000000000003</v>
      </c>
      <c r="L172" s="111">
        <v>3.5760000000000001</v>
      </c>
      <c r="M172" s="111">
        <v>3.6749999999999998</v>
      </c>
      <c r="O172" s="379" t="str">
        <f>$O$169</f>
        <v>Used in calculation of all components of CC 'Marketable securities, derivatives in gain and share investments'</v>
      </c>
    </row>
    <row r="173" spans="1:16" x14ac:dyDescent="0.2">
      <c r="A173" s="68" t="s">
        <v>338</v>
      </c>
      <c r="B173" s="68"/>
      <c r="C173" s="193">
        <v>12.169</v>
      </c>
      <c r="D173" s="193">
        <v>12.958</v>
      </c>
      <c r="E173" s="193">
        <v>14.281000000000001</v>
      </c>
      <c r="F173" s="193">
        <v>16.975000000000001</v>
      </c>
      <c r="G173" s="193">
        <v>21.568999999999999</v>
      </c>
      <c r="H173" s="193">
        <v>25.34</v>
      </c>
      <c r="I173" s="111">
        <v>28.870999999999999</v>
      </c>
      <c r="J173" s="111">
        <v>31.504999999999999</v>
      </c>
      <c r="K173" s="111">
        <v>34.332000000000001</v>
      </c>
      <c r="L173" s="111">
        <v>37.322000000000003</v>
      </c>
      <c r="M173" s="111">
        <v>40.561</v>
      </c>
      <c r="O173" s="379" t="s">
        <v>719</v>
      </c>
    </row>
    <row r="174" spans="1:16" x14ac:dyDescent="0.2">
      <c r="A174" s="68" t="s">
        <v>339</v>
      </c>
      <c r="B174" s="68"/>
      <c r="C174" s="193">
        <v>5.484</v>
      </c>
      <c r="D174" s="193">
        <v>5.6150000000000002</v>
      </c>
      <c r="E174" s="193">
        <v>5.6390000000000002</v>
      </c>
      <c r="F174" s="193">
        <v>6.0030000000000001</v>
      </c>
      <c r="G174" s="193">
        <v>9.3049999999999997</v>
      </c>
      <c r="H174" s="193">
        <v>7.2519999999999998</v>
      </c>
      <c r="I174" s="111">
        <v>4.2560000000000002</v>
      </c>
      <c r="J174" s="111">
        <v>1.625</v>
      </c>
      <c r="K174" s="111">
        <v>0.36199999999999999</v>
      </c>
      <c r="L174" s="111">
        <v>5.5E-2</v>
      </c>
      <c r="M174" s="111">
        <v>5.6000000000000001E-2</v>
      </c>
      <c r="O174" s="379" t="str">
        <f>$O$173</f>
        <v>Used in calculation of all components of TC 'Marketable securities, derivatives in gain and share investments'</v>
      </c>
    </row>
    <row r="175" spans="1:16" x14ac:dyDescent="0.2">
      <c r="A175" s="68" t="s">
        <v>626</v>
      </c>
      <c r="B175" s="68"/>
      <c r="C175" s="181">
        <v>6.2969999999999997</v>
      </c>
      <c r="D175" s="181">
        <v>6.8440000000000003</v>
      </c>
      <c r="E175" s="181">
        <v>6.9290000000000003</v>
      </c>
      <c r="F175" s="181">
        <v>6.8739999999999997</v>
      </c>
      <c r="G175" s="181">
        <v>8.8309999999999995</v>
      </c>
      <c r="H175" s="181">
        <v>11.167999999999999</v>
      </c>
      <c r="I175" s="109">
        <v>9.6910000000000007</v>
      </c>
      <c r="J175" s="109">
        <v>9.2189999999999994</v>
      </c>
      <c r="K175" s="109">
        <v>8.657</v>
      </c>
      <c r="L175" s="109">
        <v>7.8289999999999997</v>
      </c>
      <c r="M175" s="109">
        <v>7.9589999999999996</v>
      </c>
      <c r="O175" s="379" t="str">
        <f>$O$173</f>
        <v>Used in calculation of all components of TC 'Marketable securities, derivatives in gain and share investments'</v>
      </c>
    </row>
    <row r="176" spans="1:16" x14ac:dyDescent="0.2">
      <c r="A176" s="68" t="s">
        <v>768</v>
      </c>
      <c r="B176" s="68"/>
      <c r="C176" s="181">
        <v>1.407</v>
      </c>
      <c r="D176" s="181">
        <v>1.5169999999999999</v>
      </c>
      <c r="E176" s="181">
        <v>1.5209999999999999</v>
      </c>
      <c r="F176" s="181">
        <v>1.716</v>
      </c>
      <c r="G176" s="181">
        <v>3.3140000000000001</v>
      </c>
      <c r="H176" s="181">
        <v>3.6850000000000001</v>
      </c>
      <c r="I176" s="109">
        <v>3.6930000000000001</v>
      </c>
      <c r="J176" s="109">
        <v>3.6970000000000001</v>
      </c>
      <c r="K176" s="109">
        <v>3.411</v>
      </c>
      <c r="L176" s="109">
        <v>2.8740000000000001</v>
      </c>
      <c r="M176" s="109">
        <v>2.931</v>
      </c>
      <c r="O176" s="379" t="str">
        <f>$O$173</f>
        <v>Used in calculation of all components of TC 'Marketable securities, derivatives in gain and share investments'</v>
      </c>
    </row>
    <row r="177" spans="1:32" x14ac:dyDescent="0.2">
      <c r="A177" s="68" t="s">
        <v>592</v>
      </c>
      <c r="B177" s="68"/>
      <c r="C177" s="181">
        <v>8.9420000000000002</v>
      </c>
      <c r="D177" s="181">
        <v>11.726000000000001</v>
      </c>
      <c r="E177" s="181">
        <v>14.702</v>
      </c>
      <c r="F177" s="181">
        <v>16.064</v>
      </c>
      <c r="G177" s="181">
        <v>20.241</v>
      </c>
      <c r="H177" s="181">
        <v>19.186</v>
      </c>
      <c r="I177" s="109">
        <v>20.053000000000001</v>
      </c>
      <c r="J177" s="109">
        <v>21.684000000000001</v>
      </c>
      <c r="K177" s="109">
        <v>23.940999999999999</v>
      </c>
      <c r="L177" s="109">
        <v>26.87</v>
      </c>
      <c r="M177" s="109">
        <v>30.247</v>
      </c>
      <c r="O177" s="379" t="str">
        <f>$O$173</f>
        <v>Used in calculation of all components of TC 'Marketable securities, derivatives in gain and share investments'</v>
      </c>
    </row>
    <row r="178" spans="1:32" x14ac:dyDescent="0.2">
      <c r="A178" s="68" t="s">
        <v>769</v>
      </c>
      <c r="B178" s="68"/>
      <c r="C178" s="181">
        <v>9.8490000000000002</v>
      </c>
      <c r="D178" s="181">
        <v>10.46</v>
      </c>
      <c r="E178" s="181">
        <v>12.284000000000001</v>
      </c>
      <c r="F178" s="181">
        <v>14.209</v>
      </c>
      <c r="G178" s="181">
        <v>17.745000000000001</v>
      </c>
      <c r="H178" s="181">
        <v>18.064</v>
      </c>
      <c r="I178" s="109">
        <v>18.239000000000001</v>
      </c>
      <c r="J178" s="109">
        <v>17.388999999999999</v>
      </c>
      <c r="K178" s="109">
        <v>18.442</v>
      </c>
      <c r="L178" s="109">
        <v>20.033000000000001</v>
      </c>
      <c r="M178" s="109">
        <v>21.521000000000001</v>
      </c>
      <c r="O178" s="379" t="str">
        <f>$O$173</f>
        <v>Used in calculation of all components of TC 'Marketable securities, derivatives in gain and share investments'</v>
      </c>
    </row>
    <row r="179" spans="1:32" ht="13.5" x14ac:dyDescent="0.25">
      <c r="A179" s="228" t="s">
        <v>627</v>
      </c>
      <c r="B179" s="68"/>
      <c r="C179" s="226" t="str">
        <f t="shared" ref="C179:M179" si="23">IF(ROUND(SUM(C$58:C$62)-SUM(C$168:C$171,-C$172,C$173:C$175,-C$176,C$177,-C$178),3)=0,"OK","ERROR")</f>
        <v>OK</v>
      </c>
      <c r="D179" s="226" t="str">
        <f t="shared" si="23"/>
        <v>OK</v>
      </c>
      <c r="E179" s="226" t="str">
        <f t="shared" si="23"/>
        <v>OK</v>
      </c>
      <c r="F179" s="226" t="str">
        <f t="shared" si="23"/>
        <v>OK</v>
      </c>
      <c r="G179" s="226" t="str">
        <f t="shared" si="23"/>
        <v>OK</v>
      </c>
      <c r="H179" s="226" t="str">
        <f t="shared" si="23"/>
        <v>OK</v>
      </c>
      <c r="I179" s="227" t="str">
        <f t="shared" si="23"/>
        <v>OK</v>
      </c>
      <c r="J179" s="227" t="str">
        <f t="shared" si="23"/>
        <v>OK</v>
      </c>
      <c r="K179" s="227" t="str">
        <f t="shared" si="23"/>
        <v>OK</v>
      </c>
      <c r="L179" s="227" t="str">
        <f t="shared" si="23"/>
        <v>OK</v>
      </c>
      <c r="M179" s="227" t="str">
        <f t="shared" si="23"/>
        <v>OK</v>
      </c>
      <c r="O179" s="324"/>
    </row>
    <row r="180" spans="1:32" ht="15.75" x14ac:dyDescent="0.25">
      <c r="A180" s="51" t="s">
        <v>415</v>
      </c>
      <c r="B180" s="51"/>
      <c r="C180" s="184"/>
      <c r="D180" s="184"/>
      <c r="E180" s="184"/>
      <c r="F180" s="184"/>
      <c r="G180" s="184"/>
      <c r="H180" s="184"/>
      <c r="I180" s="289"/>
      <c r="J180" s="289"/>
      <c r="K180" s="289"/>
      <c r="L180" s="289"/>
      <c r="M180" s="289"/>
      <c r="O180" s="324"/>
    </row>
    <row r="181" spans="1:32" x14ac:dyDescent="0.2">
      <c r="A181" s="50" t="s">
        <v>553</v>
      </c>
      <c r="B181" s="169"/>
      <c r="C181" s="180">
        <v>9.4130000000000003</v>
      </c>
      <c r="D181" s="180">
        <v>9.5730000000000004</v>
      </c>
      <c r="E181" s="180">
        <v>10.259</v>
      </c>
      <c r="F181" s="180">
        <v>11.145</v>
      </c>
      <c r="G181" s="180">
        <v>12.07</v>
      </c>
      <c r="H181" s="180">
        <v>12.968999999999999</v>
      </c>
      <c r="I181" s="109">
        <v>13.711</v>
      </c>
      <c r="J181" s="109">
        <v>14.372</v>
      </c>
      <c r="K181" s="109">
        <v>15.002000000000001</v>
      </c>
      <c r="L181" s="109">
        <v>15.648</v>
      </c>
      <c r="M181" s="109">
        <v>16.3</v>
      </c>
      <c r="O181" s="324" t="str">
        <f t="shared" ref="O181:O188" si="24">$O$3</f>
        <v>√</v>
      </c>
    </row>
    <row r="182" spans="1:32" x14ac:dyDescent="0.2">
      <c r="A182" s="225" t="s">
        <v>554</v>
      </c>
      <c r="B182" s="68"/>
      <c r="C182" s="180">
        <v>5.569</v>
      </c>
      <c r="D182" s="180">
        <v>6.0110000000000001</v>
      </c>
      <c r="E182" s="180">
        <v>6.7409999999999997</v>
      </c>
      <c r="F182" s="180">
        <v>6.5529999999999999</v>
      </c>
      <c r="G182" s="180">
        <v>6.79</v>
      </c>
      <c r="H182" s="180">
        <v>7.46</v>
      </c>
      <c r="I182" s="109">
        <v>8.2910000000000004</v>
      </c>
      <c r="J182" s="109">
        <v>8.8130000000000006</v>
      </c>
      <c r="K182" s="109">
        <v>9.2680000000000007</v>
      </c>
      <c r="L182" s="109">
        <v>9.7200000000000006</v>
      </c>
      <c r="M182" s="109">
        <v>10.196</v>
      </c>
      <c r="O182" s="379" t="s">
        <v>721</v>
      </c>
    </row>
    <row r="183" spans="1:32" x14ac:dyDescent="0.2">
      <c r="A183" s="68" t="s">
        <v>630</v>
      </c>
      <c r="B183" s="68"/>
      <c r="C183" s="180">
        <v>1.1759999999999999</v>
      </c>
      <c r="D183" s="180">
        <v>1.2010000000000001</v>
      </c>
      <c r="E183" s="180">
        <v>1.35</v>
      </c>
      <c r="F183" s="180">
        <v>1.5249999999999999</v>
      </c>
      <c r="G183" s="180">
        <v>1.5640000000000001</v>
      </c>
      <c r="H183" s="180">
        <v>1.5860000000000001</v>
      </c>
      <c r="I183" s="109">
        <v>1.607</v>
      </c>
      <c r="J183" s="109">
        <v>1.6679999999999999</v>
      </c>
      <c r="K183" s="109">
        <v>1.6890000000000001</v>
      </c>
      <c r="L183" s="109">
        <v>1.7370000000000001</v>
      </c>
      <c r="M183" s="109">
        <v>1.786</v>
      </c>
      <c r="O183" s="324" t="str">
        <f t="shared" si="24"/>
        <v>√</v>
      </c>
    </row>
    <row r="184" spans="1:32" x14ac:dyDescent="0.2">
      <c r="A184" s="68" t="s">
        <v>555</v>
      </c>
      <c r="B184" s="68"/>
      <c r="C184" s="180">
        <v>0.48799999999999999</v>
      </c>
      <c r="D184" s="180">
        <v>0.48699999999999999</v>
      </c>
      <c r="E184" s="180">
        <v>0.53200000000000003</v>
      </c>
      <c r="F184" s="180">
        <v>0.72799999999999998</v>
      </c>
      <c r="G184" s="180">
        <v>0.71299999999999997</v>
      </c>
      <c r="H184" s="180">
        <v>0.70099999999999996</v>
      </c>
      <c r="I184" s="109">
        <v>0.58599999999999997</v>
      </c>
      <c r="J184" s="109">
        <v>0.61</v>
      </c>
      <c r="K184" s="109">
        <v>0.61699999999999999</v>
      </c>
      <c r="L184" s="109">
        <v>0.63500000000000001</v>
      </c>
      <c r="M184" s="109">
        <v>0.65300000000000002</v>
      </c>
      <c r="O184" s="324" t="str">
        <f t="shared" si="24"/>
        <v>√</v>
      </c>
    </row>
    <row r="185" spans="1:32" x14ac:dyDescent="0.2">
      <c r="A185" s="68" t="s">
        <v>304</v>
      </c>
      <c r="B185" s="68"/>
      <c r="C185" s="180">
        <v>0.55500000000000005</v>
      </c>
      <c r="D185" s="180">
        <v>0.629</v>
      </c>
      <c r="E185" s="180">
        <v>0.71</v>
      </c>
      <c r="F185" s="180">
        <v>0.754</v>
      </c>
      <c r="G185" s="180">
        <v>0.80200000000000005</v>
      </c>
      <c r="H185" s="180">
        <v>0.877</v>
      </c>
      <c r="I185" s="109">
        <v>1.004</v>
      </c>
      <c r="J185" s="109">
        <v>1.1399999999999999</v>
      </c>
      <c r="K185" s="109">
        <v>1.1930000000000001</v>
      </c>
      <c r="L185" s="109">
        <v>1.2330000000000001</v>
      </c>
      <c r="M185" s="109">
        <v>1.2789999999999999</v>
      </c>
      <c r="O185" s="324" t="str">
        <f t="shared" si="24"/>
        <v>√</v>
      </c>
    </row>
    <row r="186" spans="1:32" x14ac:dyDescent="0.2">
      <c r="A186" s="68" t="s">
        <v>305</v>
      </c>
      <c r="B186" s="68"/>
      <c r="C186" s="180">
        <v>0.36</v>
      </c>
      <c r="D186" s="180">
        <v>0.40699999999999997</v>
      </c>
      <c r="E186" s="180">
        <v>0.46500000000000002</v>
      </c>
      <c r="F186" s="180">
        <v>0.46300000000000002</v>
      </c>
      <c r="G186" s="180">
        <v>0.48399999999999999</v>
      </c>
      <c r="H186" s="180">
        <v>0.52600000000000002</v>
      </c>
      <c r="I186" s="109">
        <v>0.60299999999999998</v>
      </c>
      <c r="J186" s="109">
        <v>0.63700000000000001</v>
      </c>
      <c r="K186" s="109">
        <v>0.67100000000000004</v>
      </c>
      <c r="L186" s="109">
        <v>0.70599999999999996</v>
      </c>
      <c r="M186" s="109">
        <v>0.74299999999999999</v>
      </c>
      <c r="O186" s="324" t="str">
        <f t="shared" si="24"/>
        <v>√</v>
      </c>
    </row>
    <row r="187" spans="1:32" x14ac:dyDescent="0.2">
      <c r="A187" s="68" t="s">
        <v>306</v>
      </c>
      <c r="B187" s="68"/>
      <c r="C187" s="180">
        <v>0.151</v>
      </c>
      <c r="D187" s="180">
        <v>-0.23100000000000001</v>
      </c>
      <c r="E187" s="180">
        <v>0.77900000000000003</v>
      </c>
      <c r="F187" s="180">
        <v>0.28000000000000003</v>
      </c>
      <c r="G187" s="180">
        <v>-0.125</v>
      </c>
      <c r="H187" s="180">
        <v>-0.28599999999999998</v>
      </c>
      <c r="I187" s="109">
        <v>0.11</v>
      </c>
      <c r="J187" s="109">
        <v>0.11</v>
      </c>
      <c r="K187" s="109">
        <v>0.11</v>
      </c>
      <c r="L187" s="109">
        <v>0.11</v>
      </c>
      <c r="M187" s="109">
        <v>0.11</v>
      </c>
      <c r="O187" s="324" t="str">
        <f t="shared" si="24"/>
        <v>√</v>
      </c>
    </row>
    <row r="188" spans="1:32" x14ac:dyDescent="0.2">
      <c r="A188" s="68" t="s">
        <v>307</v>
      </c>
      <c r="B188" s="68"/>
      <c r="C188" s="180">
        <v>0.1</v>
      </c>
      <c r="D188" s="180">
        <v>7.0000000000000001E-3</v>
      </c>
      <c r="E188" s="180">
        <v>1.7999999999999999E-2</v>
      </c>
      <c r="F188" s="180">
        <v>1.0999999999999999E-2</v>
      </c>
      <c r="G188" s="180">
        <v>1.2E-2</v>
      </c>
      <c r="H188" s="180">
        <v>1.0999999999999999E-2</v>
      </c>
      <c r="I188" s="109">
        <v>1.2E-2</v>
      </c>
      <c r="J188" s="109">
        <v>0.01</v>
      </c>
      <c r="K188" s="109">
        <v>1.2E-2</v>
      </c>
      <c r="L188" s="109">
        <v>1.0999999999999999E-2</v>
      </c>
      <c r="M188" s="109">
        <v>0.01</v>
      </c>
      <c r="O188" s="324" t="str">
        <f t="shared" si="24"/>
        <v>√</v>
      </c>
    </row>
    <row r="189" spans="1:32" x14ac:dyDescent="0.2">
      <c r="A189" s="50" t="s">
        <v>631</v>
      </c>
      <c r="B189" s="49"/>
      <c r="C189" s="211">
        <v>6.0110000000000001</v>
      </c>
      <c r="D189" s="211">
        <v>6.7409999999999997</v>
      </c>
      <c r="E189" s="211">
        <v>6.5529999999999999</v>
      </c>
      <c r="F189" s="211">
        <v>6.79</v>
      </c>
      <c r="G189" s="211">
        <v>7.46</v>
      </c>
      <c r="H189" s="211">
        <v>8.2910000000000004</v>
      </c>
      <c r="I189" s="212">
        <v>8.8130000000000006</v>
      </c>
      <c r="J189" s="212">
        <v>9.2680000000000007</v>
      </c>
      <c r="K189" s="212">
        <v>9.7200000000000006</v>
      </c>
      <c r="L189" s="212">
        <v>10.196</v>
      </c>
      <c r="M189" s="212">
        <v>10.693</v>
      </c>
      <c r="O189" s="379" t="s">
        <v>720</v>
      </c>
    </row>
    <row r="190" spans="1:32" ht="13.5" x14ac:dyDescent="0.25">
      <c r="A190" s="228" t="s">
        <v>632</v>
      </c>
      <c r="B190" s="169"/>
      <c r="C190" s="226" t="str">
        <f>IF(ROUND(C$189-(SUM(C$182:C$183,C$186,C$188)-SUM(C$184:C$185,C$187)),3)=0,"OK","ERROR")</f>
        <v>OK</v>
      </c>
      <c r="D190" s="226" t="str">
        <f t="shared" ref="D190:M190" si="25">IF(ROUND(D$189-(SUM(D$182:D$183,D$186,D$188)-SUM(D$184:D$185,D$187)),3)=0,"OK","ERROR")</f>
        <v>OK</v>
      </c>
      <c r="E190" s="226" t="str">
        <f t="shared" si="25"/>
        <v>OK</v>
      </c>
      <c r="F190" s="226" t="str">
        <f t="shared" si="25"/>
        <v>OK</v>
      </c>
      <c r="G190" s="226" t="str">
        <f t="shared" si="25"/>
        <v>OK</v>
      </c>
      <c r="H190" s="226" t="str">
        <f t="shared" si="25"/>
        <v>OK</v>
      </c>
      <c r="I190" s="227" t="str">
        <f t="shared" si="25"/>
        <v>OK</v>
      </c>
      <c r="J190" s="227" t="str">
        <f t="shared" si="25"/>
        <v>OK</v>
      </c>
      <c r="K190" s="227" t="str">
        <f t="shared" si="25"/>
        <v>OK</v>
      </c>
      <c r="L190" s="227" t="str">
        <f t="shared" si="25"/>
        <v>OK</v>
      </c>
      <c r="M190" s="227" t="str">
        <f t="shared" si="25"/>
        <v>OK</v>
      </c>
      <c r="O190" s="324"/>
    </row>
    <row r="191" spans="1:32" ht="15.75" x14ac:dyDescent="0.25">
      <c r="A191" s="51" t="s">
        <v>633</v>
      </c>
      <c r="B191" s="169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Z191" s="324"/>
      <c r="AF191" s="324"/>
    </row>
    <row r="192" spans="1:32" x14ac:dyDescent="0.2">
      <c r="A192" s="68" t="s">
        <v>556</v>
      </c>
      <c r="B192" s="169"/>
      <c r="C192" s="180">
        <v>0.436</v>
      </c>
      <c r="D192" s="180">
        <v>0.38500000000000001</v>
      </c>
      <c r="E192" s="180">
        <v>0.38300000000000001</v>
      </c>
      <c r="F192" s="180">
        <v>0.433</v>
      </c>
      <c r="G192" s="180">
        <v>0.51800000000000002</v>
      </c>
      <c r="H192" s="180">
        <v>0.53900000000000003</v>
      </c>
      <c r="I192" s="109">
        <v>0.64200000000000002</v>
      </c>
      <c r="J192" s="109">
        <v>0.66500000000000004</v>
      </c>
      <c r="K192" s="109">
        <v>0.69299999999999995</v>
      </c>
      <c r="L192" s="109">
        <v>0.73799999999999999</v>
      </c>
      <c r="M192" s="109">
        <v>0.78600000000000003</v>
      </c>
      <c r="O192" s="324" t="str">
        <f t="shared" ref="O192:O198" si="26">$O$3</f>
        <v>√</v>
      </c>
    </row>
    <row r="193" spans="1:22" x14ac:dyDescent="0.2">
      <c r="A193" s="68" t="s">
        <v>557</v>
      </c>
      <c r="B193" s="169"/>
      <c r="C193" s="180">
        <v>-5.1999999999999998E-2</v>
      </c>
      <c r="D193" s="180">
        <v>3.4000000000000002E-2</v>
      </c>
      <c r="E193" s="180">
        <v>-0.32300000000000001</v>
      </c>
      <c r="F193" s="180">
        <v>0.502</v>
      </c>
      <c r="G193" s="180">
        <v>0.16900000000000001</v>
      </c>
      <c r="H193" s="180">
        <v>0.13200000000000001</v>
      </c>
      <c r="I193" s="109">
        <v>0.182</v>
      </c>
      <c r="J193" s="109">
        <v>0.16</v>
      </c>
      <c r="K193" s="109">
        <v>0.16400000000000001</v>
      </c>
      <c r="L193" s="109">
        <v>0.17799999999999999</v>
      </c>
      <c r="M193" s="109">
        <v>0.192</v>
      </c>
      <c r="O193" s="324" t="str">
        <f t="shared" si="26"/>
        <v>√</v>
      </c>
    </row>
    <row r="194" spans="1:22" x14ac:dyDescent="0.2">
      <c r="A194" s="68" t="s">
        <v>558</v>
      </c>
      <c r="B194" s="169"/>
      <c r="C194" s="180">
        <v>0.70699999999999996</v>
      </c>
      <c r="D194" s="180">
        <v>0.23699999999999999</v>
      </c>
      <c r="E194" s="180">
        <v>4.0000000000000001E-3</v>
      </c>
      <c r="F194" s="180">
        <v>-2.7E-2</v>
      </c>
      <c r="G194" s="180">
        <v>0.872</v>
      </c>
      <c r="H194" s="180">
        <v>0.16</v>
      </c>
      <c r="I194" s="109">
        <v>0.60199999999999998</v>
      </c>
      <c r="J194" s="109">
        <v>0.45600000000000002</v>
      </c>
      <c r="K194" s="109">
        <v>0.49</v>
      </c>
      <c r="L194" s="109">
        <v>0.52800000000000002</v>
      </c>
      <c r="M194" s="109">
        <v>0.56999999999999995</v>
      </c>
      <c r="O194" s="324" t="str">
        <f t="shared" si="26"/>
        <v>√</v>
      </c>
    </row>
    <row r="195" spans="1:22" x14ac:dyDescent="0.2">
      <c r="A195" s="68" t="s">
        <v>559</v>
      </c>
      <c r="B195" s="169"/>
      <c r="C195" s="180">
        <v>1.3129999999999999</v>
      </c>
      <c r="D195" s="180">
        <v>-0.995</v>
      </c>
      <c r="E195" s="180">
        <v>-3.4950000000000001</v>
      </c>
      <c r="F195" s="180">
        <v>1.75</v>
      </c>
      <c r="G195" s="180">
        <v>3.5179999999999998</v>
      </c>
      <c r="H195" s="180">
        <v>-0.20399999999999999</v>
      </c>
      <c r="I195" s="109">
        <v>2.11</v>
      </c>
      <c r="J195" s="109">
        <v>1.3819999999999999</v>
      </c>
      <c r="K195" s="109">
        <v>1.4950000000000001</v>
      </c>
      <c r="L195" s="109">
        <v>1.62</v>
      </c>
      <c r="M195" s="109">
        <v>1.7569999999999999</v>
      </c>
      <c r="O195" s="324" t="str">
        <f t="shared" si="26"/>
        <v>√</v>
      </c>
    </row>
    <row r="196" spans="1:22" x14ac:dyDescent="0.2">
      <c r="A196" s="225" t="s">
        <v>314</v>
      </c>
      <c r="B196" s="169"/>
      <c r="C196" s="180">
        <v>9.8550000000000004</v>
      </c>
      <c r="D196" s="180">
        <v>12.973000000000001</v>
      </c>
      <c r="E196" s="180">
        <v>14.212</v>
      </c>
      <c r="F196" s="180">
        <v>13.688000000000001</v>
      </c>
      <c r="G196" s="180">
        <v>15.656000000000001</v>
      </c>
      <c r="H196" s="180">
        <v>18.652000000000001</v>
      </c>
      <c r="I196" s="109">
        <v>18.702999999999999</v>
      </c>
      <c r="J196" s="109">
        <v>20.69</v>
      </c>
      <c r="K196" s="109">
        <v>22.151</v>
      </c>
      <c r="L196" s="109">
        <v>23.716000000000001</v>
      </c>
      <c r="M196" s="109">
        <v>25.402999999999999</v>
      </c>
      <c r="O196" s="379" t="s">
        <v>722</v>
      </c>
    </row>
    <row r="197" spans="1:22" x14ac:dyDescent="0.2">
      <c r="A197" s="68" t="s">
        <v>315</v>
      </c>
      <c r="B197" s="169"/>
      <c r="C197" s="180">
        <v>2.0490000000000004</v>
      </c>
      <c r="D197" s="180">
        <v>2.1040000000000001</v>
      </c>
      <c r="E197" s="180">
        <v>2.2429999999999999</v>
      </c>
      <c r="F197" s="180">
        <v>0.25</v>
      </c>
      <c r="G197" s="180">
        <v>0</v>
      </c>
      <c r="H197" s="180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O197" s="324" t="str">
        <f t="shared" si="26"/>
        <v>√</v>
      </c>
    </row>
    <row r="198" spans="1:22" x14ac:dyDescent="0.2">
      <c r="A198" s="68" t="s">
        <v>560</v>
      </c>
      <c r="B198" s="169"/>
      <c r="C198" s="180">
        <v>-2.5000000000000001E-2</v>
      </c>
      <c r="D198" s="180">
        <v>1.6E-2</v>
      </c>
      <c r="E198" s="180">
        <v>2.5999999999999999E-2</v>
      </c>
      <c r="F198" s="180">
        <v>0.01</v>
      </c>
      <c r="G198" s="180">
        <v>1E-3</v>
      </c>
      <c r="H198" s="180">
        <v>8.0000000000000002E-3</v>
      </c>
      <c r="I198" s="109">
        <v>1.9E-2</v>
      </c>
      <c r="J198" s="109">
        <v>0.03</v>
      </c>
      <c r="K198" s="109">
        <v>3.1E-2</v>
      </c>
      <c r="L198" s="109">
        <v>3.5000000000000003E-2</v>
      </c>
      <c r="M198" s="109">
        <v>3.7999999999999999E-2</v>
      </c>
      <c r="O198" s="324" t="str">
        <f t="shared" si="26"/>
        <v>√</v>
      </c>
    </row>
    <row r="199" spans="1:22" x14ac:dyDescent="0.2">
      <c r="A199" s="50" t="s">
        <v>634</v>
      </c>
      <c r="B199" s="49"/>
      <c r="C199" s="211">
        <v>12.973000000000001</v>
      </c>
      <c r="D199" s="211">
        <v>14.212</v>
      </c>
      <c r="E199" s="211">
        <v>13.688000000000001</v>
      </c>
      <c r="F199" s="211">
        <v>15.656000000000001</v>
      </c>
      <c r="G199" s="211">
        <v>18.652000000000001</v>
      </c>
      <c r="H199" s="211">
        <v>18.702999999999999</v>
      </c>
      <c r="I199" s="212">
        <v>20.69</v>
      </c>
      <c r="J199" s="212">
        <v>22.151</v>
      </c>
      <c r="K199" s="212">
        <v>23.716000000000001</v>
      </c>
      <c r="L199" s="212">
        <v>25.402999999999999</v>
      </c>
      <c r="M199" s="212">
        <v>27.222000000000001</v>
      </c>
      <c r="O199" s="379" t="str">
        <f>$O$189</f>
        <v>Only used as check on next row</v>
      </c>
    </row>
    <row r="200" spans="1:22" ht="13.5" x14ac:dyDescent="0.25">
      <c r="A200" s="228" t="s">
        <v>635</v>
      </c>
      <c r="B200" s="49"/>
      <c r="C200" s="226" t="str">
        <f>IF(ROUND(C$199-(SUM(C$196,C$192,C$195,C$197,C$198)-SUM(C$193,C$194)),3)=0,"OK","ERROR")</f>
        <v>OK</v>
      </c>
      <c r="D200" s="226" t="str">
        <f t="shared" ref="D200:M200" si="27">IF(ROUND(D$199-(SUM(D$196,D$192,D$195,D$197,D$198)-SUM(D$193,D$194)),3)=0,"OK","ERROR")</f>
        <v>OK</v>
      </c>
      <c r="E200" s="226" t="str">
        <f t="shared" si="27"/>
        <v>OK</v>
      </c>
      <c r="F200" s="226" t="str">
        <f t="shared" si="27"/>
        <v>OK</v>
      </c>
      <c r="G200" s="226" t="str">
        <f t="shared" si="27"/>
        <v>OK</v>
      </c>
      <c r="H200" s="226" t="str">
        <f t="shared" si="27"/>
        <v>OK</v>
      </c>
      <c r="I200" s="227" t="str">
        <f t="shared" si="27"/>
        <v>OK</v>
      </c>
      <c r="J200" s="227" t="str">
        <f t="shared" si="27"/>
        <v>OK</v>
      </c>
      <c r="K200" s="227" t="str">
        <f t="shared" si="27"/>
        <v>OK</v>
      </c>
      <c r="L200" s="227" t="str">
        <f t="shared" si="27"/>
        <v>OK</v>
      </c>
      <c r="M200" s="227" t="str">
        <f t="shared" si="27"/>
        <v>OK</v>
      </c>
      <c r="O200" s="324"/>
    </row>
    <row r="201" spans="1:22" x14ac:dyDescent="0.2">
      <c r="A201" s="225" t="s">
        <v>636</v>
      </c>
      <c r="B201" s="49"/>
      <c r="C201" s="180">
        <v>0.11899999999999999</v>
      </c>
      <c r="D201" s="180">
        <v>9.7000000000000003E-2</v>
      </c>
      <c r="E201" s="180">
        <v>7.6999999999999999E-2</v>
      </c>
      <c r="F201" s="180">
        <v>8.1000000000000003E-2</v>
      </c>
      <c r="G201" s="180">
        <v>0.111</v>
      </c>
      <c r="H201" s="180">
        <v>7.6999999999999999E-2</v>
      </c>
      <c r="I201" s="109">
        <v>0.14099999999999999</v>
      </c>
      <c r="J201" s="109">
        <v>0.12</v>
      </c>
      <c r="K201" s="109">
        <v>0.125</v>
      </c>
      <c r="L201" s="109">
        <v>0.13700000000000001</v>
      </c>
      <c r="M201" s="109">
        <v>0.15</v>
      </c>
      <c r="O201" s="324" t="str">
        <f>$O$3</f>
        <v>√</v>
      </c>
    </row>
    <row r="202" spans="1:22" ht="15.75" x14ac:dyDescent="0.25">
      <c r="A202" s="51" t="s">
        <v>830</v>
      </c>
      <c r="B202" s="49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O202" s="324"/>
    </row>
    <row r="203" spans="1:22" x14ac:dyDescent="0.2">
      <c r="A203" s="225" t="s">
        <v>831</v>
      </c>
      <c r="B203" s="68"/>
      <c r="C203" s="180">
        <v>0</v>
      </c>
      <c r="D203" s="180">
        <v>0</v>
      </c>
      <c r="E203" s="180">
        <v>0</v>
      </c>
      <c r="F203" s="180">
        <v>0.22</v>
      </c>
      <c r="G203" s="180">
        <v>0.36799999999999999</v>
      </c>
      <c r="H203" s="180">
        <v>0.25600000000000001</v>
      </c>
      <c r="I203" s="109">
        <v>0.259604</v>
      </c>
      <c r="J203" s="109">
        <v>0.259604</v>
      </c>
      <c r="K203" s="109">
        <v>0.259604</v>
      </c>
      <c r="L203" s="109">
        <v>0.259604</v>
      </c>
      <c r="M203" s="109">
        <v>0.259604</v>
      </c>
      <c r="O203" s="324" t="str">
        <f>$O$3</f>
        <v>√</v>
      </c>
      <c r="R203" s="274"/>
      <c r="S203" s="274"/>
      <c r="T203" s="274"/>
      <c r="U203" s="274"/>
      <c r="V203" s="274"/>
    </row>
    <row r="204" spans="1:22" ht="15.75" x14ac:dyDescent="0.25">
      <c r="A204" s="51" t="s">
        <v>670</v>
      </c>
      <c r="B204" s="16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O204" s="324"/>
    </row>
    <row r="205" spans="1:22" x14ac:dyDescent="0.2">
      <c r="A205" s="225" t="s">
        <v>671</v>
      </c>
      <c r="B205" s="169"/>
      <c r="C205" s="234">
        <v>17.327999999999999</v>
      </c>
      <c r="D205" s="234">
        <v>20.373999999999999</v>
      </c>
      <c r="E205" s="234">
        <v>26.446000000000002</v>
      </c>
      <c r="F205" s="234">
        <v>26.997</v>
      </c>
      <c r="G205" s="234">
        <v>26.939</v>
      </c>
      <c r="H205" s="234">
        <v>30.648</v>
      </c>
      <c r="I205" s="109">
        <v>31.597999999999999</v>
      </c>
      <c r="J205" s="109">
        <v>32.71</v>
      </c>
      <c r="K205" s="109">
        <v>34.014000000000003</v>
      </c>
      <c r="L205" s="109">
        <v>35.423999999999999</v>
      </c>
      <c r="M205" s="109">
        <v>36.942999999999998</v>
      </c>
      <c r="O205" s="379" t="s">
        <v>723</v>
      </c>
    </row>
    <row r="206" spans="1:22" x14ac:dyDescent="0.2">
      <c r="A206" s="225" t="s">
        <v>672</v>
      </c>
      <c r="B206" s="169"/>
      <c r="C206" s="180">
        <v>6.8000000000000005E-2</v>
      </c>
      <c r="D206" s="180">
        <v>9.7000000000000003E-2</v>
      </c>
      <c r="E206" s="180">
        <v>8.6999999999999994E-2</v>
      </c>
      <c r="F206" s="180">
        <v>8.7999999999999995E-2</v>
      </c>
      <c r="G206" s="180">
        <v>10.57</v>
      </c>
      <c r="H206" s="180">
        <v>8.8770000000000007</v>
      </c>
      <c r="I206" s="109">
        <v>5.7850000000000001</v>
      </c>
      <c r="J206" s="109">
        <v>2.8149999999999999</v>
      </c>
      <c r="K206" s="109">
        <v>1.1399999999999999</v>
      </c>
      <c r="L206" s="109">
        <v>0.156</v>
      </c>
      <c r="M206" s="109">
        <v>0.158</v>
      </c>
      <c r="O206" s="379" t="str">
        <f>$O$205</f>
        <v>Used in 'Insurance liabilities (dominated by ACC)' total</v>
      </c>
    </row>
    <row r="207" spans="1:22" x14ac:dyDescent="0.2">
      <c r="A207" s="225" t="s">
        <v>673</v>
      </c>
      <c r="B207" s="169"/>
      <c r="C207" s="180">
        <v>2.1999999999999999E-2</v>
      </c>
      <c r="D207" s="180">
        <v>1.2999999999999999E-2</v>
      </c>
      <c r="E207" s="180">
        <v>3.4000000000000002E-2</v>
      </c>
      <c r="F207" s="180">
        <v>4.5999999999999999E-2</v>
      </c>
      <c r="G207" s="180">
        <f>2.082+0.059-0.336</f>
        <v>1.8049999999999999</v>
      </c>
      <c r="H207" s="180">
        <v>1.661</v>
      </c>
      <c r="I207" s="109">
        <v>0.77700000000000002</v>
      </c>
      <c r="J207" s="109">
        <v>0.71199999999999997</v>
      </c>
      <c r="K207" s="109">
        <v>0.39</v>
      </c>
      <c r="L207" s="109">
        <v>6.8000000000000005E-2</v>
      </c>
      <c r="M207" s="109">
        <v>5.8999999999999997E-2</v>
      </c>
      <c r="O207" s="379" t="s">
        <v>724</v>
      </c>
    </row>
    <row r="208" spans="1:22" ht="13.5" x14ac:dyDescent="0.25">
      <c r="A208" s="228" t="s">
        <v>674</v>
      </c>
      <c r="B208" s="169"/>
      <c r="C208" s="226" t="str">
        <f t="shared" ref="C208:M208" si="28">IF(ROUND(C$75-(SUM(C$205:C$207)),3)=0,"OK","ERROR")</f>
        <v>OK</v>
      </c>
      <c r="D208" s="226" t="str">
        <f t="shared" si="28"/>
        <v>OK</v>
      </c>
      <c r="E208" s="226" t="str">
        <f t="shared" si="28"/>
        <v>OK</v>
      </c>
      <c r="F208" s="226" t="str">
        <f t="shared" si="28"/>
        <v>OK</v>
      </c>
      <c r="G208" s="226" t="str">
        <f t="shared" si="28"/>
        <v>OK</v>
      </c>
      <c r="H208" s="226" t="str">
        <f t="shared" si="28"/>
        <v>OK</v>
      </c>
      <c r="I208" s="227" t="str">
        <f t="shared" si="28"/>
        <v>OK</v>
      </c>
      <c r="J208" s="227" t="str">
        <f t="shared" si="28"/>
        <v>OK</v>
      </c>
      <c r="K208" s="227" t="str">
        <f t="shared" si="28"/>
        <v>OK</v>
      </c>
      <c r="L208" s="227" t="str">
        <f t="shared" si="28"/>
        <v>OK</v>
      </c>
      <c r="M208" s="227" t="str">
        <f t="shared" si="28"/>
        <v>OK</v>
      </c>
      <c r="O208" s="324"/>
    </row>
    <row r="209" spans="1:28" ht="15.75" x14ac:dyDescent="0.25">
      <c r="A209" s="51" t="s">
        <v>561</v>
      </c>
      <c r="B209" s="169"/>
      <c r="C209" s="184"/>
      <c r="D209" s="184"/>
      <c r="E209" s="184"/>
      <c r="F209" s="184"/>
      <c r="G209" s="184"/>
      <c r="H209" s="184"/>
      <c r="I209" s="289"/>
      <c r="J209" s="289"/>
      <c r="K209" s="289"/>
      <c r="L209" s="289"/>
      <c r="M209" s="289"/>
      <c r="O209" s="324"/>
    </row>
    <row r="210" spans="1:28" x14ac:dyDescent="0.2">
      <c r="A210" s="225" t="s">
        <v>112</v>
      </c>
      <c r="B210" s="169"/>
      <c r="C210" s="180">
        <v>0.70399999999999996</v>
      </c>
      <c r="D210" s="180">
        <v>0.56200000000000006</v>
      </c>
      <c r="E210" s="180">
        <v>-0.20699999999999999</v>
      </c>
      <c r="F210" s="180">
        <v>-0.21199999999999999</v>
      </c>
      <c r="G210" s="180">
        <v>-0.29099999999999998</v>
      </c>
      <c r="H210" s="180">
        <v>-0.20200000000000001</v>
      </c>
      <c r="I210" s="109">
        <v>-0.114</v>
      </c>
      <c r="J210" s="109">
        <v>-0.114</v>
      </c>
      <c r="K210" s="109">
        <v>-0.114</v>
      </c>
      <c r="L210" s="109">
        <v>-0.114</v>
      </c>
      <c r="M210" s="109">
        <v>-0.114</v>
      </c>
      <c r="O210" s="324" t="str">
        <f>$O$3</f>
        <v>√</v>
      </c>
    </row>
    <row r="211" spans="1:28" x14ac:dyDescent="0.2">
      <c r="A211" s="225" t="s">
        <v>653</v>
      </c>
      <c r="B211" s="169"/>
      <c r="C211" s="180">
        <v>0</v>
      </c>
      <c r="D211" s="180">
        <v>0</v>
      </c>
      <c r="E211" s="180">
        <v>1.7000000000000001E-2</v>
      </c>
      <c r="F211" s="180">
        <v>7.3999999999999996E-2</v>
      </c>
      <c r="G211" s="180">
        <v>0.61199999999999999</v>
      </c>
      <c r="H211" s="180">
        <v>0.375</v>
      </c>
      <c r="I211" s="109">
        <v>0.214</v>
      </c>
      <c r="J211" s="109">
        <v>0.20899999999999999</v>
      </c>
      <c r="K211" s="109">
        <v>0.20599999999999999</v>
      </c>
      <c r="L211" s="109">
        <v>0.20499999999999999</v>
      </c>
      <c r="M211" s="109">
        <v>0.20499999999999999</v>
      </c>
      <c r="O211" s="324" t="str">
        <f>$O$3</f>
        <v>√</v>
      </c>
    </row>
    <row r="212" spans="1:28" x14ac:dyDescent="0.2">
      <c r="A212" s="225" t="s">
        <v>654</v>
      </c>
      <c r="B212" s="169"/>
      <c r="C212" s="180">
        <v>0</v>
      </c>
      <c r="D212" s="180">
        <v>0</v>
      </c>
      <c r="E212" s="180">
        <v>0</v>
      </c>
      <c r="F212" s="180">
        <v>2.3E-2</v>
      </c>
      <c r="G212" s="180">
        <v>0.32200000000000001</v>
      </c>
      <c r="H212" s="180">
        <f>0.064+0.507</f>
        <v>0.57099999999999995</v>
      </c>
      <c r="I212" s="109">
        <v>0.22</v>
      </c>
      <c r="J212" s="109">
        <v>6.6000000000000003E-2</v>
      </c>
      <c r="K212" s="109">
        <v>6.6000000000000003E-2</v>
      </c>
      <c r="L212" s="109">
        <v>6.6000000000000003E-2</v>
      </c>
      <c r="M212" s="109">
        <v>6.6000000000000003E-2</v>
      </c>
      <c r="O212" s="324" t="str">
        <f>$O$3</f>
        <v>√</v>
      </c>
    </row>
    <row r="213" spans="1:28" x14ac:dyDescent="0.2">
      <c r="A213" s="225" t="s">
        <v>655</v>
      </c>
      <c r="B213" s="169"/>
      <c r="C213" s="180">
        <v>0</v>
      </c>
      <c r="D213" s="180">
        <v>0</v>
      </c>
      <c r="E213" s="180">
        <v>1.7000000000000001E-2</v>
      </c>
      <c r="F213" s="180">
        <v>0.08</v>
      </c>
      <c r="G213" s="180">
        <v>0.86</v>
      </c>
      <c r="H213" s="180">
        <v>0.33400000000000002</v>
      </c>
      <c r="I213" s="109">
        <v>5.8999999999999997E-2</v>
      </c>
      <c r="J213" s="109">
        <v>6.0999999999999999E-2</v>
      </c>
      <c r="K213" s="109">
        <v>6.3E-2</v>
      </c>
      <c r="L213" s="109">
        <v>6.5000000000000002E-2</v>
      </c>
      <c r="M213" s="109">
        <v>6.6000000000000003E-2</v>
      </c>
      <c r="O213" s="324" t="str">
        <f>$O$3</f>
        <v>√</v>
      </c>
    </row>
    <row r="214" spans="1:28" ht="13.5" x14ac:dyDescent="0.25">
      <c r="A214" s="228" t="s">
        <v>726</v>
      </c>
      <c r="B214" s="169"/>
      <c r="C214" s="226" t="str">
        <f>IF(ROUND(C$211-(SUM($C$213:C$213)-SUM($C$212:C$212)),3)=0,"OK","ERROR")</f>
        <v>OK</v>
      </c>
      <c r="D214" s="226" t="str">
        <f>IF(ROUND(D$211-(SUM($C$213:D$213)-SUM($C$212:D$212)),3)=0,"OK","ERROR")</f>
        <v>OK</v>
      </c>
      <c r="E214" s="226" t="str">
        <f>IF(ROUND(E$211-(SUM($C$213:E$213)-SUM($C$212:E$212)),3)=0,"OK","ERROR")</f>
        <v>OK</v>
      </c>
      <c r="F214" s="226" t="str">
        <f>IF(ROUND(F$211-(SUM($C$213:F$213)-SUM($C$212:F$212)),3)=0,"OK","ERROR")</f>
        <v>OK</v>
      </c>
      <c r="G214" s="226" t="str">
        <f>IF(ROUND(G$211-(SUM($C$213:G$213)-SUM($C$212:G$212)),3)=0,"OK","ERROR")</f>
        <v>OK</v>
      </c>
      <c r="H214" s="226" t="str">
        <f>IF(ROUND(H$211-(SUM($C$213:H$213)-SUM($C$212:H$212)),3)=0,"OK","ERROR")</f>
        <v>OK</v>
      </c>
      <c r="I214" s="227" t="str">
        <f>IF(ROUND(I$211-(SUM($C$213:I$213)-SUM($C$212:I$212)),3)=0,"OK","ERROR")</f>
        <v>OK</v>
      </c>
      <c r="J214" s="227" t="str">
        <f>IF(ROUND(J$211-(SUM($C$213:J$213)-SUM($C$212:J$212)),3)=0,"OK","ERROR")</f>
        <v>OK</v>
      </c>
      <c r="K214" s="227" t="str">
        <f>IF(ROUND(K$211-(SUM($C$213:K$213)-SUM($C$212:K$212)),3)=0,"OK","ERROR")</f>
        <v>OK</v>
      </c>
      <c r="L214" s="227" t="str">
        <f>IF(ROUND(L$211-(SUM($C$213:L$213)-SUM($C$212:L$212)),3)=0,"OK","ERROR")</f>
        <v>OK</v>
      </c>
      <c r="M214" s="227" t="str">
        <f>IF(ROUND(M$211-(SUM($C$213:M$213)-SUM($C$212:M$212)),3)=0,"OK","ERROR")</f>
        <v>OK</v>
      </c>
      <c r="O214" s="324"/>
    </row>
    <row r="215" spans="1:28" ht="15.75" x14ac:dyDescent="0.25">
      <c r="A215" s="51" t="s">
        <v>621</v>
      </c>
      <c r="B215" s="49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</row>
    <row r="216" spans="1:28" x14ac:dyDescent="0.2">
      <c r="A216" s="68" t="s">
        <v>294</v>
      </c>
      <c r="B216" s="49"/>
      <c r="C216" s="180">
        <v>26.291</v>
      </c>
      <c r="D216" s="180">
        <f>32.108+0.001</f>
        <v>32.108999999999995</v>
      </c>
      <c r="E216" s="180">
        <v>36.088999999999999</v>
      </c>
      <c r="F216" s="180">
        <f>35.376+0.001</f>
        <v>35.376999999999995</v>
      </c>
      <c r="G216" s="180">
        <v>39.686</v>
      </c>
      <c r="H216" s="180">
        <v>37.33</v>
      </c>
      <c r="I216" s="109">
        <v>29.106000000000002</v>
      </c>
      <c r="J216" s="109">
        <v>31.570999999999998</v>
      </c>
      <c r="K216" s="109">
        <v>26.408000000000001</v>
      </c>
      <c r="L216" s="109">
        <v>28.548000000000002</v>
      </c>
      <c r="M216" s="109">
        <v>33.088000000000001</v>
      </c>
      <c r="O216" s="381" t="s">
        <v>727</v>
      </c>
    </row>
    <row r="217" spans="1:28" x14ac:dyDescent="0.2">
      <c r="A217" s="68" t="s">
        <v>295</v>
      </c>
      <c r="B217" s="49"/>
      <c r="C217" s="180">
        <v>7.9989999999999997</v>
      </c>
      <c r="D217" s="180">
        <v>7.34</v>
      </c>
      <c r="E217" s="180">
        <v>5.4770000000000003</v>
      </c>
      <c r="F217" s="180">
        <v>5.7679999999999998</v>
      </c>
      <c r="G217" s="180">
        <v>6.8789999999999996</v>
      </c>
      <c r="H217" s="180">
        <v>6.3410000000000002</v>
      </c>
      <c r="I217" s="109">
        <v>6.7489999999999997</v>
      </c>
      <c r="J217" s="109">
        <v>7.4119999999999999</v>
      </c>
      <c r="K217" s="109">
        <v>8.1199999999999992</v>
      </c>
      <c r="L217" s="109">
        <v>8.8810000000000002</v>
      </c>
      <c r="M217" s="109">
        <v>9.6989999999999998</v>
      </c>
      <c r="O217" s="274" t="str">
        <f>$O$216</f>
        <v>Only used as check on 'Other financial assets' in 'Forecast Statement of Segments'</v>
      </c>
    </row>
    <row r="218" spans="1:28" ht="13.5" x14ac:dyDescent="0.25">
      <c r="A218" s="228" t="s">
        <v>622</v>
      </c>
      <c r="B218" s="68"/>
      <c r="C218" s="226" t="str">
        <f t="shared" ref="C218:M218" si="29">IF(ROUND(C$112-SUM(C$92,C$203)-SUM(C$216:C$217),3)=0,"OK","ERROR")</f>
        <v>OK</v>
      </c>
      <c r="D218" s="226" t="str">
        <f t="shared" si="29"/>
        <v>OK</v>
      </c>
      <c r="E218" s="226" t="str">
        <f t="shared" si="29"/>
        <v>OK</v>
      </c>
      <c r="F218" s="226" t="str">
        <f t="shared" si="29"/>
        <v>OK</v>
      </c>
      <c r="G218" s="226" t="str">
        <f t="shared" si="29"/>
        <v>OK</v>
      </c>
      <c r="H218" s="226" t="str">
        <f t="shared" si="29"/>
        <v>OK</v>
      </c>
      <c r="I218" s="227" t="str">
        <f t="shared" si="29"/>
        <v>OK</v>
      </c>
      <c r="J218" s="227" t="str">
        <f t="shared" si="29"/>
        <v>OK</v>
      </c>
      <c r="K218" s="227" t="str">
        <f t="shared" si="29"/>
        <v>OK</v>
      </c>
      <c r="L218" s="227" t="str">
        <f t="shared" si="29"/>
        <v>OK</v>
      </c>
      <c r="M218" s="227" t="str">
        <f t="shared" si="29"/>
        <v>OK</v>
      </c>
    </row>
    <row r="219" spans="1:28" x14ac:dyDescent="0.2">
      <c r="A219" s="49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AB219" s="49"/>
    </row>
    <row r="220" spans="1:28" ht="15.75" x14ac:dyDescent="0.25">
      <c r="A220" s="48" t="s">
        <v>615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AB220" s="49"/>
    </row>
    <row r="221" spans="1:28" x14ac:dyDescent="0.2">
      <c r="A221" s="68" t="s">
        <v>147</v>
      </c>
      <c r="B221" s="68"/>
      <c r="C221" s="194">
        <v>645.82000000000005</v>
      </c>
      <c r="D221" s="194">
        <v>664.02</v>
      </c>
      <c r="E221" s="194">
        <v>723.19</v>
      </c>
      <c r="F221" s="194">
        <v>741.53</v>
      </c>
      <c r="G221" s="194">
        <v>792.36</v>
      </c>
      <c r="H221" s="194">
        <v>813.32</v>
      </c>
      <c r="I221" s="112">
        <v>833.05</v>
      </c>
      <c r="J221" s="112">
        <v>846.89</v>
      </c>
      <c r="K221" s="112">
        <v>863.85</v>
      </c>
      <c r="L221" s="112">
        <v>881.88</v>
      </c>
      <c r="M221" s="112">
        <v>901.03</v>
      </c>
      <c r="O221" s="324" t="s">
        <v>565</v>
      </c>
      <c r="AB221" s="49"/>
    </row>
    <row r="222" spans="1:28" x14ac:dyDescent="0.2">
      <c r="A222" s="68" t="s">
        <v>149</v>
      </c>
      <c r="B222" s="68"/>
      <c r="C222" s="194">
        <v>213.12</v>
      </c>
      <c r="D222" s="194">
        <v>219.9</v>
      </c>
      <c r="E222" s="194">
        <v>239.19</v>
      </c>
      <c r="F222" s="194">
        <v>244.71</v>
      </c>
      <c r="G222" s="194">
        <v>261.48</v>
      </c>
      <c r="H222" s="194">
        <v>268.39999999999998</v>
      </c>
      <c r="I222" s="112">
        <v>274.91000000000003</v>
      </c>
      <c r="J222" s="112">
        <v>279.47000000000003</v>
      </c>
      <c r="K222" s="112">
        <v>285.33999999999997</v>
      </c>
      <c r="L222" s="112">
        <v>291.02</v>
      </c>
      <c r="M222" s="112">
        <v>297.33999999999997</v>
      </c>
      <c r="O222" s="324" t="s">
        <v>565</v>
      </c>
      <c r="AB222" s="49"/>
    </row>
    <row r="223" spans="1:28" x14ac:dyDescent="0.2">
      <c r="A223" s="68" t="s">
        <v>895</v>
      </c>
      <c r="B223" s="68"/>
      <c r="C223" s="194">
        <v>255.7</v>
      </c>
      <c r="D223" s="194">
        <v>264.37</v>
      </c>
      <c r="E223" s="194">
        <v>273.63</v>
      </c>
      <c r="F223" s="194">
        <v>280.62</v>
      </c>
      <c r="G223" s="194">
        <v>294.08</v>
      </c>
      <c r="H223" s="194">
        <v>302.39999999999998</v>
      </c>
      <c r="I223" s="112">
        <v>310.31</v>
      </c>
      <c r="J223" s="112">
        <v>315.74</v>
      </c>
      <c r="K223" s="112">
        <v>323.01</v>
      </c>
      <c r="L223" s="112">
        <v>329.74</v>
      </c>
      <c r="M223" s="112">
        <v>337.46</v>
      </c>
      <c r="O223" s="324" t="s">
        <v>565</v>
      </c>
      <c r="AB223" s="49"/>
    </row>
    <row r="224" spans="1:28" x14ac:dyDescent="0.2">
      <c r="A224" s="68" t="s">
        <v>887</v>
      </c>
      <c r="C224" s="195">
        <v>5.5419999999999998</v>
      </c>
      <c r="D224" s="195">
        <v>5.9660000000000002</v>
      </c>
      <c r="E224" s="195">
        <v>6.4550000000000001</v>
      </c>
      <c r="F224" s="195">
        <v>6.9630000000000001</v>
      </c>
      <c r="G224" s="195">
        <v>7.5609999999999999</v>
      </c>
      <c r="H224" s="195">
        <v>8.2379999999999995</v>
      </c>
      <c r="I224" s="113">
        <v>8.7669999999999995</v>
      </c>
      <c r="J224" s="113">
        <v>9.2710000000000008</v>
      </c>
      <c r="K224" s="113">
        <v>9.734</v>
      </c>
      <c r="L224" s="113">
        <v>10.279</v>
      </c>
      <c r="M224" s="113">
        <v>10.789</v>
      </c>
      <c r="Q224" s="380" t="s">
        <v>845</v>
      </c>
      <c r="AB224" s="49"/>
    </row>
    <row r="225" spans="1:28" ht="15.75" x14ac:dyDescent="0.25">
      <c r="A225" s="48" t="s">
        <v>244</v>
      </c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O225" s="382"/>
      <c r="P225" s="383" t="str">
        <f>CONCATENATE(MID(M$2,1,2),"/",MID(M$2,1,2)+1)</f>
        <v>16/17</v>
      </c>
      <c r="Q225" s="384" t="str">
        <f>CONCATENATE(MID(P$225,1,2)+1,"/",MID(P$225,1,2)+2)</f>
        <v>17/18</v>
      </c>
      <c r="R225" s="384" t="str">
        <f>CONCATENATE(MID(Q$225,1,2)+1,"/",MID(Q$225,1,2)+2)</f>
        <v>18/19</v>
      </c>
      <c r="S225" s="384"/>
      <c r="AB225" s="49"/>
    </row>
    <row r="226" spans="1:28" x14ac:dyDescent="0.2">
      <c r="A226" s="49" t="s">
        <v>155</v>
      </c>
      <c r="B226" s="49"/>
      <c r="C226" s="412">
        <v>134.864</v>
      </c>
      <c r="D226" s="412">
        <v>137.30000000000001</v>
      </c>
      <c r="E226" s="412">
        <v>134.495</v>
      </c>
      <c r="F226" s="412">
        <v>134.53700000000001</v>
      </c>
      <c r="G226" s="412">
        <v>136.232</v>
      </c>
      <c r="H226" s="412">
        <v>139.017</v>
      </c>
      <c r="I226" s="413">
        <v>142.197</v>
      </c>
      <c r="J226" s="413">
        <v>146.446</v>
      </c>
      <c r="K226" s="413">
        <v>150.10599999999999</v>
      </c>
      <c r="L226" s="413">
        <v>153.66200000000001</v>
      </c>
      <c r="M226" s="413">
        <v>157.31</v>
      </c>
      <c r="O226" s="324" t="s">
        <v>565</v>
      </c>
      <c r="P226" s="272">
        <f>M226</f>
        <v>157.31</v>
      </c>
      <c r="Q226" s="381">
        <f>ROUND(P$226*1.024,3)</f>
        <v>161.08500000000001</v>
      </c>
      <c r="R226" s="381">
        <f>ROUND(Q$226*1.0245,3)</f>
        <v>165.03200000000001</v>
      </c>
      <c r="S226" s="381"/>
      <c r="AB226" s="49"/>
    </row>
    <row r="227" spans="1:28" x14ac:dyDescent="0.2">
      <c r="A227" s="49" t="s">
        <v>120</v>
      </c>
      <c r="B227" s="49"/>
      <c r="C227" s="412">
        <v>173.203</v>
      </c>
      <c r="D227" s="412">
        <v>185.917</v>
      </c>
      <c r="E227" s="412">
        <v>185.83799999999999</v>
      </c>
      <c r="F227" s="412">
        <v>191.31399999999999</v>
      </c>
      <c r="G227" s="412">
        <v>200.64099999999999</v>
      </c>
      <c r="H227" s="412">
        <v>208.21899999999999</v>
      </c>
      <c r="I227" s="413">
        <v>216.048</v>
      </c>
      <c r="J227" s="413">
        <v>228.797</v>
      </c>
      <c r="K227" s="413">
        <v>239.279</v>
      </c>
      <c r="L227" s="413">
        <v>249.023</v>
      </c>
      <c r="M227" s="413">
        <v>259.149</v>
      </c>
      <c r="O227" s="324" t="s">
        <v>565</v>
      </c>
      <c r="AB227" s="49"/>
    </row>
    <row r="228" spans="1:28" x14ac:dyDescent="0.2">
      <c r="A228" s="49" t="s">
        <v>984</v>
      </c>
      <c r="B228" s="196">
        <v>1000</v>
      </c>
      <c r="C228" s="196">
        <v>1020</v>
      </c>
      <c r="D228" s="196">
        <v>1061</v>
      </c>
      <c r="E228" s="196">
        <v>1081</v>
      </c>
      <c r="F228" s="196">
        <v>1099</v>
      </c>
      <c r="G228" s="196">
        <v>1157</v>
      </c>
      <c r="H228" s="196">
        <v>1168</v>
      </c>
      <c r="I228" s="409">
        <v>1185</v>
      </c>
      <c r="J228" s="409">
        <v>1210</v>
      </c>
      <c r="K228" s="409">
        <v>1237</v>
      </c>
      <c r="L228" s="409">
        <v>1264</v>
      </c>
      <c r="M228" s="409">
        <v>1292</v>
      </c>
      <c r="O228" s="324" t="s">
        <v>565</v>
      </c>
      <c r="AB228" s="49"/>
    </row>
    <row r="229" spans="1:28" x14ac:dyDescent="0.2">
      <c r="A229" s="49" t="s">
        <v>985</v>
      </c>
      <c r="B229" s="49"/>
      <c r="C229" s="412">
        <v>2.2385000000000002</v>
      </c>
      <c r="D229" s="412">
        <v>2.2618</v>
      </c>
      <c r="E229" s="412">
        <v>2.302</v>
      </c>
      <c r="F229" s="412">
        <v>2.3170000000000002</v>
      </c>
      <c r="G229" s="412">
        <v>2.3548</v>
      </c>
      <c r="H229" s="412">
        <v>2.3809999999999998</v>
      </c>
      <c r="I229" s="413">
        <v>2.3957000000000002</v>
      </c>
      <c r="J229" s="413">
        <v>2.4258000000000002</v>
      </c>
      <c r="K229" s="413">
        <v>2.4586999999999999</v>
      </c>
      <c r="L229" s="413">
        <v>2.4849000000000001</v>
      </c>
      <c r="M229" s="413">
        <v>2.5102000000000002</v>
      </c>
      <c r="O229" s="324" t="s">
        <v>565</v>
      </c>
      <c r="AB229" s="49"/>
    </row>
    <row r="230" spans="1:28" x14ac:dyDescent="0.2">
      <c r="A230" s="49" t="s">
        <v>986</v>
      </c>
      <c r="B230" s="49"/>
      <c r="C230" s="412">
        <v>3.2764000000000002</v>
      </c>
      <c r="D230" s="412">
        <v>3.3161999999999998</v>
      </c>
      <c r="E230" s="412">
        <v>3.3551000000000002</v>
      </c>
      <c r="F230" s="412">
        <v>3.4039999999999999</v>
      </c>
      <c r="G230" s="412">
        <v>3.4479000000000002</v>
      </c>
      <c r="H230" s="412">
        <v>3.4786000000000001</v>
      </c>
      <c r="I230" s="413">
        <v>3.5087000000000002</v>
      </c>
      <c r="J230" s="413">
        <v>3.5457000000000001</v>
      </c>
      <c r="K230" s="413">
        <v>3.5861999999999998</v>
      </c>
      <c r="L230" s="413">
        <v>3.6263000000000001</v>
      </c>
      <c r="M230" s="413">
        <v>3.6642999999999999</v>
      </c>
      <c r="O230" s="324" t="s">
        <v>565</v>
      </c>
      <c r="AB230" s="49"/>
    </row>
    <row r="231" spans="1:28" x14ac:dyDescent="0.2">
      <c r="A231" s="49" t="s">
        <v>987</v>
      </c>
      <c r="B231" s="49"/>
      <c r="C231" s="410">
        <v>3.7999999999999999E-2</v>
      </c>
      <c r="D231" s="410">
        <v>3.7499999999999999E-2</v>
      </c>
      <c r="E231" s="410">
        <v>4.9500000000000002E-2</v>
      </c>
      <c r="F231" s="410">
        <v>6.6000000000000003E-2</v>
      </c>
      <c r="G231" s="410">
        <v>6.5500000000000003E-2</v>
      </c>
      <c r="H231" s="410">
        <v>6.6299999999999998E-2</v>
      </c>
      <c r="I231" s="411">
        <v>7.0099999999999996E-2</v>
      </c>
      <c r="J231" s="411">
        <v>6.2899999999999998E-2</v>
      </c>
      <c r="K231" s="411">
        <v>5.9200000000000003E-2</v>
      </c>
      <c r="L231" s="411">
        <v>5.62E-2</v>
      </c>
      <c r="M231" s="411">
        <v>5.1499999999999997E-2</v>
      </c>
      <c r="O231" s="324" t="s">
        <v>565</v>
      </c>
      <c r="AB231" s="49"/>
    </row>
    <row r="232" spans="1:28" x14ac:dyDescent="0.2">
      <c r="A232" s="49" t="s">
        <v>988</v>
      </c>
      <c r="B232" s="49"/>
      <c r="C232" s="218">
        <v>34.15</v>
      </c>
      <c r="D232" s="218">
        <v>33.799999999999997</v>
      </c>
      <c r="E232" s="218">
        <v>33.340000000000003</v>
      </c>
      <c r="F232" s="218">
        <v>33.229999999999997</v>
      </c>
      <c r="G232" s="218">
        <v>33.35</v>
      </c>
      <c r="H232" s="218">
        <v>33.25</v>
      </c>
      <c r="I232" s="219">
        <v>33.24</v>
      </c>
      <c r="J232" s="219">
        <v>33.22</v>
      </c>
      <c r="K232" s="219">
        <v>33.130000000000003</v>
      </c>
      <c r="L232" s="219">
        <v>33.090000000000003</v>
      </c>
      <c r="M232" s="219">
        <v>33.08</v>
      </c>
      <c r="O232" s="324" t="s">
        <v>565</v>
      </c>
      <c r="AB232" s="49"/>
    </row>
    <row r="233" spans="1:28" x14ac:dyDescent="0.2">
      <c r="A233" s="49" t="s">
        <v>989</v>
      </c>
      <c r="B233" s="49"/>
      <c r="C233" s="410">
        <v>1.5299999999999999E-2</v>
      </c>
      <c r="D233" s="410">
        <v>1.7299999999999999E-2</v>
      </c>
      <c r="E233" s="410">
        <v>-1.1900000000000001E-2</v>
      </c>
      <c r="F233" s="410">
        <v>1.46E-2</v>
      </c>
      <c r="G233" s="410">
        <v>-8.0000000000000002E-3</v>
      </c>
      <c r="H233" s="410">
        <v>1.2999999999999999E-2</v>
      </c>
      <c r="I233" s="411">
        <v>2.1299999999999999E-2</v>
      </c>
      <c r="J233" s="411">
        <v>9.9000000000000008E-3</v>
      </c>
      <c r="K233" s="411">
        <v>1.01E-2</v>
      </c>
      <c r="L233" s="411">
        <v>1.0699999999999999E-2</v>
      </c>
      <c r="M233" s="411">
        <v>8.8000000000000005E-3</v>
      </c>
      <c r="O233" s="324" t="s">
        <v>565</v>
      </c>
      <c r="AB233" s="49"/>
    </row>
    <row r="234" spans="1:28" x14ac:dyDescent="0.2">
      <c r="A234" s="49" t="s">
        <v>990</v>
      </c>
      <c r="B234" s="49"/>
      <c r="C234" s="410">
        <v>4.8099999999999997E-2</v>
      </c>
      <c r="D234" s="410">
        <v>4.5900000000000003E-2</v>
      </c>
      <c r="E234" s="410">
        <v>5.3100000000000001E-2</v>
      </c>
      <c r="F234" s="410">
        <v>2.1899999999999999E-2</v>
      </c>
      <c r="G234" s="410">
        <v>2.1399999999999999E-2</v>
      </c>
      <c r="H234" s="410">
        <v>3.1699999999999999E-2</v>
      </c>
      <c r="I234" s="411">
        <v>2.5000000000000001E-2</v>
      </c>
      <c r="J234" s="411">
        <v>2.4299999999999999E-2</v>
      </c>
      <c r="K234" s="411">
        <v>2.6700000000000002E-2</v>
      </c>
      <c r="L234" s="411">
        <v>2.58E-2</v>
      </c>
      <c r="M234" s="411">
        <v>2.6100000000000002E-2</v>
      </c>
      <c r="O234" s="324" t="s">
        <v>565</v>
      </c>
      <c r="AB234" s="49"/>
    </row>
    <row r="235" spans="1:28" x14ac:dyDescent="0.2">
      <c r="A235" s="49" t="s">
        <v>192</v>
      </c>
      <c r="B235" s="49"/>
      <c r="C235" s="218">
        <v>832.3</v>
      </c>
      <c r="D235" s="218">
        <v>861.27</v>
      </c>
      <c r="E235" s="218">
        <v>905.51</v>
      </c>
      <c r="F235" s="218">
        <v>934.78</v>
      </c>
      <c r="G235" s="218">
        <v>967.96</v>
      </c>
      <c r="H235" s="218">
        <v>994.19</v>
      </c>
      <c r="I235" s="219">
        <v>1023.11</v>
      </c>
      <c r="J235" s="219">
        <v>1043.29</v>
      </c>
      <c r="K235" s="219">
        <v>1068.18</v>
      </c>
      <c r="L235" s="219">
        <v>1094.45</v>
      </c>
      <c r="M235" s="219">
        <v>1122.47</v>
      </c>
      <c r="O235" s="324" t="s">
        <v>565</v>
      </c>
      <c r="AB235" s="49"/>
    </row>
    <row r="236" spans="1:28" x14ac:dyDescent="0.2">
      <c r="A236" s="49" t="s">
        <v>991</v>
      </c>
      <c r="C236" s="410">
        <v>6.4100000000000004E-2</v>
      </c>
      <c r="D236" s="410">
        <v>6.8400000000000002E-2</v>
      </c>
      <c r="E236" s="410">
        <v>4.9599999999999998E-2</v>
      </c>
      <c r="F236" s="410">
        <v>5.0799999999999998E-2</v>
      </c>
      <c r="G236" s="410">
        <v>4.4699999999999997E-2</v>
      </c>
      <c r="H236" s="410">
        <v>3.5099999999999999E-2</v>
      </c>
      <c r="I236" s="411">
        <v>2.9899999999999999E-2</v>
      </c>
      <c r="J236" s="411">
        <v>3.4500000000000003E-2</v>
      </c>
      <c r="K236" s="411">
        <v>4.2799999999999998E-2</v>
      </c>
      <c r="L236" s="411">
        <v>4.8500000000000001E-2</v>
      </c>
      <c r="M236" s="411">
        <v>5.0799999999999998E-2</v>
      </c>
      <c r="O236" s="324" t="s">
        <v>565</v>
      </c>
      <c r="AB236" s="49"/>
    </row>
    <row r="237" spans="1:28" x14ac:dyDescent="0.2">
      <c r="A237" s="49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O237" s="324"/>
      <c r="AB237" s="49"/>
    </row>
  </sheetData>
  <pageMargins left="0.75" right="0.75" top="1" bottom="1" header="0.5" footer="0.5"/>
  <pageSetup paperSize="9" scale="22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5"/>
  <sheetViews>
    <sheetView workbookViewId="0">
      <pane xSplit="1" ySplit="5" topLeftCell="B172" activePane="bottomRight" state="frozen"/>
      <selection pane="topRight" activeCell="B1" sqref="B1"/>
      <selection pane="bottomLeft" activeCell="A7" sqref="A7"/>
      <selection pane="bottomRight" activeCell="Z13" sqref="Z13"/>
    </sheetView>
  </sheetViews>
  <sheetFormatPr defaultRowHeight="12.75" x14ac:dyDescent="0.2"/>
  <cols>
    <col min="1" max="1" width="70.7109375" style="124" customWidth="1"/>
    <col min="2" max="2" width="8.7109375" customWidth="1"/>
    <col min="3" max="3" width="4.7109375" style="72" customWidth="1"/>
    <col min="4" max="10" width="8.7109375" style="127" customWidth="1"/>
    <col min="11" max="24" width="8.7109375" style="73" customWidth="1"/>
  </cols>
  <sheetData>
    <row r="1" spans="1:24" ht="15.75" x14ac:dyDescent="0.25">
      <c r="A1" s="165" t="s">
        <v>394</v>
      </c>
      <c r="B1" s="24" t="s">
        <v>1029</v>
      </c>
      <c r="C1" s="164">
        <f>MATCH($B$1,Scenarios!$B$3:$C$3,0)</f>
        <v>1</v>
      </c>
      <c r="D1" s="73"/>
      <c r="E1" s="73"/>
      <c r="F1" s="73"/>
      <c r="G1" s="73"/>
      <c r="H1" s="73"/>
      <c r="I1" s="73"/>
      <c r="J1" s="73"/>
    </row>
    <row r="2" spans="1:24" ht="13.5" x14ac:dyDescent="0.25">
      <c r="A2" s="166" t="s">
        <v>701</v>
      </c>
      <c r="B2" s="231"/>
      <c r="C2" s="232" t="s">
        <v>601</v>
      </c>
      <c r="D2"/>
      <c r="E2"/>
      <c r="F2"/>
      <c r="G2"/>
      <c r="H2"/>
      <c r="I2"/>
      <c r="J2"/>
      <c r="K2"/>
      <c r="L2"/>
      <c r="M2"/>
      <c r="N2"/>
      <c r="O2" s="117" t="s">
        <v>152</v>
      </c>
      <c r="P2"/>
      <c r="Q2"/>
      <c r="R2"/>
      <c r="S2"/>
      <c r="T2"/>
      <c r="U2"/>
      <c r="V2"/>
      <c r="W2"/>
      <c r="X2"/>
    </row>
    <row r="3" spans="1:24" ht="15.75" x14ac:dyDescent="0.25">
      <c r="A3" s="52" t="s">
        <v>136</v>
      </c>
      <c r="B3" s="163"/>
      <c r="C3" s="163"/>
      <c r="D3" s="163" t="s">
        <v>445</v>
      </c>
      <c r="E3" s="163" t="s">
        <v>446</v>
      </c>
      <c r="F3" s="163" t="s">
        <v>447</v>
      </c>
      <c r="G3" s="163" t="s">
        <v>448</v>
      </c>
      <c r="H3" s="163" t="s">
        <v>449</v>
      </c>
      <c r="I3" s="163" t="s">
        <v>450</v>
      </c>
      <c r="J3" s="140" t="s">
        <v>451</v>
      </c>
      <c r="K3" s="140" t="s">
        <v>452</v>
      </c>
      <c r="L3" s="140" t="s">
        <v>453</v>
      </c>
      <c r="M3" s="140" t="s">
        <v>454</v>
      </c>
      <c r="N3" s="140" t="s">
        <v>455</v>
      </c>
      <c r="O3" s="139" t="s">
        <v>456</v>
      </c>
      <c r="P3" s="139" t="s">
        <v>457</v>
      </c>
      <c r="Q3" s="139" t="s">
        <v>458</v>
      </c>
      <c r="R3" s="139" t="s">
        <v>459</v>
      </c>
      <c r="S3" s="139" t="s">
        <v>460</v>
      </c>
      <c r="T3" s="139" t="s">
        <v>461</v>
      </c>
      <c r="U3" s="139" t="s">
        <v>462</v>
      </c>
      <c r="V3" s="139" t="s">
        <v>463</v>
      </c>
      <c r="W3" s="139" t="s">
        <v>464</v>
      </c>
      <c r="X3" s="139" t="s">
        <v>465</v>
      </c>
    </row>
    <row r="4" spans="1:24" ht="13.5" x14ac:dyDescent="0.25">
      <c r="A4" s="157" t="s">
        <v>350</v>
      </c>
      <c r="B4" s="220" t="s">
        <v>366</v>
      </c>
      <c r="C4" s="353">
        <v>2006</v>
      </c>
      <c r="D4" s="353">
        <f>$C$4+1</f>
        <v>2007</v>
      </c>
      <c r="E4" s="353">
        <f>$C$4+2</f>
        <v>2008</v>
      </c>
      <c r="F4" s="353">
        <f>$C$4+3</f>
        <v>2009</v>
      </c>
      <c r="G4" s="353">
        <f>$C$4+4</f>
        <v>2010</v>
      </c>
      <c r="H4" s="353">
        <f>$C$4+5</f>
        <v>2011</v>
      </c>
      <c r="I4" s="353">
        <f>$C$4+6</f>
        <v>2012</v>
      </c>
      <c r="J4" s="354">
        <f>$C$4+7</f>
        <v>2013</v>
      </c>
      <c r="K4" s="354">
        <f>$C$4+8</f>
        <v>2014</v>
      </c>
      <c r="L4" s="354">
        <f>$C$4+9</f>
        <v>2015</v>
      </c>
      <c r="M4" s="354">
        <f>$C$4+10</f>
        <v>2016</v>
      </c>
      <c r="N4" s="354">
        <f>$C$4+11</f>
        <v>2017</v>
      </c>
      <c r="O4" s="355">
        <f>$C$4+12</f>
        <v>2018</v>
      </c>
      <c r="P4" s="355">
        <f>$C$4+13</f>
        <v>2019</v>
      </c>
      <c r="Q4" s="355">
        <f>$C$4+14</f>
        <v>2020</v>
      </c>
      <c r="R4" s="355">
        <f>$C$4+15</f>
        <v>2021</v>
      </c>
      <c r="S4" s="355">
        <f>$C$4+16</f>
        <v>2022</v>
      </c>
      <c r="T4" s="355">
        <f>$C$4+17</f>
        <v>2023</v>
      </c>
      <c r="U4" s="355">
        <f>$C$4+18</f>
        <v>2024</v>
      </c>
      <c r="V4" s="355">
        <f>$C$4+19</f>
        <v>2025</v>
      </c>
      <c r="W4" s="355">
        <f>$C$4+20</f>
        <v>2026</v>
      </c>
      <c r="X4" s="355">
        <f>$C$4+21</f>
        <v>2027</v>
      </c>
    </row>
    <row r="5" spans="1:24" ht="21" customHeight="1" x14ac:dyDescent="0.2">
      <c r="A5" s="27"/>
      <c r="C5"/>
      <c r="D5" s="119">
        <f ca="1">OFFSET(D$7,Offsets!$B$1,0)/D$233</f>
        <v>7.618805678885468E-2</v>
      </c>
      <c r="E5" s="119">
        <f ca="1">OFFSET(E$7,Offsets!$B$1,0)/E$233</f>
        <v>5.5175158807424803E-2</v>
      </c>
      <c r="F5" s="119">
        <f ca="1">OFFSET(F$7,Offsets!$B$1,0)/F$233</f>
        <v>9.211786609842984E-2</v>
      </c>
      <c r="G5" s="119">
        <f ca="1">OFFSET(G$7,Offsets!$B$1,0)/G$233</f>
        <v>0.1397597666663182</v>
      </c>
      <c r="H5" s="119">
        <f ca="1">OFFSET(H$7,Offsets!$B$1,0)/H$233</f>
        <v>0.1999990031947608</v>
      </c>
      <c r="I5" s="119">
        <f ca="1">OFFSET(I$7,Offsets!$B$1,0)/I$233</f>
        <v>0.24335435286885454</v>
      </c>
      <c r="J5" s="123">
        <f ca="1">OFFSET(J$7,Offsets!$B$1,0)/J$233</f>
        <v>0.27770680589498625</v>
      </c>
      <c r="K5" s="123">
        <f ca="1">OFFSET(K$7,Offsets!$B$1,0)/K$233</f>
        <v>0.2917389651088082</v>
      </c>
      <c r="L5" s="123">
        <f ca="1">OFFSET(L$7,Offsets!$B$1,0)/L$233</f>
        <v>0.29540828906840971</v>
      </c>
      <c r="M5" s="123">
        <f ca="1">OFFSET(M$7,Offsets!$B$1,0)/M$233</f>
        <v>0.29506109877400882</v>
      </c>
      <c r="N5" s="123">
        <f ca="1">OFFSET(N$7,Offsets!$B$1,0)/N$233</f>
        <v>0.29272734990295152</v>
      </c>
      <c r="O5" s="120">
        <f ca="1">OFFSET(O$7,Offsets!$B$1,0)/O$233</f>
        <v>0.28512097393363167</v>
      </c>
      <c r="P5" s="120">
        <f ca="1">OFFSET(P$7,Offsets!$B$1,0)/P$233</f>
        <v>0.27690883877606581</v>
      </c>
      <c r="Q5" s="120">
        <f ca="1">OFFSET(Q$7,Offsets!$B$1,0)/Q$233</f>
        <v>0.26360025565611273</v>
      </c>
      <c r="R5" s="120">
        <f ca="1">OFFSET(R$7,Offsets!$B$1,0)/R$233</f>
        <v>0.24628352233721362</v>
      </c>
      <c r="S5" s="120">
        <f ca="1">OFFSET(S$7,Offsets!$B$1,0)/S$233</f>
        <v>0.22385410474973313</v>
      </c>
      <c r="T5" s="120">
        <f ca="1">OFFSET(T$7,Offsets!$B$1,0)/T$233</f>
        <v>0.19737986123037748</v>
      </c>
      <c r="U5" s="120">
        <f ca="1">OFFSET(U$7,Offsets!$B$1,0)/U$233</f>
        <v>0.16754198883332819</v>
      </c>
      <c r="V5" s="120">
        <f ca="1">OFFSET(V$7,Offsets!$B$1,0)/V$233</f>
        <v>0.13445489185087617</v>
      </c>
      <c r="W5" s="120">
        <f ca="1">OFFSET(W$7,Offsets!$B$1,0)/W$233</f>
        <v>9.8239902788078232E-2</v>
      </c>
      <c r="X5" s="120">
        <f ca="1">OFFSET(X$7,Offsets!$B$1,0)/X$233</f>
        <v>5.9006341152268063E-2</v>
      </c>
    </row>
    <row r="6" spans="1:24" ht="15.75" customHeight="1" x14ac:dyDescent="0.25">
      <c r="A6" s="153" t="s">
        <v>386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x14ac:dyDescent="0.2">
      <c r="A7" s="27" t="s">
        <v>158</v>
      </c>
      <c r="C7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x14ac:dyDescent="0.2">
      <c r="A8" s="225" t="s">
        <v>681</v>
      </c>
      <c r="B8" s="69"/>
      <c r="C8"/>
      <c r="D8" s="69">
        <f t="shared" ref="D8:X8" si="0">D$52</f>
        <v>53.064</v>
      </c>
      <c r="E8" s="69">
        <f t="shared" si="0"/>
        <v>56.372</v>
      </c>
      <c r="F8" s="69">
        <f t="shared" si="0"/>
        <v>54.145000000000003</v>
      </c>
      <c r="G8" s="69">
        <f t="shared" si="0"/>
        <v>50.346999999999994</v>
      </c>
      <c r="H8" s="69">
        <f t="shared" si="0"/>
        <v>51.128</v>
      </c>
      <c r="I8" s="69">
        <f t="shared" si="0"/>
        <v>54.664999999999992</v>
      </c>
      <c r="J8" s="125">
        <f t="shared" si="0"/>
        <v>56.873999999999995</v>
      </c>
      <c r="K8" s="125">
        <f t="shared" si="0"/>
        <v>61.24799999999999</v>
      </c>
      <c r="L8" s="125">
        <f t="shared" si="0"/>
        <v>64.878</v>
      </c>
      <c r="M8" s="125">
        <f t="shared" si="0"/>
        <v>68.079000000000008</v>
      </c>
      <c r="N8" s="125">
        <f t="shared" si="0"/>
        <v>71.021999999999991</v>
      </c>
      <c r="O8" s="73">
        <f t="shared" ca="1" si="0"/>
        <v>74.819682007430018</v>
      </c>
      <c r="P8" s="73">
        <f t="shared" ca="1" si="0"/>
        <v>78.541976965980496</v>
      </c>
      <c r="Q8" s="73">
        <f t="shared" ca="1" si="0"/>
        <v>82.562735794019659</v>
      </c>
      <c r="R8" s="73">
        <f t="shared" ca="1" si="0"/>
        <v>86.750487640109355</v>
      </c>
      <c r="S8" s="73">
        <f t="shared" ca="1" si="0"/>
        <v>91.163347347685601</v>
      </c>
      <c r="T8" s="73">
        <f t="shared" ca="1" si="0"/>
        <v>95.468693485570668</v>
      </c>
      <c r="U8" s="73">
        <f t="shared" ca="1" si="0"/>
        <v>99.762949680729264</v>
      </c>
      <c r="V8" s="73">
        <f t="shared" ca="1" si="0"/>
        <v>104.17088641022437</v>
      </c>
      <c r="W8" s="73">
        <f t="shared" ca="1" si="0"/>
        <v>108.71624717756796</v>
      </c>
      <c r="X8" s="73">
        <f t="shared" ca="1" si="0"/>
        <v>113.38980207292451</v>
      </c>
    </row>
    <row r="9" spans="1:24" x14ac:dyDescent="0.2">
      <c r="A9" s="225" t="s">
        <v>320</v>
      </c>
      <c r="B9" s="69"/>
      <c r="C9"/>
      <c r="D9" s="69">
        <f t="shared" ref="D9:X9" si="1">SUM(D$8,D$60,D$68)</f>
        <v>74.588999999999999</v>
      </c>
      <c r="E9" s="69">
        <f t="shared" si="1"/>
        <v>81.478999999999999</v>
      </c>
      <c r="F9" s="69">
        <f t="shared" si="1"/>
        <v>79.506</v>
      </c>
      <c r="G9" s="69">
        <f t="shared" si="1"/>
        <v>74.724999999999994</v>
      </c>
      <c r="H9" s="69">
        <f t="shared" si="1"/>
        <v>81.562999999999988</v>
      </c>
      <c r="I9" s="69">
        <f t="shared" si="1"/>
        <v>83.483000000000004</v>
      </c>
      <c r="J9" s="125">
        <f t="shared" si="1"/>
        <v>84.606999999999985</v>
      </c>
      <c r="K9" s="125">
        <f t="shared" si="1"/>
        <v>90.077999999999989</v>
      </c>
      <c r="L9" s="125">
        <f t="shared" si="1"/>
        <v>95.465000000000003</v>
      </c>
      <c r="M9" s="125">
        <f t="shared" si="1"/>
        <v>99.566000000000003</v>
      </c>
      <c r="N9" s="125">
        <f t="shared" si="1"/>
        <v>103.91499999999999</v>
      </c>
      <c r="O9" s="73">
        <f t="shared" ca="1" si="1"/>
        <v>108.75699453471101</v>
      </c>
      <c r="P9" s="73">
        <f t="shared" ca="1" si="1"/>
        <v>113.92028952477897</v>
      </c>
      <c r="Q9" s="73">
        <f t="shared" ca="1" si="1"/>
        <v>119.5126823938605</v>
      </c>
      <c r="R9" s="73">
        <f t="shared" ca="1" si="1"/>
        <v>125.32918253417857</v>
      </c>
      <c r="S9" s="73">
        <f t="shared" ca="1" si="1"/>
        <v>131.45458877145236</v>
      </c>
      <c r="T9" s="73">
        <f t="shared" ca="1" si="1"/>
        <v>137.54794582337345</v>
      </c>
      <c r="U9" s="73">
        <f t="shared" ca="1" si="1"/>
        <v>143.67589251643136</v>
      </c>
      <c r="V9" s="73">
        <f t="shared" ca="1" si="1"/>
        <v>149.96649265366636</v>
      </c>
      <c r="W9" s="73">
        <f t="shared" ca="1" si="1"/>
        <v>156.45114782386469</v>
      </c>
      <c r="X9" s="73">
        <f t="shared" ca="1" si="1"/>
        <v>163.1161023662992</v>
      </c>
    </row>
    <row r="10" spans="1:24" x14ac:dyDescent="0.2">
      <c r="A10" s="225" t="s">
        <v>321</v>
      </c>
      <c r="B10" s="69"/>
      <c r="C10"/>
      <c r="D10" s="69">
        <f t="shared" ref="D10:X10" si="2">SUM(D$11,D$138)</f>
        <v>68.728999999999999</v>
      </c>
      <c r="E10" s="69">
        <f t="shared" si="2"/>
        <v>75.841999999999999</v>
      </c>
      <c r="F10" s="69">
        <f t="shared" si="2"/>
        <v>83.398999999999987</v>
      </c>
      <c r="G10" s="69">
        <f t="shared" si="2"/>
        <v>81.039999999999992</v>
      </c>
      <c r="H10" s="69">
        <f t="shared" si="2"/>
        <v>99.959000000000003</v>
      </c>
      <c r="I10" s="69">
        <f t="shared" si="2"/>
        <v>92.723000000000013</v>
      </c>
      <c r="J10" s="125">
        <f t="shared" ca="1" si="2"/>
        <v>91.927000000000007</v>
      </c>
      <c r="K10" s="125">
        <f t="shared" ca="1" si="2"/>
        <v>91.919000000000011</v>
      </c>
      <c r="L10" s="125">
        <f t="shared" ca="1" si="2"/>
        <v>95.149000000000001</v>
      </c>
      <c r="M10" s="125">
        <f t="shared" ca="1" si="2"/>
        <v>97.852999999999994</v>
      </c>
      <c r="N10" s="125">
        <f t="shared" ca="1" si="2"/>
        <v>101.447</v>
      </c>
      <c r="O10" s="73">
        <f t="shared" ca="1" si="2"/>
        <v>105.03291055901111</v>
      </c>
      <c r="P10" s="73">
        <f t="shared" ca="1" si="2"/>
        <v>108.22290613585882</v>
      </c>
      <c r="Q10" s="73">
        <f t="shared" ca="1" si="2"/>
        <v>112.12629735345413</v>
      </c>
      <c r="R10" s="73">
        <f t="shared" ca="1" si="2"/>
        <v>116.22758237794692</v>
      </c>
      <c r="S10" s="73">
        <f t="shared" ca="1" si="2"/>
        <v>120.31869433447412</v>
      </c>
      <c r="T10" s="73">
        <f t="shared" ca="1" si="2"/>
        <v>124.47044596619241</v>
      </c>
      <c r="U10" s="73">
        <f t="shared" ca="1" si="2"/>
        <v>128.75118828032137</v>
      </c>
      <c r="V10" s="73">
        <f t="shared" ca="1" si="2"/>
        <v>133.09614963908962</v>
      </c>
      <c r="W10" s="73">
        <f t="shared" ca="1" si="2"/>
        <v>137.5394257562871</v>
      </c>
      <c r="X10" s="73">
        <f t="shared" ca="1" si="2"/>
        <v>142.04465689844295</v>
      </c>
    </row>
    <row r="11" spans="1:24" x14ac:dyDescent="0.2">
      <c r="A11" s="225" t="s">
        <v>326</v>
      </c>
      <c r="B11" s="69"/>
      <c r="C11"/>
      <c r="D11" s="69">
        <f>SUM(D$84,D$95,D$99,D$108,D$112,D$118,D$124,D$134,$D$140:D$140)</f>
        <v>65.843999999999994</v>
      </c>
      <c r="E11" s="69">
        <f>SUM(E$84,E$95,E$99,E$108,E$112,E$118,E$124,E$134,$D$140:E$140)</f>
        <v>72.741</v>
      </c>
      <c r="F11" s="69">
        <f>SUM(F$84,F$95,F$99,F$108,F$112,F$118,F$124,F$134,$D$140:F$140)</f>
        <v>80.328999999999994</v>
      </c>
      <c r="G11" s="69">
        <f>SUM(G$84,G$95,G$99,G$108,G$112,G$118,G$124,G$134,$D$140:G$140)</f>
        <v>78.262999999999991</v>
      </c>
      <c r="H11" s="69">
        <f>SUM(H$84,H$95,H$99,H$108,H$112,H$118,H$124,H$134,$D$140:H$140)</f>
        <v>96.363</v>
      </c>
      <c r="I11" s="69">
        <f>SUM(I$84,I$95,I$99,I$108,I$112,I$118,I$124,I$134,$D$140:I$140)</f>
        <v>88.433000000000007</v>
      </c>
      <c r="J11" s="125">
        <f ca="1">SUM(J$84,J$95,J$99,J$108,J$112,J$118,J$124,J$134,$D$140:J$140)</f>
        <v>87.51700000000001</v>
      </c>
      <c r="K11" s="125">
        <f ca="1">SUM(K$84,K$95,K$99,K$108,K$112,K$118,K$124,K$134,$D$140:K$140)</f>
        <v>87.236000000000018</v>
      </c>
      <c r="L11" s="125">
        <f ca="1">SUM(L$84,L$95,L$99,L$108,L$112,L$118,L$124,L$134,$D$140:L$140)</f>
        <v>89.888000000000005</v>
      </c>
      <c r="M11" s="125">
        <f ca="1">SUM(M$84,M$95,M$99,M$108,M$112,M$118,M$124,M$134,$D$140:M$140)</f>
        <v>92.5</v>
      </c>
      <c r="N11" s="125">
        <f ca="1">SUM(N$84,N$95,N$99,N$108,N$112,N$118,N$124,N$134,$D$140:N$140)</f>
        <v>95.653999999999996</v>
      </c>
      <c r="O11" s="73">
        <f ca="1">SUM(O$84,O$95,O$99,O$108,O$112,O$118,O$124,O$134,$D$140:O$140)</f>
        <v>98.536206359011118</v>
      </c>
      <c r="P11" s="73">
        <f ca="1">SUM(P$84,P$95,P$99,P$108,P$112,P$118,P$124,P$134,$D$140:P$140)</f>
        <v>101.44479404309796</v>
      </c>
      <c r="Q11" s="73">
        <f ca="1">SUM(Q$84,Q$95,Q$99,Q$108,Q$112,Q$118,Q$124,Q$134,$D$140:Q$140)</f>
        <v>105.08019755670028</v>
      </c>
      <c r="R11" s="73">
        <f ca="1">SUM(R$84,R$95,R$99,R$108,R$112,R$118,R$124,R$134,$D$140:R$140)</f>
        <v>108.97443257961801</v>
      </c>
      <c r="S11" s="73">
        <f ca="1">SUM(S$84,S$95,S$99,S$108,S$112,S$118,S$124,S$134,$D$140:S$140)</f>
        <v>113.03143640171444</v>
      </c>
      <c r="T11" s="73">
        <f ca="1">SUM(T$84,T$95,T$99,T$108,T$112,T$118,T$124,T$134,$D$140:T$140)</f>
        <v>117.26540896505875</v>
      </c>
      <c r="U11" s="73">
        <f ca="1">SUM(U$84,U$95,U$99,U$108,U$112,U$118,U$124,U$134,$D$140:U$140)</f>
        <v>121.71522900895935</v>
      </c>
      <c r="V11" s="73">
        <f ca="1">SUM(V$84,V$95,V$99,V$108,V$112,V$118,V$124,V$134,$D$140:V$140)</f>
        <v>126.31890257955928</v>
      </c>
      <c r="W11" s="73">
        <f ca="1">SUM(W$84,W$95,W$99,W$108,W$112,W$118,W$124,W$134,$D$140:W$140)</f>
        <v>131.11671083521739</v>
      </c>
      <c r="X11" s="73">
        <f ca="1">SUM(X$84,X$95,X$99,X$108,X$112,X$118,X$124,X$134,$D$140:X$140)</f>
        <v>136.07779149525106</v>
      </c>
    </row>
    <row r="12" spans="1:24" x14ac:dyDescent="0.2">
      <c r="A12" s="225" t="s">
        <v>904</v>
      </c>
      <c r="B12" s="233"/>
      <c r="C12"/>
      <c r="D12" s="69">
        <f>Data!C$11</f>
        <v>0</v>
      </c>
      <c r="E12" s="69">
        <f>Data!D$11</f>
        <v>0</v>
      </c>
      <c r="F12" s="69">
        <f>Data!E$11</f>
        <v>0</v>
      </c>
      <c r="G12" s="69">
        <f>Data!F$11</f>
        <v>0</v>
      </c>
      <c r="H12" s="69">
        <f>Data!G$11</f>
        <v>0</v>
      </c>
      <c r="I12" s="69">
        <f>Data!H$11</f>
        <v>0</v>
      </c>
      <c r="J12" s="125">
        <f>Data!I$11</f>
        <v>0.02</v>
      </c>
      <c r="K12" s="125">
        <f>Data!J$11</f>
        <v>0.17</v>
      </c>
      <c r="L12" s="125">
        <f>Data!K$11</f>
        <v>0.25</v>
      </c>
      <c r="M12" s="125">
        <f>Data!L$11</f>
        <v>0.33</v>
      </c>
      <c r="N12" s="125">
        <f>Data!M$11</f>
        <v>0.42</v>
      </c>
      <c r="O12" s="73">
        <f t="shared" ref="O12:X12" ca="1" si="3">N$12*O$156/N$156</f>
        <v>0.43874573018364915</v>
      </c>
      <c r="P12" s="73">
        <f t="shared" ca="1" si="3"/>
        <v>0.45848606046833262</v>
      </c>
      <c r="Q12" s="73">
        <f t="shared" ca="1" si="3"/>
        <v>0.47964118459041899</v>
      </c>
      <c r="R12" s="73">
        <f t="shared" ca="1" si="3"/>
        <v>0.50152897061583568</v>
      </c>
      <c r="S12" s="73">
        <f t="shared" ca="1" si="3"/>
        <v>0.52459266685310457</v>
      </c>
      <c r="T12" s="73">
        <f t="shared" ca="1" si="3"/>
        <v>0.54868024544854821</v>
      </c>
      <c r="U12" s="73">
        <f t="shared" ca="1" si="3"/>
        <v>0.57336031026513334</v>
      </c>
      <c r="V12" s="73">
        <f t="shared" ca="1" si="3"/>
        <v>0.59869372290921208</v>
      </c>
      <c r="W12" s="73">
        <f t="shared" ca="1" si="3"/>
        <v>0.6248169426834016</v>
      </c>
      <c r="X12" s="73">
        <f t="shared" ca="1" si="3"/>
        <v>0.65167692320140314</v>
      </c>
    </row>
    <row r="13" spans="1:24" x14ac:dyDescent="0.2">
      <c r="A13" s="225" t="s">
        <v>322</v>
      </c>
      <c r="B13" s="69"/>
      <c r="C13"/>
      <c r="D13" s="69">
        <f>D$9-SUM(D$10,D$12)</f>
        <v>5.8599999999999994</v>
      </c>
      <c r="E13" s="69">
        <f t="shared" ref="E13:X13" si="4">E$9-SUM(E$10,E$12)</f>
        <v>5.6370000000000005</v>
      </c>
      <c r="F13" s="69">
        <f t="shared" si="4"/>
        <v>-3.8929999999999865</v>
      </c>
      <c r="G13" s="69">
        <f t="shared" si="4"/>
        <v>-6.3149999999999977</v>
      </c>
      <c r="H13" s="69">
        <f t="shared" si="4"/>
        <v>-18.396000000000015</v>
      </c>
      <c r="I13" s="69">
        <f t="shared" si="4"/>
        <v>-9.2400000000000091</v>
      </c>
      <c r="J13" s="125">
        <f t="shared" ca="1" si="4"/>
        <v>-7.3400000000000176</v>
      </c>
      <c r="K13" s="125">
        <f t="shared" ca="1" si="4"/>
        <v>-2.0110000000000241</v>
      </c>
      <c r="L13" s="125">
        <f ca="1">L$9-SUM(L$10,L$12)</f>
        <v>6.6000000000002501E-2</v>
      </c>
      <c r="M13" s="125">
        <f t="shared" ca="1" si="4"/>
        <v>1.3830000000000098</v>
      </c>
      <c r="N13" s="125">
        <f t="shared" ca="1" si="4"/>
        <v>2.0479999999999876</v>
      </c>
      <c r="O13" s="73">
        <f t="shared" ca="1" si="4"/>
        <v>3.2853382455162432</v>
      </c>
      <c r="P13" s="73">
        <f t="shared" ca="1" si="4"/>
        <v>5.238897328451813</v>
      </c>
      <c r="Q13" s="73">
        <f t="shared" ca="1" si="4"/>
        <v>6.9067438558159466</v>
      </c>
      <c r="R13" s="73">
        <f t="shared" ca="1" si="4"/>
        <v>8.6000711856158176</v>
      </c>
      <c r="S13" s="73">
        <f t="shared" ca="1" si="4"/>
        <v>10.611301770125138</v>
      </c>
      <c r="T13" s="73">
        <f t="shared" ca="1" si="4"/>
        <v>12.528819611732487</v>
      </c>
      <c r="U13" s="73">
        <f t="shared" ca="1" si="4"/>
        <v>14.351343925844844</v>
      </c>
      <c r="V13" s="73">
        <f t="shared" ca="1" si="4"/>
        <v>16.271649291667529</v>
      </c>
      <c r="W13" s="73">
        <f t="shared" ca="1" si="4"/>
        <v>18.28690512489419</v>
      </c>
      <c r="X13" s="73">
        <f t="shared" ca="1" si="4"/>
        <v>20.419768544654858</v>
      </c>
    </row>
    <row r="14" spans="1:24" x14ac:dyDescent="0.2">
      <c r="A14" s="225" t="s">
        <v>567</v>
      </c>
      <c r="B14" s="233"/>
      <c r="C14"/>
      <c r="D14" s="69">
        <f>SUM(Data!C$13:C$15,-Data!C$16)</f>
        <v>2.1629999999999998</v>
      </c>
      <c r="E14" s="69">
        <f>SUM(Data!D$13:D$15,-Data!D$16)</f>
        <v>-3.2530000000000001</v>
      </c>
      <c r="F14" s="69">
        <f>SUM(Data!E$13:E$15,-Data!E$16)</f>
        <v>-6.612000000000001</v>
      </c>
      <c r="G14" s="69">
        <f>SUM(Data!F$13:F$15,-Data!F$16)</f>
        <v>1.806</v>
      </c>
      <c r="H14" s="69">
        <f>SUM(Data!G$13:G$15,-Data!G$16)</f>
        <v>5.0360000000000005</v>
      </c>
      <c r="I14" s="69">
        <f>SUM(Data!H$13:H$15,-Data!H$16)</f>
        <v>-5.657</v>
      </c>
      <c r="J14" s="125">
        <f>SUM(Data!I$13:I$15,-Data!I$16)</f>
        <v>4.0650000000000004</v>
      </c>
      <c r="K14" s="125">
        <f>SUM(Data!J$13:J$15,-Data!J$16)</f>
        <v>2.06</v>
      </c>
      <c r="L14" s="125">
        <f>SUM(Data!K$13:K$15,-Data!K$16)</f>
        <v>2.0350000000000001</v>
      </c>
      <c r="M14" s="125">
        <f>SUM(Data!L$13:L$15,-Data!L$16)</f>
        <v>2.1669999999999998</v>
      </c>
      <c r="N14" s="125">
        <f>SUM(Data!M$13:M$15,-Data!M$16)</f>
        <v>2.3370000000000002</v>
      </c>
      <c r="O14" s="73">
        <f t="shared" ref="O14:X14" ca="1" si="5">SUM(N$14,(O$163-N$163),(N$14-N$23)*O$234)</f>
        <v>2.3544961937862117</v>
      </c>
      <c r="P14" s="73">
        <f t="shared" ca="1" si="5"/>
        <v>2.5531931950307865</v>
      </c>
      <c r="Q14" s="73">
        <f t="shared" ca="1" si="5"/>
        <v>2.8384641946880613</v>
      </c>
      <c r="R14" s="73">
        <f t="shared" ca="1" si="5"/>
        <v>3.1416634387315709</v>
      </c>
      <c r="S14" s="73">
        <f t="shared" ca="1" si="5"/>
        <v>3.4601154582659457</v>
      </c>
      <c r="T14" s="73">
        <f t="shared" ca="1" si="5"/>
        <v>3.7938477993352095</v>
      </c>
      <c r="U14" s="73">
        <f t="shared" ca="1" si="5"/>
        <v>4.1393695230949508</v>
      </c>
      <c r="V14" s="73">
        <f t="shared" ca="1" si="5"/>
        <v>4.492802799838298</v>
      </c>
      <c r="W14" s="73">
        <f t="shared" ca="1" si="5"/>
        <v>4.8520130390594804</v>
      </c>
      <c r="X14" s="73">
        <f t="shared" ca="1" si="5"/>
        <v>5.21423789393649</v>
      </c>
    </row>
    <row r="15" spans="1:24" x14ac:dyDescent="0.2">
      <c r="A15" s="225" t="s">
        <v>129</v>
      </c>
      <c r="B15" s="70"/>
      <c r="C15"/>
      <c r="D15" s="69">
        <f t="shared" ref="D15:X15" si="6">SUM(D$13,D$14)</f>
        <v>8.0229999999999997</v>
      </c>
      <c r="E15" s="69">
        <f t="shared" si="6"/>
        <v>2.3840000000000003</v>
      </c>
      <c r="F15" s="69">
        <f t="shared" si="6"/>
        <v>-10.504999999999988</v>
      </c>
      <c r="G15" s="69">
        <f t="shared" si="6"/>
        <v>-4.5089999999999977</v>
      </c>
      <c r="H15" s="69">
        <f t="shared" si="6"/>
        <v>-13.360000000000014</v>
      </c>
      <c r="I15" s="69">
        <f t="shared" si="6"/>
        <v>-14.897000000000009</v>
      </c>
      <c r="J15" s="125">
        <f t="shared" ca="1" si="6"/>
        <v>-3.2750000000000172</v>
      </c>
      <c r="K15" s="125">
        <f t="shared" ca="1" si="6"/>
        <v>4.8999999999975952E-2</v>
      </c>
      <c r="L15" s="125">
        <f t="shared" ca="1" si="6"/>
        <v>2.1010000000000026</v>
      </c>
      <c r="M15" s="125">
        <f t="shared" ca="1" si="6"/>
        <v>3.5500000000000096</v>
      </c>
      <c r="N15" s="125">
        <f t="shared" ca="1" si="6"/>
        <v>4.3849999999999874</v>
      </c>
      <c r="O15" s="73">
        <f t="shared" ca="1" si="6"/>
        <v>5.6398344393024544</v>
      </c>
      <c r="P15" s="73">
        <f t="shared" ca="1" si="6"/>
        <v>7.7920905234825995</v>
      </c>
      <c r="Q15" s="73">
        <f t="shared" ca="1" si="6"/>
        <v>9.745208050504008</v>
      </c>
      <c r="R15" s="73">
        <f t="shared" ca="1" si="6"/>
        <v>11.741734624347389</v>
      </c>
      <c r="S15" s="73">
        <f t="shared" ca="1" si="6"/>
        <v>14.071417228391084</v>
      </c>
      <c r="T15" s="73">
        <f t="shared" ca="1" si="6"/>
        <v>16.322667411067698</v>
      </c>
      <c r="U15" s="73">
        <f t="shared" ca="1" si="6"/>
        <v>18.490713448939793</v>
      </c>
      <c r="V15" s="73">
        <f t="shared" ca="1" si="6"/>
        <v>20.764452091505827</v>
      </c>
      <c r="W15" s="73">
        <f t="shared" ca="1" si="6"/>
        <v>23.138918163953669</v>
      </c>
      <c r="X15" s="73">
        <f t="shared" ca="1" si="6"/>
        <v>25.634006438591349</v>
      </c>
    </row>
    <row r="16" spans="1:24" x14ac:dyDescent="0.2">
      <c r="A16" s="27" t="s">
        <v>161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225" t="s">
        <v>681</v>
      </c>
      <c r="B17" s="69"/>
      <c r="C17"/>
      <c r="D17" s="69">
        <f t="shared" ref="D17:X17" si="7">D$54</f>
        <v>53.476999999999997</v>
      </c>
      <c r="E17" s="69">
        <f t="shared" si="7"/>
        <v>56.747</v>
      </c>
      <c r="F17" s="69">
        <f t="shared" si="7"/>
        <v>54.680999999999997</v>
      </c>
      <c r="G17" s="69">
        <f t="shared" si="7"/>
        <v>50.744</v>
      </c>
      <c r="H17" s="69">
        <f t="shared" si="7"/>
        <v>51.557000000000002</v>
      </c>
      <c r="I17" s="69">
        <f t="shared" si="7"/>
        <v>55.081000000000003</v>
      </c>
      <c r="J17" s="125">
        <f t="shared" si="7"/>
        <v>57.375999999999998</v>
      </c>
      <c r="K17" s="125">
        <f t="shared" si="7"/>
        <v>61.856999999999999</v>
      </c>
      <c r="L17" s="125">
        <f t="shared" si="7"/>
        <v>65.643000000000001</v>
      </c>
      <c r="M17" s="125">
        <f t="shared" si="7"/>
        <v>68.914000000000001</v>
      </c>
      <c r="N17" s="125">
        <f t="shared" si="7"/>
        <v>71.903999999999996</v>
      </c>
      <c r="O17" s="73">
        <f t="shared" ca="1" si="7"/>
        <v>75.741048040815684</v>
      </c>
      <c r="P17" s="73">
        <f t="shared" ca="1" si="7"/>
        <v>79.504797692964004</v>
      </c>
      <c r="Q17" s="73">
        <f t="shared" ca="1" si="7"/>
        <v>83.569982281659549</v>
      </c>
      <c r="R17" s="73">
        <f t="shared" ca="1" si="7"/>
        <v>87.803698478402623</v>
      </c>
      <c r="S17" s="73">
        <f t="shared" ca="1" si="7"/>
        <v>92.264991948077125</v>
      </c>
      <c r="T17" s="73">
        <f t="shared" ca="1" si="7"/>
        <v>96.62092200101263</v>
      </c>
      <c r="U17" s="73">
        <f t="shared" ca="1" si="7"/>
        <v>100.96700633228605</v>
      </c>
      <c r="V17" s="73">
        <f t="shared" ca="1" si="7"/>
        <v>105.42814322833372</v>
      </c>
      <c r="W17" s="73">
        <f t="shared" ca="1" si="7"/>
        <v>110.02836275720311</v>
      </c>
      <c r="X17" s="73">
        <f t="shared" ca="1" si="7"/>
        <v>114.75832361164747</v>
      </c>
    </row>
    <row r="18" spans="1:24" x14ac:dyDescent="0.2">
      <c r="A18" s="225" t="s">
        <v>320</v>
      </c>
      <c r="B18" s="69"/>
      <c r="C18"/>
      <c r="D18" s="69">
        <f t="shared" ref="D18:X18" si="8">SUM(D$17,D$59,D$66)</f>
        <v>58.210999999999999</v>
      </c>
      <c r="E18" s="69">
        <f t="shared" si="8"/>
        <v>61.819000000000003</v>
      </c>
      <c r="F18" s="69">
        <f t="shared" si="8"/>
        <v>59.481999999999999</v>
      </c>
      <c r="G18" s="69">
        <f t="shared" si="8"/>
        <v>56.216000000000001</v>
      </c>
      <c r="H18" s="69">
        <f t="shared" si="8"/>
        <v>57.55</v>
      </c>
      <c r="I18" s="69">
        <f t="shared" si="8"/>
        <v>60.565000000000005</v>
      </c>
      <c r="J18" s="125">
        <f t="shared" si="8"/>
        <v>62.939</v>
      </c>
      <c r="K18" s="125">
        <f t="shared" si="8"/>
        <v>67.786000000000001</v>
      </c>
      <c r="L18" s="125">
        <f t="shared" si="8"/>
        <v>71.816999999999993</v>
      </c>
      <c r="M18" s="125">
        <f t="shared" si="8"/>
        <v>74.967000000000013</v>
      </c>
      <c r="N18" s="125">
        <f t="shared" si="8"/>
        <v>78.266999999999996</v>
      </c>
      <c r="O18" s="73">
        <f t="shared" ca="1" si="8"/>
        <v>81.964255278162824</v>
      </c>
      <c r="P18" s="73">
        <f t="shared" ca="1" si="8"/>
        <v>85.922074098846124</v>
      </c>
      <c r="Q18" s="73">
        <f t="shared" ca="1" si="8"/>
        <v>90.22259405487226</v>
      </c>
      <c r="R18" s="73">
        <f t="shared" ca="1" si="8"/>
        <v>94.702480061904879</v>
      </c>
      <c r="S18" s="73">
        <f t="shared" ca="1" si="8"/>
        <v>99.419463248956134</v>
      </c>
      <c r="T18" s="73">
        <f t="shared" ca="1" si="8"/>
        <v>104.04187216798211</v>
      </c>
      <c r="U18" s="73">
        <f t="shared" ca="1" si="8"/>
        <v>108.66268956957389</v>
      </c>
      <c r="V18" s="73">
        <f t="shared" ca="1" si="8"/>
        <v>113.40626264134384</v>
      </c>
      <c r="W18" s="73">
        <f t="shared" ca="1" si="8"/>
        <v>118.29565985733163</v>
      </c>
      <c r="X18" s="73">
        <f t="shared" ca="1" si="8"/>
        <v>123.32036492280017</v>
      </c>
    </row>
    <row r="19" spans="1:24" x14ac:dyDescent="0.2">
      <c r="A19" s="225" t="s">
        <v>321</v>
      </c>
      <c r="B19" s="69"/>
      <c r="C19"/>
      <c r="D19" s="69">
        <f>SUM(D$20,D$137)</f>
        <v>54.003</v>
      </c>
      <c r="E19" s="69">
        <f t="shared" ref="E19:X19" si="9">SUM(E$20,E$137)</f>
        <v>56.997</v>
      </c>
      <c r="F19" s="69">
        <f t="shared" si="9"/>
        <v>64.001999999999995</v>
      </c>
      <c r="G19" s="69">
        <f t="shared" si="9"/>
        <v>64.013000000000005</v>
      </c>
      <c r="H19" s="69">
        <f t="shared" si="9"/>
        <v>70.45</v>
      </c>
      <c r="I19" s="69">
        <f t="shared" si="9"/>
        <v>69.075999999999979</v>
      </c>
      <c r="J19" s="272">
        <f t="shared" ca="1" si="9"/>
        <v>71.998000000000005</v>
      </c>
      <c r="K19" s="272">
        <f t="shared" ca="1" si="9"/>
        <v>71.781000000000006</v>
      </c>
      <c r="L19" s="272">
        <f t="shared" ca="1" si="9"/>
        <v>73.652000000000015</v>
      </c>
      <c r="M19" s="272">
        <f t="shared" ca="1" si="9"/>
        <v>75.557000000000002</v>
      </c>
      <c r="N19" s="272">
        <f t="shared" ca="1" si="9"/>
        <v>78.043999999999983</v>
      </c>
      <c r="O19" s="267">
        <f t="shared" ca="1" si="9"/>
        <v>81.006992934734413</v>
      </c>
      <c r="P19" s="267">
        <f t="shared" ca="1" si="9"/>
        <v>83.099745213256057</v>
      </c>
      <c r="Q19" s="267">
        <f t="shared" ca="1" si="9"/>
        <v>85.820431218686949</v>
      </c>
      <c r="R19" s="267">
        <f t="shared" ca="1" si="9"/>
        <v>88.679595253718077</v>
      </c>
      <c r="S19" s="267">
        <f t="shared" ca="1" si="9"/>
        <v>91.477282370109194</v>
      </c>
      <c r="T19" s="267">
        <f t="shared" ca="1" si="9"/>
        <v>94.269188906000906</v>
      </c>
      <c r="U19" s="267">
        <f t="shared" ca="1" si="9"/>
        <v>97.140236030010001</v>
      </c>
      <c r="V19" s="267">
        <f t="shared" ca="1" si="9"/>
        <v>100.02514296347883</v>
      </c>
      <c r="W19" s="267">
        <f t="shared" ca="1" si="9"/>
        <v>102.95008597061275</v>
      </c>
      <c r="X19" s="267">
        <f t="shared" ca="1" si="9"/>
        <v>105.87820272563319</v>
      </c>
    </row>
    <row r="20" spans="1:24" x14ac:dyDescent="0.2">
      <c r="A20" s="225" t="s">
        <v>326</v>
      </c>
      <c r="B20" s="69"/>
      <c r="C20"/>
      <c r="D20" s="271">
        <f>SUM(D$82,D$94,D$98,D$107,D$111,D$117,D$123,D$133,$D$140:D$140)</f>
        <v>51.673999999999999</v>
      </c>
      <c r="E20" s="271">
        <f>SUM(E$82,E$94,E$98,E$107,E$111,E$117,E$123,E$133,$D$140:E$140)</f>
        <v>54.536999999999999</v>
      </c>
      <c r="F20" s="271">
        <f>SUM(F$82,F$94,F$98,F$107,F$111,F$117,F$123,F$133,$D$140:F$140)</f>
        <v>61.572999999999993</v>
      </c>
      <c r="G20" s="271">
        <f>SUM(G$82,G$94,G$98,G$107,G$111,G$117,G$123,G$133,$D$140:G$140)</f>
        <v>61.701999999999998</v>
      </c>
      <c r="H20" s="271">
        <f>SUM(H$82,H$94,H$98,H$107,H$111,H$117,H$123,H$133,$D$140:H$140)</f>
        <v>67.384</v>
      </c>
      <c r="I20" s="271">
        <f>SUM(I$82,I$94,I$98,I$107,I$111,I$117,I$123,I$133,$D$140:I$140)</f>
        <v>65.564999999999984</v>
      </c>
      <c r="J20" s="272">
        <f ca="1">SUM(J$82,J$94,J$98,J$107,J$111,J$117,J$123,J$133,$D$140:J$140)</f>
        <v>68.419000000000011</v>
      </c>
      <c r="K20" s="272">
        <f ca="1">SUM(K$82,K$94,K$98,K$107,K$111,K$117,K$123,K$133,$D$140:K$140)</f>
        <v>68.029000000000011</v>
      </c>
      <c r="L20" s="272">
        <f ca="1">SUM(L$82,L$94,L$98,L$107,L$111,L$117,L$123,L$133,$D$140:L$140)</f>
        <v>69.680000000000021</v>
      </c>
      <c r="M20" s="272">
        <f ca="1">SUM(M$82,M$94,M$98,M$107,M$111,M$117,M$123,M$133,$D$140:M$140)</f>
        <v>71.567999999999998</v>
      </c>
      <c r="N20" s="272">
        <f ca="1">SUM(N$82,N$94,N$98,N$107,N$111,N$117,N$123,N$133,$D$140:N$140)</f>
        <v>73.764999999999986</v>
      </c>
      <c r="O20" s="267">
        <f ca="1">SUM(O$82,O$94,O$98,O$107,O$111,O$117,O$123,O$133,$D$140:O$140)</f>
        <v>75.700082934734411</v>
      </c>
      <c r="P20" s="267">
        <f ca="1">SUM(P$82,P$94,P$98,P$107,P$111,P$117,P$123,P$133,$D$140:P$140)</f>
        <v>77.608759873602423</v>
      </c>
      <c r="Q20" s="267">
        <f ca="1">SUM(Q$82,Q$94,Q$98,Q$107,Q$111,Q$117,Q$123,Q$133,$D$140:Q$140)</f>
        <v>80.169652563772928</v>
      </c>
      <c r="R20" s="267">
        <f ca="1">SUM(R$82,R$94,R$98,R$107,R$111,R$117,R$123,R$133,$D$140:R$140)</f>
        <v>82.950260129866209</v>
      </c>
      <c r="S20" s="267">
        <f ca="1">SUM(S$82,S$94,S$98,S$107,S$111,S$117,S$123,S$133,$D$140:S$140)</f>
        <v>85.836244195203022</v>
      </c>
      <c r="T20" s="267">
        <f ca="1">SUM(T$82,T$94,T$98,T$107,T$111,T$117,T$123,T$133,$D$140:T$140)</f>
        <v>88.846579277531319</v>
      </c>
      <c r="U20" s="267">
        <f ca="1">SUM(U$82,U$94,U$98,U$107,U$111,U$117,U$123,U$133,$D$140:U$140)</f>
        <v>92.041021328052878</v>
      </c>
      <c r="V20" s="267">
        <f ca="1">SUM(V$82,V$94,V$98,V$107,V$111,V$117,V$123,V$133,$D$140:V$140)</f>
        <v>95.355145198520731</v>
      </c>
      <c r="W20" s="267">
        <f ca="1">SUM(W$82,W$94,W$98,W$107,W$111,W$117,W$123,W$133,$D$140:W$140)</f>
        <v>98.822537303935789</v>
      </c>
      <c r="X20" s="267">
        <f ca="1">SUM(X$82,X$94,X$98,X$107,X$111,X$117,X$123,X$133,$D$140:X$140)</f>
        <v>102.41336512409259</v>
      </c>
    </row>
    <row r="21" spans="1:24" x14ac:dyDescent="0.2">
      <c r="A21" s="225" t="s">
        <v>822</v>
      </c>
      <c r="B21" s="69"/>
      <c r="C21"/>
      <c r="D21" s="271">
        <f t="shared" ref="D21:X21" si="10">D$19-SUM(D$82,D$137)</f>
        <v>34.905999999999999</v>
      </c>
      <c r="E21" s="271">
        <f t="shared" si="10"/>
        <v>36.659999999999997</v>
      </c>
      <c r="F21" s="271">
        <f t="shared" si="10"/>
        <v>42.190999999999995</v>
      </c>
      <c r="G21" s="271">
        <f t="shared" si="10"/>
        <v>40.51700000000001</v>
      </c>
      <c r="H21" s="271">
        <f t="shared" si="10"/>
        <v>45.379000000000005</v>
      </c>
      <c r="I21" s="271">
        <f t="shared" si="10"/>
        <v>43.536999999999978</v>
      </c>
      <c r="J21" s="272">
        <f t="shared" ca="1" si="10"/>
        <v>45.541000000000004</v>
      </c>
      <c r="K21" s="272">
        <f t="shared" ca="1" si="10"/>
        <v>44.431000000000012</v>
      </c>
      <c r="L21" s="272">
        <f t="shared" ca="1" si="10"/>
        <v>45.567000000000014</v>
      </c>
      <c r="M21" s="272">
        <f t="shared" ca="1" si="10"/>
        <v>46.906999999999996</v>
      </c>
      <c r="N21" s="272">
        <f t="shared" ca="1" si="10"/>
        <v>48.365999999999985</v>
      </c>
      <c r="O21" s="267">
        <f t="shared" ca="1" si="10"/>
        <v>49.598555956367328</v>
      </c>
      <c r="P21" s="267">
        <f t="shared" ca="1" si="10"/>
        <v>50.523005189469409</v>
      </c>
      <c r="Q21" s="267">
        <f t="shared" ca="1" si="10"/>
        <v>52.018179253278618</v>
      </c>
      <c r="R21" s="267">
        <f t="shared" ca="1" si="10"/>
        <v>53.541191257264344</v>
      </c>
      <c r="S21" s="267">
        <f t="shared" ca="1" si="10"/>
        <v>55.102355543484464</v>
      </c>
      <c r="T21" s="267">
        <f t="shared" ca="1" si="10"/>
        <v>56.715759480715128</v>
      </c>
      <c r="U21" s="267">
        <f t="shared" ca="1" si="10"/>
        <v>58.360085821408177</v>
      </c>
      <c r="V21" s="267">
        <f t="shared" ca="1" si="10"/>
        <v>60.039830542769295</v>
      </c>
      <c r="W21" s="267">
        <f t="shared" ca="1" si="10"/>
        <v>61.76449924648206</v>
      </c>
      <c r="X21" s="267">
        <f t="shared" ca="1" si="10"/>
        <v>63.530050787171277</v>
      </c>
    </row>
    <row r="22" spans="1:24" x14ac:dyDescent="0.2">
      <c r="A22" s="225" t="s">
        <v>322</v>
      </c>
      <c r="B22" s="69"/>
      <c r="C22"/>
      <c r="D22" s="271">
        <f>D$18-D$19</f>
        <v>4.2079999999999984</v>
      </c>
      <c r="E22" s="271">
        <f t="shared" ref="E22:X22" si="11">E$18-E$19</f>
        <v>4.8220000000000027</v>
      </c>
      <c r="F22" s="271">
        <f t="shared" si="11"/>
        <v>-4.519999999999996</v>
      </c>
      <c r="G22" s="271">
        <f t="shared" si="11"/>
        <v>-7.7970000000000041</v>
      </c>
      <c r="H22" s="271">
        <f t="shared" si="11"/>
        <v>-12.900000000000006</v>
      </c>
      <c r="I22" s="271">
        <f t="shared" si="11"/>
        <v>-8.5109999999999744</v>
      </c>
      <c r="J22" s="125">
        <f t="shared" ca="1" si="11"/>
        <v>-9.0590000000000046</v>
      </c>
      <c r="K22" s="125">
        <f t="shared" ca="1" si="11"/>
        <v>-3.9950000000000045</v>
      </c>
      <c r="L22" s="125">
        <f t="shared" ca="1" si="11"/>
        <v>-1.8350000000000222</v>
      </c>
      <c r="M22" s="125">
        <f t="shared" ca="1" si="11"/>
        <v>-0.5899999999999892</v>
      </c>
      <c r="N22" s="125">
        <f t="shared" ca="1" si="11"/>
        <v>0.22300000000001319</v>
      </c>
      <c r="O22" s="73">
        <f t="shared" ca="1" si="11"/>
        <v>0.9572623434284111</v>
      </c>
      <c r="P22" s="73">
        <f t="shared" ca="1" si="11"/>
        <v>2.8223288855900677</v>
      </c>
      <c r="Q22" s="73">
        <f t="shared" ca="1" si="11"/>
        <v>4.4021628361853118</v>
      </c>
      <c r="R22" s="73">
        <f t="shared" ca="1" si="11"/>
        <v>6.0228848081868023</v>
      </c>
      <c r="S22" s="73">
        <f t="shared" ca="1" si="11"/>
        <v>7.9421808788469406</v>
      </c>
      <c r="T22" s="73">
        <f t="shared" ca="1" si="11"/>
        <v>9.7726832619812001</v>
      </c>
      <c r="U22" s="73">
        <f t="shared" ca="1" si="11"/>
        <v>11.522453539563884</v>
      </c>
      <c r="V22" s="73">
        <f t="shared" ca="1" si="11"/>
        <v>13.381119677865016</v>
      </c>
      <c r="W22" s="73">
        <f t="shared" ca="1" si="11"/>
        <v>15.345573886718881</v>
      </c>
      <c r="X22" s="73">
        <f t="shared" ca="1" si="11"/>
        <v>17.442162197166979</v>
      </c>
    </row>
    <row r="23" spans="1:24" x14ac:dyDescent="0.2">
      <c r="A23" s="225" t="s">
        <v>567</v>
      </c>
      <c r="B23" s="233"/>
      <c r="C23"/>
      <c r="D23" s="69">
        <f>SUM(Data!C$106:C$107)</f>
        <v>2.3029999999999999</v>
      </c>
      <c r="E23" s="69">
        <f>SUM(Data!D$106:D$107)</f>
        <v>-0.93100000000000005</v>
      </c>
      <c r="F23" s="69">
        <f>SUM(Data!E$106:E$107)</f>
        <v>-1.3420000000000001</v>
      </c>
      <c r="G23" s="69">
        <f>SUM(Data!F$106:F$107)</f>
        <v>0.79700000000000004</v>
      </c>
      <c r="H23" s="69">
        <f>SUM(Data!G$106:G$107)</f>
        <v>3.633</v>
      </c>
      <c r="I23" s="69">
        <f>SUM(Data!H$106:H$107)</f>
        <v>-3.16</v>
      </c>
      <c r="J23" s="125">
        <f>SUM(Data!I$106:I$107)</f>
        <v>2.9020000000000001</v>
      </c>
      <c r="K23" s="125">
        <f>SUM(Data!J$106:J$107)</f>
        <v>1.76</v>
      </c>
      <c r="L23" s="125">
        <f>SUM(Data!K$106:K$107)</f>
        <v>1.859</v>
      </c>
      <c r="M23" s="125">
        <f>SUM(Data!L$106:L$107)</f>
        <v>1.909</v>
      </c>
      <c r="N23" s="125">
        <f>SUM(Data!M$106:M$107)</f>
        <v>2.0070000000000001</v>
      </c>
      <c r="O23" s="267">
        <f t="shared" ref="O23:X23" si="12">SUM(N$23,O$163-N$163)</f>
        <v>2.009767405784773</v>
      </c>
      <c r="P23" s="267">
        <f t="shared" si="12"/>
        <v>2.192954147519953</v>
      </c>
      <c r="Q23" s="267">
        <f t="shared" si="12"/>
        <v>2.4616032639384455</v>
      </c>
      <c r="R23" s="267">
        <f t="shared" si="12"/>
        <v>2.7476049618191278</v>
      </c>
      <c r="S23" s="267">
        <f t="shared" si="12"/>
        <v>3.0479355057385056</v>
      </c>
      <c r="T23" s="267">
        <f t="shared" si="12"/>
        <v>3.3627418921970635</v>
      </c>
      <c r="U23" s="267">
        <f t="shared" si="12"/>
        <v>3.6888721364580594</v>
      </c>
      <c r="V23" s="267">
        <f t="shared" si="12"/>
        <v>4.0224005889810597</v>
      </c>
      <c r="W23" s="267">
        <f t="shared" si="12"/>
        <v>4.3610854412368063</v>
      </c>
      <c r="X23" s="267">
        <f t="shared" si="12"/>
        <v>4.7022060257068148</v>
      </c>
    </row>
    <row r="24" spans="1:24" x14ac:dyDescent="0.2">
      <c r="A24" s="225" t="s">
        <v>129</v>
      </c>
      <c r="B24" s="69"/>
      <c r="C24"/>
      <c r="D24" s="271">
        <f>SUM(D$22,D$23)</f>
        <v>6.5109999999999983</v>
      </c>
      <c r="E24" s="271">
        <f t="shared" ref="E24:X24" si="13">SUM(E$22,E$23)</f>
        <v>3.8910000000000027</v>
      </c>
      <c r="F24" s="271">
        <f t="shared" si="13"/>
        <v>-5.8619999999999965</v>
      </c>
      <c r="G24" s="271">
        <f t="shared" si="13"/>
        <v>-7.0000000000000044</v>
      </c>
      <c r="H24" s="271">
        <f t="shared" si="13"/>
        <v>-9.2670000000000066</v>
      </c>
      <c r="I24" s="271">
        <f t="shared" si="13"/>
        <v>-11.670999999999975</v>
      </c>
      <c r="J24" s="125">
        <f t="shared" ca="1" si="13"/>
        <v>-6.1570000000000045</v>
      </c>
      <c r="K24" s="125">
        <f t="shared" ca="1" si="13"/>
        <v>-2.2350000000000048</v>
      </c>
      <c r="L24" s="125">
        <f t="shared" ca="1" si="13"/>
        <v>2.3999999999977817E-2</v>
      </c>
      <c r="M24" s="125">
        <f t="shared" ca="1" si="13"/>
        <v>1.3190000000000108</v>
      </c>
      <c r="N24" s="125">
        <f t="shared" ca="1" si="13"/>
        <v>2.2300000000000133</v>
      </c>
      <c r="O24" s="73">
        <f t="shared" ca="1" si="13"/>
        <v>2.9670297492131841</v>
      </c>
      <c r="P24" s="73">
        <f t="shared" ca="1" si="13"/>
        <v>5.0152830331100207</v>
      </c>
      <c r="Q24" s="73">
        <f t="shared" ca="1" si="13"/>
        <v>6.8637661001237573</v>
      </c>
      <c r="R24" s="73">
        <f t="shared" ca="1" si="13"/>
        <v>8.7704897700059306</v>
      </c>
      <c r="S24" s="73">
        <f t="shared" ca="1" si="13"/>
        <v>10.990116384585447</v>
      </c>
      <c r="T24" s="73">
        <f t="shared" ca="1" si="13"/>
        <v>13.135425154178265</v>
      </c>
      <c r="U24" s="73">
        <f t="shared" ca="1" si="13"/>
        <v>15.211325676021943</v>
      </c>
      <c r="V24" s="73">
        <f t="shared" ca="1" si="13"/>
        <v>17.403520266846076</v>
      </c>
      <c r="W24" s="73">
        <f t="shared" ca="1" si="13"/>
        <v>19.706659327955688</v>
      </c>
      <c r="X24" s="73">
        <f t="shared" ca="1" si="13"/>
        <v>22.144368222873794</v>
      </c>
    </row>
    <row r="25" spans="1:24" x14ac:dyDescent="0.2">
      <c r="A25" s="225" t="s">
        <v>823</v>
      </c>
      <c r="B25" s="69"/>
      <c r="C25"/>
      <c r="D25" s="271">
        <f t="shared" ref="D25:X25" si="14">(D$18-D$66)-(D$19-D$137)</f>
        <v>3.9570000000000007</v>
      </c>
      <c r="E25" s="271">
        <f t="shared" si="14"/>
        <v>4.9380000000000024</v>
      </c>
      <c r="F25" s="271">
        <f t="shared" si="14"/>
        <v>-3.9629999999999939</v>
      </c>
      <c r="G25" s="271">
        <f t="shared" si="14"/>
        <v>-7.6210000000000022</v>
      </c>
      <c r="H25" s="271">
        <f t="shared" si="14"/>
        <v>-12.003</v>
      </c>
      <c r="I25" s="271">
        <f t="shared" si="14"/>
        <v>-6.7949999999999804</v>
      </c>
      <c r="J25" s="125">
        <f t="shared" ca="1" si="14"/>
        <v>-7.7410000000000139</v>
      </c>
      <c r="K25" s="125">
        <f t="shared" ca="1" si="14"/>
        <v>-2.8290000000000077</v>
      </c>
      <c r="L25" s="125">
        <f t="shared" ca="1" si="14"/>
        <v>-0.69600000000002638</v>
      </c>
      <c r="M25" s="125">
        <f t="shared" ca="1" si="14"/>
        <v>0.51100000000000989</v>
      </c>
      <c r="N25" s="125">
        <f t="shared" ca="1" si="14"/>
        <v>1.3510000000000133</v>
      </c>
      <c r="O25" s="73">
        <f t="shared" ca="1" si="14"/>
        <v>3.0606147263344354</v>
      </c>
      <c r="P25" s="73">
        <f t="shared" ca="1" si="14"/>
        <v>4.9760804320198133</v>
      </c>
      <c r="Q25" s="73">
        <f t="shared" ca="1" si="14"/>
        <v>6.5419731827980172</v>
      </c>
      <c r="R25" s="73">
        <f t="shared" ca="1" si="14"/>
        <v>8.0579146827460448</v>
      </c>
      <c r="S25" s="73">
        <f t="shared" ca="1" si="14"/>
        <v>9.6973136137679177</v>
      </c>
      <c r="T25" s="73">
        <f t="shared" ca="1" si="14"/>
        <v>11.108279901592994</v>
      </c>
      <c r="U25" s="73">
        <f t="shared" ca="1" si="14"/>
        <v>12.326600925907087</v>
      </c>
      <c r="V25" s="73">
        <f t="shared" ca="1" si="14"/>
        <v>13.5416262699204</v>
      </c>
      <c r="W25" s="73">
        <f t="shared" ca="1" si="14"/>
        <v>14.743826258176867</v>
      </c>
      <c r="X25" s="73">
        <f t="shared" ca="1" si="14"/>
        <v>15.953719308562611</v>
      </c>
    </row>
    <row r="26" spans="1:24" ht="15.75" customHeight="1" x14ac:dyDescent="0.25">
      <c r="A26" s="153" t="s">
        <v>387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">
      <c r="A27" s="27" t="s">
        <v>160</v>
      </c>
      <c r="B27" s="70"/>
      <c r="C27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x14ac:dyDescent="0.2">
      <c r="A28" s="225" t="s">
        <v>688</v>
      </c>
      <c r="B28" s="70"/>
      <c r="C28"/>
      <c r="D28" s="69">
        <f>SUM(D$145,D$147,D$157,D$177,D$192,$D$194:D$194,D$202)</f>
        <v>180.34899999999999</v>
      </c>
      <c r="E28" s="69">
        <f>SUM(E$145,E$147,E$157,E$177,E$192,$D$194:E$194,E$202)</f>
        <v>200.83500000000001</v>
      </c>
      <c r="F28" s="69">
        <f>SUM(F$145,F$147,F$157,F$177,F$192,$D$194:F$194,F$202)</f>
        <v>217.15100000000001</v>
      </c>
      <c r="G28" s="69">
        <f>SUM(G$145,G$147,G$157,G$177,G$192,$D$194:G$194,G$202)</f>
        <v>223.35499999999999</v>
      </c>
      <c r="H28" s="69">
        <f>SUM(H$145,H$147,H$157,H$177,H$192,$D$194:H$194,H$202)</f>
        <v>245.215</v>
      </c>
      <c r="I28" s="69">
        <f>SUM(I$145,I$147,I$157,I$177,I$192,$D$194:I$194,I$202)</f>
        <v>240.31800000000001</v>
      </c>
      <c r="J28" s="125">
        <f ca="1">SUM(J$145,J$147,J$157,J$177,J$192,$D$194:J$194,J$202)</f>
        <v>237.82</v>
      </c>
      <c r="K28" s="125">
        <f ca="1">SUM(K$145,K$147,K$157,K$177,K$192,$D$194:K$194,K$202)</f>
        <v>246.761</v>
      </c>
      <c r="L28" s="125">
        <f ca="1">SUM(L$145,L$147,L$157,L$177,L$192,$D$194:L$194,L$202)</f>
        <v>248.18600000000001</v>
      </c>
      <c r="M28" s="125">
        <f ca="1">SUM(M$145,M$147,M$157,M$177,M$192,$D$194:M$194,M$202)</f>
        <v>258.45999999999998</v>
      </c>
      <c r="N28" s="125">
        <f ca="1">SUM(N$145,N$147,N$157,N$177,N$192,$D$194:N$194,N$202)</f>
        <v>272.23800000000006</v>
      </c>
      <c r="O28" s="73">
        <f ca="1">SUM(O$145,O$147,O$157,O$177,O$192,$D$194:O$194,O$202)</f>
        <v>282.77378329983873</v>
      </c>
      <c r="P28" s="73">
        <f ca="1">SUM(P$145,P$147,P$157,P$177,P$192,$D$194:P$194,P$202)</f>
        <v>295.19389669889318</v>
      </c>
      <c r="Q28" s="73">
        <f ca="1">SUM(Q$145,Q$147,Q$157,Q$177,Q$192,$D$194:Q$194,Q$202)</f>
        <v>308.46993590059532</v>
      </c>
      <c r="R28" s="73">
        <f ca="1">SUM(R$145,R$147,R$157,R$177,R$192,$D$194:R$194,R$202)</f>
        <v>322.55011226975222</v>
      </c>
      <c r="S28" s="73">
        <f ca="1">SUM(S$145,S$147,S$157,S$177,S$192,$D$194:S$194,S$202)</f>
        <v>337.4248562552732</v>
      </c>
      <c r="T28" s="73">
        <f ca="1">SUM(T$145,T$147,T$157,T$177,T$192,$D$194:T$194,T$202)</f>
        <v>353.06581389749289</v>
      </c>
      <c r="U28" s="73">
        <f ca="1">SUM(U$145,U$147,U$157,U$177,U$192,$D$194:U$194,U$202)</f>
        <v>369.31339262406942</v>
      </c>
      <c r="V28" s="73">
        <f ca="1">SUM(V$145,V$147,V$157,V$177,V$192,$D$194:V$194,V$202)</f>
        <v>386.16751749377147</v>
      </c>
      <c r="W28" s="73">
        <f ca="1">SUM(W$145,W$147,W$157,W$177,W$192,$D$194:W$194,W$202)</f>
        <v>403.6456122850264</v>
      </c>
      <c r="X28" s="73">
        <f ca="1">SUM(X$145,X$147,X$157,X$177,X$192,$D$194:X$194,X$202)</f>
        <v>421.72031319305506</v>
      </c>
    </row>
    <row r="29" spans="1:24" x14ac:dyDescent="0.2">
      <c r="A29" s="225" t="s">
        <v>690</v>
      </c>
      <c r="B29" s="70"/>
      <c r="C29"/>
      <c r="D29" s="69">
        <f t="shared" ref="D29:X29" si="15">SUM(D$223,D$222)</f>
        <v>41.897999999999996</v>
      </c>
      <c r="E29" s="69">
        <f t="shared" si="15"/>
        <v>46.11</v>
      </c>
      <c r="F29" s="69">
        <f t="shared" si="15"/>
        <v>61.953000000000003</v>
      </c>
      <c r="G29" s="69">
        <f t="shared" si="15"/>
        <v>69.733000000000004</v>
      </c>
      <c r="H29" s="69">
        <f t="shared" si="15"/>
        <v>90.245000000000005</v>
      </c>
      <c r="I29" s="69">
        <f t="shared" si="15"/>
        <v>100.53399999999999</v>
      </c>
      <c r="J29" s="125">
        <f t="shared" si="15"/>
        <v>102.74900000000001</v>
      </c>
      <c r="K29" s="125">
        <f t="shared" si="15"/>
        <v>113.669</v>
      </c>
      <c r="L29" s="125">
        <f t="shared" si="15"/>
        <v>112.494</v>
      </c>
      <c r="M29" s="125">
        <f t="shared" si="15"/>
        <v>117.733</v>
      </c>
      <c r="N29" s="125">
        <f t="shared" si="15"/>
        <v>125.419</v>
      </c>
      <c r="O29" s="73">
        <f t="shared" ca="1" si="15"/>
        <v>128.3733350901679</v>
      </c>
      <c r="P29" s="73">
        <f t="shared" ca="1" si="15"/>
        <v>130.9683977091793</v>
      </c>
      <c r="Q29" s="73">
        <f t="shared" ca="1" si="15"/>
        <v>132.35674814468808</v>
      </c>
      <c r="R29" s="73">
        <f t="shared" ca="1" si="15"/>
        <v>132.49559877744872</v>
      </c>
      <c r="S29" s="73">
        <f t="shared" ca="1" si="15"/>
        <v>131.00067274788486</v>
      </c>
      <c r="T29" s="73">
        <f t="shared" ca="1" si="15"/>
        <v>127.92653220658218</v>
      </c>
      <c r="U29" s="73">
        <f t="shared" ca="1" si="15"/>
        <v>123.22267380964274</v>
      </c>
      <c r="V29" s="73">
        <f t="shared" ca="1" si="15"/>
        <v>116.77663492854018</v>
      </c>
      <c r="W29" s="73">
        <f t="shared" ca="1" si="15"/>
        <v>108.48846187621632</v>
      </c>
      <c r="X29" s="73">
        <f t="shared" ca="1" si="15"/>
        <v>98.217889865383199</v>
      </c>
    </row>
    <row r="30" spans="1:24" x14ac:dyDescent="0.2">
      <c r="A30" s="225" t="s">
        <v>682</v>
      </c>
      <c r="B30" s="70"/>
      <c r="C30"/>
      <c r="D30" s="69">
        <f t="shared" ref="D30:X30" si="16">D$219</f>
        <v>41.624000000000002</v>
      </c>
      <c r="E30" s="69">
        <f t="shared" si="16"/>
        <v>49.210999999999999</v>
      </c>
      <c r="F30" s="69">
        <f t="shared" si="16"/>
        <v>55.683</v>
      </c>
      <c r="G30" s="69">
        <f t="shared" si="16"/>
        <v>58.634</v>
      </c>
      <c r="H30" s="69">
        <f t="shared" si="16"/>
        <v>74.082999999999998</v>
      </c>
      <c r="I30" s="69">
        <f t="shared" si="16"/>
        <v>80.004000000000005</v>
      </c>
      <c r="J30" s="125">
        <f t="shared" si="16"/>
        <v>77.009</v>
      </c>
      <c r="K30" s="125">
        <f t="shared" si="16"/>
        <v>73.375</v>
      </c>
      <c r="L30" s="125">
        <f t="shared" si="16"/>
        <v>72.27000000000001</v>
      </c>
      <c r="M30" s="125">
        <f t="shared" si="16"/>
        <v>72.076999999999998</v>
      </c>
      <c r="N30" s="125">
        <f t="shared" si="16"/>
        <v>73.561999999999983</v>
      </c>
      <c r="O30" s="73">
        <f t="shared" ca="1" si="16"/>
        <v>75.466613770368411</v>
      </c>
      <c r="P30" s="73">
        <f t="shared" ca="1" si="16"/>
        <v>77.462148526928843</v>
      </c>
      <c r="Q30" s="73">
        <f t="shared" ca="1" si="16"/>
        <v>79.566773349368233</v>
      </c>
      <c r="R30" s="73">
        <f t="shared" ca="1" si="16"/>
        <v>81.728073225394638</v>
      </c>
      <c r="S30" s="73">
        <f t="shared" ca="1" si="16"/>
        <v>83.987594426851757</v>
      </c>
      <c r="T30" s="73">
        <f t="shared" ca="1" si="16"/>
        <v>86.340848200839531</v>
      </c>
      <c r="U30" s="73">
        <f t="shared" ca="1" si="16"/>
        <v>88.76194434146646</v>
      </c>
      <c r="V30" s="73">
        <f t="shared" ca="1" si="16"/>
        <v>91.257572750175683</v>
      </c>
      <c r="W30" s="73">
        <f t="shared" ca="1" si="16"/>
        <v>93.844378221829359</v>
      </c>
      <c r="X30" s="73">
        <f t="shared" ca="1" si="16"/>
        <v>96.514634235736779</v>
      </c>
    </row>
    <row r="31" spans="1:24" x14ac:dyDescent="0.2">
      <c r="A31" s="225" t="s">
        <v>301</v>
      </c>
      <c r="B31" s="70"/>
      <c r="C31"/>
      <c r="D31" s="69">
        <f t="shared" ref="D31:X31" si="17">D$28-SUM(D$29,D$30)</f>
        <v>96.826999999999998</v>
      </c>
      <c r="E31" s="69">
        <f t="shared" si="17"/>
        <v>105.51400000000001</v>
      </c>
      <c r="F31" s="69">
        <f t="shared" si="17"/>
        <v>99.515000000000015</v>
      </c>
      <c r="G31" s="69">
        <f t="shared" si="17"/>
        <v>94.987999999999971</v>
      </c>
      <c r="H31" s="69">
        <f t="shared" si="17"/>
        <v>80.887</v>
      </c>
      <c r="I31" s="69">
        <f t="shared" si="17"/>
        <v>59.78</v>
      </c>
      <c r="J31" s="125">
        <f t="shared" ca="1" si="17"/>
        <v>58.061999999999983</v>
      </c>
      <c r="K31" s="125">
        <f t="shared" ca="1" si="17"/>
        <v>59.717000000000013</v>
      </c>
      <c r="L31" s="125">
        <f t="shared" ca="1" si="17"/>
        <v>63.421999999999997</v>
      </c>
      <c r="M31" s="125">
        <f t="shared" ca="1" si="17"/>
        <v>68.649999999999977</v>
      </c>
      <c r="N31" s="125">
        <f t="shared" ca="1" si="17"/>
        <v>73.257000000000062</v>
      </c>
      <c r="O31" s="73">
        <f t="shared" ca="1" si="17"/>
        <v>78.933834439302416</v>
      </c>
      <c r="P31" s="73">
        <f t="shared" ca="1" si="17"/>
        <v>86.763350462785041</v>
      </c>
      <c r="Q31" s="73">
        <f t="shared" ca="1" si="17"/>
        <v>96.546414406538986</v>
      </c>
      <c r="R31" s="73">
        <f t="shared" ca="1" si="17"/>
        <v>108.32644026690886</v>
      </c>
      <c r="S31" s="73">
        <f t="shared" ca="1" si="17"/>
        <v>122.43658908053658</v>
      </c>
      <c r="T31" s="73">
        <f t="shared" ca="1" si="17"/>
        <v>138.79843349007118</v>
      </c>
      <c r="U31" s="73">
        <f t="shared" ca="1" si="17"/>
        <v>157.32877447296022</v>
      </c>
      <c r="V31" s="73">
        <f t="shared" ca="1" si="17"/>
        <v>178.13330981505561</v>
      </c>
      <c r="W31" s="73">
        <f t="shared" ca="1" si="17"/>
        <v>201.31277218698074</v>
      </c>
      <c r="X31" s="73">
        <f t="shared" ca="1" si="17"/>
        <v>226.9877890919351</v>
      </c>
    </row>
    <row r="32" spans="1:24" x14ac:dyDescent="0.2">
      <c r="A32" s="27" t="s">
        <v>162</v>
      </c>
      <c r="B32" s="418"/>
      <c r="C32"/>
      <c r="D32" s="69"/>
      <c r="E32" s="69"/>
      <c r="F32" s="69"/>
      <c r="G32" s="69"/>
      <c r="H32" s="69"/>
      <c r="I32" s="69"/>
      <c r="J32" s="125"/>
      <c r="K32" s="125"/>
      <c r="L32" s="125"/>
      <c r="M32" s="125"/>
      <c r="N32" s="125"/>
    </row>
    <row r="33" spans="1:24" x14ac:dyDescent="0.2">
      <c r="A33" s="225" t="s">
        <v>688</v>
      </c>
      <c r="B33" s="70"/>
      <c r="C33"/>
      <c r="D33" s="69">
        <f>SUM(D$144,D$146,D$154,D$176,D$190,$D$194:D$194,D$201)</f>
        <v>105.21299999999999</v>
      </c>
      <c r="E33" s="69">
        <f>SUM(E$144,E$146,E$154,E$176,E$190,$D$194:E$194,E$201)</f>
        <v>116.18199999999999</v>
      </c>
      <c r="F33" s="69">
        <f>SUM(F$144,F$146,F$154,F$176,F$190,$D$194:F$194,F$201)</f>
        <v>126.19999999999999</v>
      </c>
      <c r="G33" s="69">
        <f>SUM(G$144,G$146,G$154,G$176,G$190,$D$194:G$194,G$201)</f>
        <v>127.215</v>
      </c>
      <c r="H33" s="69">
        <f>SUM(H$144,H$146,H$154,H$176,H$190,$D$194:H$194,H$201)</f>
        <v>138.965</v>
      </c>
      <c r="I33" s="69">
        <f>SUM(I$144,I$146,I$154,I$176,I$190,$D$194:I$194,I$201)</f>
        <v>138.40899999999999</v>
      </c>
      <c r="J33" s="125">
        <f ca="1">SUM(J$144,J$146,J$154,J$176,J$190,$D$194:J$194,J$201)</f>
        <v>134.96699999999998</v>
      </c>
      <c r="K33" s="125">
        <f ca="1">SUM(K$144,K$146,K$154,K$176,K$190,$D$194:K$194,K$201)</f>
        <v>140.53899999999999</v>
      </c>
      <c r="L33" s="272">
        <f ca="1">SUM(L$144,L$146,L$154,L$176,L$190,$D$194:L$194,L$201)</f>
        <v>139.19</v>
      </c>
      <c r="M33" s="272">
        <f ca="1">SUM(M$144,M$146,M$154,M$176,M$190,$D$194:M$194,M$201)</f>
        <v>145.05500000000001</v>
      </c>
      <c r="N33" s="272">
        <f ca="1">SUM(N$144,N$146,N$154,N$176,N$190,$D$194:N$194,N$201)</f>
        <v>153.01</v>
      </c>
      <c r="O33" s="73">
        <f ca="1">SUM(O$144,O$146,O$154,O$176,O$190,$D$194:O$194,O$201)</f>
        <v>157.61004340321466</v>
      </c>
      <c r="P33" s="73">
        <f ca="1">SUM(P$144,P$146,P$154,P$176,P$190,$D$194:P$194,P$201)</f>
        <v>163.75054421179681</v>
      </c>
      <c r="Q33" s="73">
        <f ca="1">SUM(Q$144,Q$146,Q$154,Q$176,Q$190,$D$194:Q$194,Q$201)</f>
        <v>170.19977435729263</v>
      </c>
      <c r="R33" s="73">
        <f ca="1">SUM(R$144,R$146,R$154,R$176,R$190,$D$194:R$194,R$201)</f>
        <v>177.04158498739741</v>
      </c>
      <c r="S33" s="73">
        <f ca="1">SUM(S$144,S$146,S$154,S$176,S$190,$D$194:S$194,S$201)</f>
        <v>184.10777715809536</v>
      </c>
      <c r="T33" s="73">
        <f ca="1">SUM(T$144,T$146,T$154,T$176,T$190,$D$194:T$194,T$201)</f>
        <v>191.41026305090239</v>
      </c>
      <c r="U33" s="73">
        <f ca="1">SUM(U$144,U$146,U$154,U$176,U$190,$D$194:U$194,U$201)</f>
        <v>198.87621474345625</v>
      </c>
      <c r="V33" s="73">
        <f ca="1">SUM(V$144,V$146,V$154,V$176,V$190,$D$194:V$194,V$201)</f>
        <v>206.48842805187695</v>
      </c>
      <c r="W33" s="73">
        <f ca="1">SUM(W$144,W$146,W$154,W$176,W$190,$D$194:W$194,W$201)</f>
        <v>214.2345397964244</v>
      </c>
      <c r="X33" s="73">
        <f ca="1">SUM(X$144,X$146,X$154,X$176,X$190,$D$194:X$194,X$201)</f>
        <v>222.09059181074548</v>
      </c>
    </row>
    <row r="34" spans="1:24" x14ac:dyDescent="0.2">
      <c r="A34" s="225" t="s">
        <v>683</v>
      </c>
      <c r="B34" s="103"/>
      <c r="C34"/>
      <c r="D34" s="69">
        <f t="shared" ref="D34:X34" si="18">D$225</f>
        <v>35.892000000000003</v>
      </c>
      <c r="E34" s="69">
        <f t="shared" si="18"/>
        <v>37.335999999999999</v>
      </c>
      <c r="F34" s="69">
        <f t="shared" si="18"/>
        <v>50.545000000000002</v>
      </c>
      <c r="G34" s="69">
        <f t="shared" si="18"/>
        <v>58.582999999999998</v>
      </c>
      <c r="H34" s="69">
        <f t="shared" si="18"/>
        <v>76.885000000000005</v>
      </c>
      <c r="I34" s="69">
        <f t="shared" si="18"/>
        <v>84.68</v>
      </c>
      <c r="J34" s="125">
        <f t="shared" si="18"/>
        <v>86.281999999999996</v>
      </c>
      <c r="K34" s="125">
        <f t="shared" si="18"/>
        <v>94.688999999999993</v>
      </c>
      <c r="L34" s="125">
        <f t="shared" si="18"/>
        <v>92.597999999999999</v>
      </c>
      <c r="M34" s="125">
        <f t="shared" si="18"/>
        <v>96.570999999999998</v>
      </c>
      <c r="N34" s="125">
        <f t="shared" si="18"/>
        <v>102.45</v>
      </c>
      <c r="O34" s="73">
        <f t="shared" ca="1" si="18"/>
        <v>103.99593446313702</v>
      </c>
      <c r="P34" s="73">
        <f t="shared" ca="1" si="18"/>
        <v>105.03306050026065</v>
      </c>
      <c r="Q34" s="73">
        <f t="shared" ca="1" si="18"/>
        <v>104.54991101919481</v>
      </c>
      <c r="R34" s="73">
        <f t="shared" ca="1" si="18"/>
        <v>102.56433045283949</v>
      </c>
      <c r="S34" s="73">
        <f t="shared" ca="1" si="18"/>
        <v>98.592902335810791</v>
      </c>
      <c r="T34" s="73">
        <f t="shared" ca="1" si="18"/>
        <v>92.712994581038672</v>
      </c>
      <c r="U34" s="73">
        <f t="shared" ca="1" si="18"/>
        <v>84.909050271965398</v>
      </c>
      <c r="V34" s="73">
        <f t="shared" ca="1" si="18"/>
        <v>75.04633939412642</v>
      </c>
      <c r="W34" s="73">
        <f t="shared" ca="1" si="18"/>
        <v>62.997047300738117</v>
      </c>
      <c r="X34" s="73">
        <f t="shared" ca="1" si="18"/>
        <v>48.605771905951229</v>
      </c>
    </row>
    <row r="35" spans="1:24" x14ac:dyDescent="0.2">
      <c r="A35" s="225" t="s">
        <v>684</v>
      </c>
      <c r="B35" s="103"/>
      <c r="C35"/>
      <c r="D35" s="69">
        <f t="shared" ref="D35:X35" si="19">D$216</f>
        <v>18.530999999999995</v>
      </c>
      <c r="E35" s="69">
        <f t="shared" si="19"/>
        <v>21.863000000000003</v>
      </c>
      <c r="F35" s="69">
        <f t="shared" si="19"/>
        <v>22.586000000000002</v>
      </c>
      <c r="G35" s="69">
        <f t="shared" si="19"/>
        <v>23.963000000000001</v>
      </c>
      <c r="H35" s="69">
        <f t="shared" si="19"/>
        <v>27.148999999999994</v>
      </c>
      <c r="I35" s="69">
        <f t="shared" si="19"/>
        <v>30.357999999999997</v>
      </c>
      <c r="J35" s="125">
        <f t="shared" si="19"/>
        <v>30.143000000000008</v>
      </c>
      <c r="K35" s="125">
        <f t="shared" si="19"/>
        <v>28.193000000000005</v>
      </c>
      <c r="L35" s="125">
        <f t="shared" si="19"/>
        <v>27.584999999999994</v>
      </c>
      <c r="M35" s="125">
        <f t="shared" si="19"/>
        <v>26.794000000000004</v>
      </c>
      <c r="N35" s="125">
        <f t="shared" si="19"/>
        <v>26.605</v>
      </c>
      <c r="O35" s="73">
        <f t="shared" ca="1" si="19"/>
        <v>26.65507919086447</v>
      </c>
      <c r="P35" s="73">
        <f t="shared" ca="1" si="19"/>
        <v>26.705745429212975</v>
      </c>
      <c r="Q35" s="73">
        <f t="shared" ca="1" si="19"/>
        <v>26.736503062400878</v>
      </c>
      <c r="R35" s="73">
        <f t="shared" ca="1" si="19"/>
        <v>26.755113252832693</v>
      </c>
      <c r="S35" s="73">
        <f t="shared" ca="1" si="19"/>
        <v>26.763885570737258</v>
      </c>
      <c r="T35" s="73">
        <f t="shared" ca="1" si="19"/>
        <v>26.771677065671287</v>
      </c>
      <c r="U35" s="73">
        <f t="shared" ca="1" si="19"/>
        <v>26.790619857327243</v>
      </c>
      <c r="V35" s="73">
        <f t="shared" ca="1" si="19"/>
        <v>26.82194052615122</v>
      </c>
      <c r="W35" s="73">
        <f t="shared" ca="1" si="19"/>
        <v>26.870140828159858</v>
      </c>
      <c r="X35" s="73">
        <f t="shared" ca="1" si="19"/>
        <v>26.932089548030945</v>
      </c>
    </row>
    <row r="36" spans="1:24" x14ac:dyDescent="0.2">
      <c r="A36" s="225" t="s">
        <v>301</v>
      </c>
      <c r="B36" s="103"/>
      <c r="C36"/>
      <c r="D36" s="69">
        <f>D$33-SUM(D$34,D$35)</f>
        <v>50.789999999999992</v>
      </c>
      <c r="E36" s="69">
        <f t="shared" ref="E36:X36" si="20">E$33-SUM(E$34,E$35)</f>
        <v>56.98299999999999</v>
      </c>
      <c r="F36" s="69">
        <f t="shared" si="20"/>
        <v>53.068999999999988</v>
      </c>
      <c r="G36" s="69">
        <f t="shared" si="20"/>
        <v>44.669000000000011</v>
      </c>
      <c r="H36" s="69">
        <f t="shared" si="20"/>
        <v>34.931000000000012</v>
      </c>
      <c r="I36" s="69">
        <f t="shared" si="20"/>
        <v>23.370999999999981</v>
      </c>
      <c r="J36" s="125">
        <f t="shared" ca="1" si="20"/>
        <v>18.541999999999973</v>
      </c>
      <c r="K36" s="125">
        <f t="shared" ca="1" si="20"/>
        <v>17.656999999999982</v>
      </c>
      <c r="L36" s="125">
        <f t="shared" ca="1" si="20"/>
        <v>19.007000000000005</v>
      </c>
      <c r="M36" s="125">
        <f t="shared" ca="1" si="20"/>
        <v>21.689999999999998</v>
      </c>
      <c r="N36" s="125">
        <f t="shared" ca="1" si="20"/>
        <v>23.954999999999984</v>
      </c>
      <c r="O36" s="73">
        <f t="shared" ca="1" si="20"/>
        <v>26.959029749213187</v>
      </c>
      <c r="P36" s="73">
        <f t="shared" ca="1" si="20"/>
        <v>32.011738282323194</v>
      </c>
      <c r="Q36" s="73">
        <f t="shared" ca="1" si="20"/>
        <v>38.913360275696931</v>
      </c>
      <c r="R36" s="73">
        <f t="shared" ca="1" si="20"/>
        <v>47.722141281725243</v>
      </c>
      <c r="S36" s="73">
        <f t="shared" ca="1" si="20"/>
        <v>58.75098925154731</v>
      </c>
      <c r="T36" s="73">
        <f t="shared" ca="1" si="20"/>
        <v>71.925591404192431</v>
      </c>
      <c r="U36" s="73">
        <f t="shared" ca="1" si="20"/>
        <v>87.176544614163603</v>
      </c>
      <c r="V36" s="73">
        <f t="shared" ca="1" si="20"/>
        <v>104.62014813159931</v>
      </c>
      <c r="W36" s="73">
        <f t="shared" ca="1" si="20"/>
        <v>124.36735166752642</v>
      </c>
      <c r="X36" s="73">
        <f t="shared" ca="1" si="20"/>
        <v>146.55273035676331</v>
      </c>
    </row>
    <row r="37" spans="1:24" x14ac:dyDescent="0.2">
      <c r="A37" s="225" t="s">
        <v>824</v>
      </c>
      <c r="B37" s="103"/>
      <c r="C37"/>
      <c r="D37" s="69">
        <f t="shared" ref="D37:X37" si="21">D$227-D$228</f>
        <v>30.646999999999998</v>
      </c>
      <c r="E37" s="69">
        <f t="shared" si="21"/>
        <v>31.389999999999997</v>
      </c>
      <c r="F37" s="69">
        <f t="shared" si="21"/>
        <v>43.355999999999995</v>
      </c>
      <c r="G37" s="69">
        <f t="shared" si="21"/>
        <v>53.590999999999994</v>
      </c>
      <c r="H37" s="69">
        <f t="shared" si="21"/>
        <v>72.42</v>
      </c>
      <c r="I37" s="69">
        <f t="shared" si="21"/>
        <v>79.635000000000005</v>
      </c>
      <c r="J37" s="125">
        <f t="shared" si="21"/>
        <v>80.175999999999988</v>
      </c>
      <c r="K37" s="125">
        <f t="shared" si="21"/>
        <v>88.441999999999993</v>
      </c>
      <c r="L37" s="125">
        <f t="shared" si="21"/>
        <v>86.251999999999995</v>
      </c>
      <c r="M37" s="125">
        <f t="shared" si="21"/>
        <v>90.06</v>
      </c>
      <c r="N37" s="125">
        <f t="shared" si="21"/>
        <v>95.858999999999995</v>
      </c>
      <c r="O37" s="73">
        <f t="shared" ca="1" si="21"/>
        <v>98.515934463137015</v>
      </c>
      <c r="P37" s="73">
        <f t="shared" ca="1" si="21"/>
        <v>99.553060500260642</v>
      </c>
      <c r="Q37" s="73">
        <f t="shared" ca="1" si="21"/>
        <v>99.069911019194805</v>
      </c>
      <c r="R37" s="73">
        <f t="shared" ca="1" si="21"/>
        <v>97.084330452839481</v>
      </c>
      <c r="S37" s="73">
        <f t="shared" ca="1" si="21"/>
        <v>93.112902335810787</v>
      </c>
      <c r="T37" s="73">
        <f t="shared" ca="1" si="21"/>
        <v>87.232994581038668</v>
      </c>
      <c r="U37" s="73">
        <f t="shared" ca="1" si="21"/>
        <v>79.429050271965394</v>
      </c>
      <c r="V37" s="73">
        <f t="shared" ca="1" si="21"/>
        <v>69.566339394126416</v>
      </c>
      <c r="W37" s="73">
        <f t="shared" ca="1" si="21"/>
        <v>57.517047300738113</v>
      </c>
      <c r="X37" s="73">
        <f t="shared" ca="1" si="21"/>
        <v>43.125771905951225</v>
      </c>
    </row>
    <row r="38" spans="1:24" x14ac:dyDescent="0.2">
      <c r="A38" s="225" t="s">
        <v>685</v>
      </c>
      <c r="B38" s="103"/>
      <c r="C38"/>
      <c r="D38" s="271">
        <f t="shared" ref="D38:X38" si="22">D$227-SUM(D$144,D$154,D$174)+SUM(D$170,D$203)</f>
        <v>13.195999999999998</v>
      </c>
      <c r="E38" s="271">
        <f t="shared" si="22"/>
        <v>10.257999999999997</v>
      </c>
      <c r="F38" s="271">
        <f t="shared" si="22"/>
        <v>17.119000000000003</v>
      </c>
      <c r="G38" s="271">
        <f t="shared" si="22"/>
        <v>26.738</v>
      </c>
      <c r="H38" s="271">
        <f t="shared" si="22"/>
        <v>40.128</v>
      </c>
      <c r="I38" s="271">
        <f t="shared" si="22"/>
        <v>50.671000000000021</v>
      </c>
      <c r="J38" s="272">
        <f t="shared" si="22"/>
        <v>59.99799999999999</v>
      </c>
      <c r="K38" s="272">
        <f t="shared" si="22"/>
        <v>66.748999999999995</v>
      </c>
      <c r="L38" s="272">
        <f t="shared" si="22"/>
        <v>70.685000000000002</v>
      </c>
      <c r="M38" s="272">
        <f t="shared" si="22"/>
        <v>73.477000000000004</v>
      </c>
      <c r="N38" s="272">
        <f t="shared" si="22"/>
        <v>75.859999999999985</v>
      </c>
      <c r="O38" s="267">
        <f t="shared" ca="1" si="22"/>
        <v>77.186671928008934</v>
      </c>
      <c r="P38" s="267">
        <f t="shared" ca="1" si="22"/>
        <v>78.336326430394678</v>
      </c>
      <c r="Q38" s="267">
        <f t="shared" ca="1" si="22"/>
        <v>78.012202779841019</v>
      </c>
      <c r="R38" s="267">
        <f t="shared" ca="1" si="22"/>
        <v>76.213451148064848</v>
      </c>
      <c r="S38" s="267">
        <f t="shared" ca="1" si="22"/>
        <v>72.45819725330233</v>
      </c>
      <c r="T38" s="267">
        <f t="shared" ca="1" si="22"/>
        <v>66.822452426558556</v>
      </c>
      <c r="U38" s="267">
        <f t="shared" ca="1" si="22"/>
        <v>59.272267243705116</v>
      </c>
      <c r="V38" s="267">
        <f t="shared" ca="1" si="22"/>
        <v>49.668558897486207</v>
      </c>
      <c r="W38" s="267">
        <f t="shared" ca="1" si="22"/>
        <v>37.873982000421861</v>
      </c>
      <c r="X38" s="267">
        <f t="shared" ca="1" si="22"/>
        <v>23.726368709740015</v>
      </c>
    </row>
    <row r="39" spans="1:24" ht="13.5" x14ac:dyDescent="0.25">
      <c r="A39" s="157" t="s">
        <v>517</v>
      </c>
      <c r="B39" s="42"/>
      <c r="C39"/>
      <c r="D39" s="69"/>
      <c r="E39" s="69"/>
      <c r="F39" s="69"/>
      <c r="G39" s="69"/>
      <c r="H39" s="69"/>
      <c r="I39" s="45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x14ac:dyDescent="0.2">
      <c r="A40" s="225" t="s">
        <v>606</v>
      </c>
      <c r="B40" s="233"/>
      <c r="C40"/>
      <c r="D40" s="275" t="str">
        <f>IF(ROUND(Data!C$17-D$15,3)=0,"OK","ERROR")</f>
        <v>OK</v>
      </c>
      <c r="E40" s="275" t="str">
        <f>IF(ROUND(Data!D$17-E$15,3)=0,"OK","ERROR")</f>
        <v>OK</v>
      </c>
      <c r="F40" s="275" t="str">
        <f>IF(ROUND(Data!E$17-F$15,3)=0,"OK","ERROR")</f>
        <v>OK</v>
      </c>
      <c r="G40" s="275" t="str">
        <f>IF(ROUND(Data!F$17-G$15,3)=0,"OK","ERROR")</f>
        <v>OK</v>
      </c>
      <c r="H40" s="275" t="str">
        <f>IF(ROUND(Data!G$17-H$15,3)=0,"OK","ERROR")</f>
        <v>OK</v>
      </c>
      <c r="I40" s="275" t="str">
        <f>IF(ROUND(Data!H$17-I$15,3)=0,"OK","ERROR")</f>
        <v>OK</v>
      </c>
      <c r="J40" s="158" t="str">
        <f ca="1">IF(ROUND(Data!I$17-J$15,3)=0,"OK","ERROR")</f>
        <v>OK</v>
      </c>
      <c r="K40" s="158" t="str">
        <f ca="1">IF(ROUND(Data!J$17-K$15,3)=0,"OK","ERROR")</f>
        <v>OK</v>
      </c>
      <c r="L40" s="158" t="str">
        <f ca="1">IF(ROUND(Data!K$17-L$15,3)=0,"OK","ERROR")</f>
        <v>OK</v>
      </c>
      <c r="M40" s="158" t="str">
        <f ca="1">IF(ROUND(Data!L$17-M$15,3)=0,"OK","ERROR")</f>
        <v>OK</v>
      </c>
      <c r="N40" s="158" t="str">
        <f ca="1">IF(ROUND(Data!M$17-N$15,3)=0,"OK","ERROR")</f>
        <v>OK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x14ac:dyDescent="0.2">
      <c r="A41" s="225" t="s">
        <v>518</v>
      </c>
      <c r="B41" s="233"/>
      <c r="C41"/>
      <c r="D41" s="275" t="str">
        <f>IF(ROUND(Data!C$108-D$24,3)=0,"OK","ERROR")</f>
        <v>OK</v>
      </c>
      <c r="E41" s="275" t="str">
        <f>IF(ROUND(Data!D$108-E$24,3)=0,"OK","ERROR")</f>
        <v>OK</v>
      </c>
      <c r="F41" s="275" t="str">
        <f>IF(ROUND(Data!E$108-F$24,3)=0,"OK","ERROR")</f>
        <v>OK</v>
      </c>
      <c r="G41" s="275" t="str">
        <f>IF(ROUND(Data!F$108-G$24,3)=0,"OK","ERROR")</f>
        <v>OK</v>
      </c>
      <c r="H41" s="275" t="str">
        <f>IF(ROUND(Data!G$108-H$24,3)=0,"OK","ERROR")</f>
        <v>OK</v>
      </c>
      <c r="I41" s="275" t="str">
        <f>IF(ROUND(Data!H$108-I$24,3)=0,"OK","ERROR")</f>
        <v>OK</v>
      </c>
      <c r="J41" s="158" t="str">
        <f ca="1">IF(ROUND(Data!I$108-J$24,3)=0,"OK","ERROR")</f>
        <v>OK</v>
      </c>
      <c r="K41" s="158" t="str">
        <f ca="1">IF(ROUND(Data!J$108-K$24,3)=0,"OK","ERROR")</f>
        <v>OK</v>
      </c>
      <c r="L41" s="158" t="str">
        <f ca="1">IF(ROUND(Data!K$108-L$24,3)=0,"OK","ERROR")</f>
        <v>OK</v>
      </c>
      <c r="M41" s="158" t="str">
        <f ca="1">IF(ROUND(Data!L$108-M$24,3)=0,"OK","ERROR")</f>
        <v>OK</v>
      </c>
      <c r="N41" s="158" t="str">
        <f ca="1">IF(ROUND(Data!M$108-N$24,3)=0,"OK","ERROR")</f>
        <v>OK</v>
      </c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x14ac:dyDescent="0.2">
      <c r="A42" s="225" t="s">
        <v>519</v>
      </c>
      <c r="B42" s="233"/>
      <c r="C42"/>
      <c r="D42" s="275" t="str">
        <f>IF(ROUND(Data!C$79-D$31,3)=0,"OK","ERROR")</f>
        <v>OK</v>
      </c>
      <c r="E42" s="275" t="str">
        <f>IF(ROUND(Data!D$79-E$31,3)=0,"OK","ERROR")</f>
        <v>OK</v>
      </c>
      <c r="F42" s="275" t="str">
        <f>IF(ROUND(Data!E$79-F$31,3)=0,"OK","ERROR")</f>
        <v>OK</v>
      </c>
      <c r="G42" s="275" t="str">
        <f>IF(ROUND(Data!F$79-G$31,3)=0,"OK","ERROR")</f>
        <v>OK</v>
      </c>
      <c r="H42" s="275" t="str">
        <f>IF(ROUND(Data!G$79-H$31,3)=0,"OK","ERROR")</f>
        <v>OK</v>
      </c>
      <c r="I42" s="275" t="str">
        <f>IF(ROUND(Data!H$79-I$31,3)=0,"OK","ERROR")</f>
        <v>OK</v>
      </c>
      <c r="J42" s="158" t="str">
        <f ca="1">IF(ROUND(Data!I$79-J$31,3)=0,"OK","ERROR")</f>
        <v>OK</v>
      </c>
      <c r="K42" s="158" t="str">
        <f ca="1">IF(ROUND(Data!J$79-K$31,3)=0,"OK","ERROR")</f>
        <v>OK</v>
      </c>
      <c r="L42" s="158" t="str">
        <f ca="1">IF(ROUND(Data!K$79-L$31,3)=0,"OK","ERROR")</f>
        <v>OK</v>
      </c>
      <c r="M42" s="158" t="str">
        <f ca="1">IF(ROUND(Data!L$79-M$31,3)=0,"OK","ERROR")</f>
        <v>OK</v>
      </c>
      <c r="N42" s="158" t="str">
        <f ca="1">IF(ROUND(Data!M$79-N$31,3)=0,"OK","ERROR")</f>
        <v>OK</v>
      </c>
      <c r="O42" s="404" t="str">
        <f ca="1">IF(ROUND(O$31-N$31-O$15 + IF(AND(OFFSET(Scenarios!$A$40,0,$C$1)="Yes",O$4&gt;=OFFSET(Scenarios!$A$41,0,$C$1),O$4&lt;=OFFSET(Scenarios!$A$42,0,$C$1)),OFFSET(Scenarios!$A$43,0,$C$1)*(1+OFFSET(Scenarios!$A$44,0,$C$1))^MAX(0,O$4-OFFSET(Scenarios!$A$41,0,$C$1)),0),3)=0,"OK","ERROR")</f>
        <v>OK</v>
      </c>
      <c r="P42" s="404" t="str">
        <f ca="1">IF(ROUND(P$31-O$31-P$15 + IF(AND(OFFSET(Scenarios!$A$40,0,$C$1)="Yes",P$4&gt;=OFFSET(Scenarios!$A$41,0,$C$1),P$4&lt;=OFFSET(Scenarios!$A$42,0,$C$1)),OFFSET(Scenarios!$A$43,0,$C$1)*(1+OFFSET(Scenarios!$A$44,0,$C$1))^MAX(0,P$4-OFFSET(Scenarios!$A$41,0,$C$1)),0),3)=0,"OK","ERROR")</f>
        <v>OK</v>
      </c>
      <c r="Q42" s="404" t="str">
        <f ca="1">IF(ROUND(Q$31-P$31-Q$15 + IF(AND(OFFSET(Scenarios!$A$40,0,$C$1)="Yes",Q$4&gt;=OFFSET(Scenarios!$A$41,0,$C$1),Q$4&lt;=OFFSET(Scenarios!$A$42,0,$C$1)),OFFSET(Scenarios!$A$43,0,$C$1)*(1+OFFSET(Scenarios!$A$44,0,$C$1))^MAX(0,Q$4-OFFSET(Scenarios!$A$41,0,$C$1)),0),3)=0,"OK","ERROR")</f>
        <v>OK</v>
      </c>
      <c r="R42" s="404" t="str">
        <f ca="1">IF(ROUND(R$31-Q$31-R$15 + IF(AND(OFFSET(Scenarios!$A$40,0,$C$1)="Yes",R$4&gt;=OFFSET(Scenarios!$A$41,0,$C$1),R$4&lt;=OFFSET(Scenarios!$A$42,0,$C$1)),OFFSET(Scenarios!$A$43,0,$C$1)*(1+OFFSET(Scenarios!$A$44,0,$C$1))^MAX(0,R$4-OFFSET(Scenarios!$A$41,0,$C$1)),0),3)=0,"OK","ERROR")</f>
        <v>OK</v>
      </c>
      <c r="S42" s="404" t="str">
        <f ca="1">IF(ROUND(S$31-R$31-S$15 + IF(AND(OFFSET(Scenarios!$A$40,0,$C$1)="Yes",S$4&gt;=OFFSET(Scenarios!$A$41,0,$C$1),S$4&lt;=OFFSET(Scenarios!$A$42,0,$C$1)),OFFSET(Scenarios!$A$43,0,$C$1)*(1+OFFSET(Scenarios!$A$44,0,$C$1))^MAX(0,S$4-OFFSET(Scenarios!$A$41,0,$C$1)),0),3)=0,"OK","ERROR")</f>
        <v>OK</v>
      </c>
      <c r="T42" s="404" t="str">
        <f ca="1">IF(ROUND(T$31-S$31-T$15 + IF(AND(OFFSET(Scenarios!$A$40,0,$C$1)="Yes",T$4&gt;=OFFSET(Scenarios!$A$41,0,$C$1),T$4&lt;=OFFSET(Scenarios!$A$42,0,$C$1)),OFFSET(Scenarios!$A$43,0,$C$1)*(1+OFFSET(Scenarios!$A$44,0,$C$1))^MAX(0,T$4-OFFSET(Scenarios!$A$41,0,$C$1)),0),3)=0,"OK","ERROR")</f>
        <v>OK</v>
      </c>
      <c r="U42" s="404" t="str">
        <f ca="1">IF(ROUND(U$31-T$31-U$15 + IF(AND(OFFSET(Scenarios!$A$40,0,$C$1)="Yes",U$4&gt;=OFFSET(Scenarios!$A$41,0,$C$1),U$4&lt;=OFFSET(Scenarios!$A$42,0,$C$1)),OFFSET(Scenarios!$A$43,0,$C$1)*(1+OFFSET(Scenarios!$A$44,0,$C$1))^MAX(0,U$4-OFFSET(Scenarios!$A$41,0,$C$1)),0),3)=0,"OK","ERROR")</f>
        <v>OK</v>
      </c>
      <c r="V42" s="404" t="str">
        <f ca="1">IF(ROUND(V$31-U$31-V$15 + IF(AND(OFFSET(Scenarios!$A$40,0,$C$1)="Yes",V$4&gt;=OFFSET(Scenarios!$A$41,0,$C$1),V$4&lt;=OFFSET(Scenarios!$A$42,0,$C$1)),OFFSET(Scenarios!$A$43,0,$C$1)*(1+OFFSET(Scenarios!$A$44,0,$C$1))^MAX(0,V$4-OFFSET(Scenarios!$A$41,0,$C$1)),0),3)=0,"OK","ERROR")</f>
        <v>OK</v>
      </c>
      <c r="W42" s="404" t="str">
        <f ca="1">IF(ROUND(W$31-V$31-W$15 + IF(AND(OFFSET(Scenarios!$A$40,0,$C$1)="Yes",W$4&gt;=OFFSET(Scenarios!$A$41,0,$C$1),W$4&lt;=OFFSET(Scenarios!$A$42,0,$C$1)),OFFSET(Scenarios!$A$43,0,$C$1)*(1+OFFSET(Scenarios!$A$44,0,$C$1))^MAX(0,W$4-OFFSET(Scenarios!$A$41,0,$C$1)),0),3)=0,"OK","ERROR")</f>
        <v>OK</v>
      </c>
      <c r="X42" s="404" t="str">
        <f ca="1">IF(ROUND(X$31-W$31-X$15 + IF(AND(OFFSET(Scenarios!$A$40,0,$C$1)="Yes",X$4&gt;=OFFSET(Scenarios!$A$41,0,$C$1),X$4&lt;=OFFSET(Scenarios!$A$42,0,$C$1)),OFFSET(Scenarios!$A$43,0,$C$1)*(1+OFFSET(Scenarios!$A$44,0,$C$1))^MAX(0,X$4-OFFSET(Scenarios!$A$41,0,$C$1)),0),3)=0,"OK","ERROR")</f>
        <v>OK</v>
      </c>
    </row>
    <row r="43" spans="1:24" x14ac:dyDescent="0.2">
      <c r="A43" s="225" t="s">
        <v>520</v>
      </c>
      <c r="B43" s="233"/>
      <c r="C43"/>
      <c r="D43" s="275" t="str">
        <f>IF(ROUND(Data!C$121-D$36,3)=0,"OK","ERROR")</f>
        <v>OK</v>
      </c>
      <c r="E43" s="275" t="str">
        <f>IF(ROUND(Data!D$121-E$36,3)=0,"OK","ERROR")</f>
        <v>OK</v>
      </c>
      <c r="F43" s="275" t="str">
        <f>IF(ROUND(Data!E$121-F$36,3)=0,"OK","ERROR")</f>
        <v>OK</v>
      </c>
      <c r="G43" s="275" t="str">
        <f>IF(ROUND(Data!F$121-G$36,3)=0,"OK","ERROR")</f>
        <v>OK</v>
      </c>
      <c r="H43" s="275" t="str">
        <f>IF(ROUND(Data!G$121-H$36,3)=0,"OK","ERROR")</f>
        <v>OK</v>
      </c>
      <c r="I43" s="275" t="str">
        <f>IF(ROUND(Data!H$121-I$36,3)=0,"OK","ERROR")</f>
        <v>OK</v>
      </c>
      <c r="J43" s="158" t="str">
        <f ca="1">IF(ROUND(Data!I$121-J$36,3)=0,"OK","ERROR")</f>
        <v>OK</v>
      </c>
      <c r="K43" s="158" t="str">
        <f ca="1">IF(ROUND(Data!J$121-K$36,3)=0,"OK","ERROR")</f>
        <v>OK</v>
      </c>
      <c r="L43" s="158" t="str">
        <f ca="1">IF(ROUND(Data!K$121-L$36,3)=0,"OK","ERROR")</f>
        <v>OK</v>
      </c>
      <c r="M43" s="158" t="str">
        <f ca="1">IF(ROUND(Data!L$121-M$36,3)=0,"OK","ERROR")</f>
        <v>OK</v>
      </c>
      <c r="N43" s="158" t="str">
        <f ca="1">IF(ROUND(Data!M$121-N$36,3)=0,"OK","ERROR")</f>
        <v>OK</v>
      </c>
      <c r="O43" s="404" t="str">
        <f ca="1">IF(ROUND(O$36-N$36-O$24 + IF(AND(OFFSET(Scenarios!$A$40,0,$C$1)="Yes",O$4&gt;=OFFSET(Scenarios!$A$41,0,$C$1),O$4&lt;=OFFSET(Scenarios!$A$42,0,$C$1)),OFFSET(Scenarios!$A$43,0,$C$1)*(1+OFFSET(Scenarios!$A$44,0,$C$1))^MAX(0,O$4-OFFSET(Scenarios!$A$41,0,$C$1)),0),3)=0,"OK","ERROR")</f>
        <v>OK</v>
      </c>
      <c r="P43" s="404" t="str">
        <f ca="1">IF(ROUND(P$36-O$36-P$24 + IF(AND(OFFSET(Scenarios!$A$40,0,$C$1)="Yes",P$4&gt;=OFFSET(Scenarios!$A$41,0,$C$1),P$4&lt;=OFFSET(Scenarios!$A$42,0,$C$1)),OFFSET(Scenarios!$A$43,0,$C$1)*(1+OFFSET(Scenarios!$A$44,0,$C$1))^MAX(0,P$4-OFFSET(Scenarios!$A$41,0,$C$1)),0),3)=0,"OK","ERROR")</f>
        <v>OK</v>
      </c>
      <c r="Q43" s="404" t="str">
        <f ca="1">IF(ROUND(Q$36-P$36-Q$24 + IF(AND(OFFSET(Scenarios!$A$40,0,$C$1)="Yes",Q$4&gt;=OFFSET(Scenarios!$A$41,0,$C$1),Q$4&lt;=OFFSET(Scenarios!$A$42,0,$C$1)),OFFSET(Scenarios!$A$43,0,$C$1)*(1+OFFSET(Scenarios!$A$44,0,$C$1))^MAX(0,Q$4-OFFSET(Scenarios!$A$41,0,$C$1)),0),3)=0,"OK","ERROR")</f>
        <v>OK</v>
      </c>
      <c r="R43" s="404" t="str">
        <f ca="1">IF(ROUND(R$36-Q$36-R$24 + IF(AND(OFFSET(Scenarios!$A$40,0,$C$1)="Yes",R$4&gt;=OFFSET(Scenarios!$A$41,0,$C$1),R$4&lt;=OFFSET(Scenarios!$A$42,0,$C$1)),OFFSET(Scenarios!$A$43,0,$C$1)*(1+OFFSET(Scenarios!$A$44,0,$C$1))^MAX(0,R$4-OFFSET(Scenarios!$A$41,0,$C$1)),0),3)=0,"OK","ERROR")</f>
        <v>OK</v>
      </c>
      <c r="S43" s="404" t="str">
        <f ca="1">IF(ROUND(S$36-R$36-S$24 + IF(AND(OFFSET(Scenarios!$A$40,0,$C$1)="Yes",S$4&gt;=OFFSET(Scenarios!$A$41,0,$C$1),S$4&lt;=OFFSET(Scenarios!$A$42,0,$C$1)),OFFSET(Scenarios!$A$43,0,$C$1)*(1+OFFSET(Scenarios!$A$44,0,$C$1))^MAX(0,S$4-OFFSET(Scenarios!$A$41,0,$C$1)),0),3)=0,"OK","ERROR")</f>
        <v>OK</v>
      </c>
      <c r="T43" s="404" t="str">
        <f ca="1">IF(ROUND(T$36-S$36-T$24 + IF(AND(OFFSET(Scenarios!$A$40,0,$C$1)="Yes",T$4&gt;=OFFSET(Scenarios!$A$41,0,$C$1),T$4&lt;=OFFSET(Scenarios!$A$42,0,$C$1)),OFFSET(Scenarios!$A$43,0,$C$1)*(1+OFFSET(Scenarios!$A$44,0,$C$1))^MAX(0,T$4-OFFSET(Scenarios!$A$41,0,$C$1)),0),3)=0,"OK","ERROR")</f>
        <v>OK</v>
      </c>
      <c r="U43" s="404" t="str">
        <f ca="1">IF(ROUND(U$36-T$36-U$24 + IF(AND(OFFSET(Scenarios!$A$40,0,$C$1)="Yes",U$4&gt;=OFFSET(Scenarios!$A$41,0,$C$1),U$4&lt;=OFFSET(Scenarios!$A$42,0,$C$1)),OFFSET(Scenarios!$A$43,0,$C$1)*(1+OFFSET(Scenarios!$A$44,0,$C$1))^MAX(0,U$4-OFFSET(Scenarios!$A$41,0,$C$1)),0),3)=0,"OK","ERROR")</f>
        <v>OK</v>
      </c>
      <c r="V43" s="404" t="str">
        <f ca="1">IF(ROUND(V$36-U$36-V$24 + IF(AND(OFFSET(Scenarios!$A$40,0,$C$1)="Yes",V$4&gt;=OFFSET(Scenarios!$A$41,0,$C$1),V$4&lt;=OFFSET(Scenarios!$A$42,0,$C$1)),OFFSET(Scenarios!$A$43,0,$C$1)*(1+OFFSET(Scenarios!$A$44,0,$C$1))^MAX(0,V$4-OFFSET(Scenarios!$A$41,0,$C$1)),0),3)=0,"OK","ERROR")</f>
        <v>OK</v>
      </c>
      <c r="W43" s="404" t="str">
        <f ca="1">IF(ROUND(W$36-V$36-W$24 + IF(AND(OFFSET(Scenarios!$A$40,0,$C$1)="Yes",W$4&gt;=OFFSET(Scenarios!$A$41,0,$C$1),W$4&lt;=OFFSET(Scenarios!$A$42,0,$C$1)),OFFSET(Scenarios!$A$43,0,$C$1)*(1+OFFSET(Scenarios!$A$44,0,$C$1))^MAX(0,W$4-OFFSET(Scenarios!$A$41,0,$C$1)),0),3)=0,"OK","ERROR")</f>
        <v>OK</v>
      </c>
      <c r="X43" s="404" t="str">
        <f ca="1">IF(ROUND(X$36-W$36-X$24 + IF(AND(OFFSET(Scenarios!$A$40,0,$C$1)="Yes",X$4&gt;=OFFSET(Scenarios!$A$41,0,$C$1),X$4&lt;=OFFSET(Scenarios!$A$42,0,$C$1)),OFFSET(Scenarios!$A$43,0,$C$1)*(1+OFFSET(Scenarios!$A$44,0,$C$1))^MAX(0,X$4-OFFSET(Scenarios!$A$41,0,$C$1)),0),3)=0,"OK","ERROR")</f>
        <v>OK</v>
      </c>
    </row>
    <row r="44" spans="1:24" x14ac:dyDescent="0.2">
      <c r="A44" s="225" t="s">
        <v>685</v>
      </c>
      <c r="B44" s="233"/>
      <c r="C44" s="71"/>
      <c r="D44" s="275" t="str">
        <f>IF(ROUND(Data!C$93-D$38,3)=0,"OK","ERROR")</f>
        <v>OK</v>
      </c>
      <c r="E44" s="275" t="str">
        <f>IF(ROUND(Data!D$93-E$38,3)=0,"OK","ERROR")</f>
        <v>OK</v>
      </c>
      <c r="F44" s="275" t="str">
        <f>IF(ROUND(Data!E$93-F$38,3)=0,"OK","ERROR")</f>
        <v>OK</v>
      </c>
      <c r="G44" s="275" t="str">
        <f>IF(ROUND(Data!F$93-G$38,3)=0,"OK","ERROR")</f>
        <v>OK</v>
      </c>
      <c r="H44" s="275" t="str">
        <f>IF(ROUND(Data!G$93-H$38,3)=0,"OK","ERROR")</f>
        <v>OK</v>
      </c>
      <c r="I44" s="275" t="str">
        <f>IF(ROUND(Data!H$93-I$38,3)=0,"OK","ERROR")</f>
        <v>OK</v>
      </c>
      <c r="J44" s="158" t="str">
        <f>IF(ROUND(Data!I$93-J$38,3)=0,"OK","ERROR")</f>
        <v>OK</v>
      </c>
      <c r="K44" s="158" t="str">
        <f>IF(ROUND(Data!J$93-K$38,3)=0,"OK","ERROR")</f>
        <v>OK</v>
      </c>
      <c r="L44" s="158" t="str">
        <f>IF(ROUND(Data!K$93-L$38,3)=0,"OK","ERROR")</f>
        <v>OK</v>
      </c>
      <c r="M44" s="158" t="str">
        <f>IF(ROUND(Data!L$93-M$38,3)=0,"OK","ERROR")</f>
        <v>OK</v>
      </c>
      <c r="N44" s="158" t="str">
        <f>IF(ROUND(Data!M$93-N$38,3)=0,"OK","ERROR")</f>
        <v>OK</v>
      </c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x14ac:dyDescent="0.2">
      <c r="A45" s="22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5.75" x14ac:dyDescent="0.25">
      <c r="A46" s="153" t="s">
        <v>131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">
      <c r="A47" s="108" t="s">
        <v>277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">
      <c r="A48" s="160" t="s">
        <v>185</v>
      </c>
      <c r="B48" s="233"/>
      <c r="C48"/>
      <c r="D48" s="69">
        <f>Data!C$124</f>
        <v>20.98</v>
      </c>
      <c r="E48" s="69">
        <f>Data!D$124</f>
        <v>23.344999999999999</v>
      </c>
      <c r="F48" s="69">
        <f>Data!E$124</f>
        <v>22.587</v>
      </c>
      <c r="G48" s="69">
        <f>Data!F$124</f>
        <v>21.774000000000001</v>
      </c>
      <c r="H48" s="69">
        <f>Data!G$124</f>
        <v>20.856999999999999</v>
      </c>
      <c r="I48" s="69">
        <f>Data!H$124</f>
        <v>21.236999999999998</v>
      </c>
      <c r="J48" s="125">
        <f>Data!I$124</f>
        <v>22.038</v>
      </c>
      <c r="K48" s="125">
        <f>Data!J$124</f>
        <v>23.117000000000001</v>
      </c>
      <c r="L48" s="125">
        <f>Data!K$124</f>
        <v>24.300999999999998</v>
      </c>
      <c r="M48" s="125">
        <f>Data!L$124</f>
        <v>25.486999999999998</v>
      </c>
      <c r="N48" s="125">
        <f>Data!M$124</f>
        <v>26.75</v>
      </c>
      <c r="O48" s="73">
        <f ca="1">IF(AND(OFFSET(Scenarios!$A$26,0,$C$1)="YES",OFFSET(Scenarios!$A$28,0,$C$1)&gt;=O$4),N$48*(1+O$245)*(1+OFFSET(Scenarios!$A$27,0,$C$1)*O$236)*(1+OFFSET(Scenarios!$A$27,0,$C$1)*O$248),IF(OFFSET(Scenarios!$A$50,0,$C$1)="Yes",IF(N$48/N$233&lt;OFFSET(Scenarios!$A$57,0,$C$1)-0.00195,MIN(N$48/N$233+OFFSET(Scenarios!$A$56,0,$C$1),OFFSET(Scenarios!$A$57,0,$C$1)-0.00195),MAX(N$48/N$233-OFFSET(Scenarios!$A$56,0,$C$1),OFFSET(Scenarios!$A$57,0,$C$1)-0.00195))*O$233,N$48*(1+O$245)*(1+O$236)*(1+O$248)))</f>
        <v>28.271502399461863</v>
      </c>
      <c r="P48" s="73">
        <f ca="1">IF(AND(OFFSET(Scenarios!$A$26,0,$C$1)="YES",OFFSET(Scenarios!$A$28,0,$C$1)&gt;=P$4),O$48*(1+P$245)*(1+OFFSET(Scenarios!$A$27,0,$C$1)*P$236)*(1+OFFSET(Scenarios!$A$27,0,$C$1)*P$248),IF(OFFSET(Scenarios!$A$50,0,$C$1)="Yes",IF(O$48/O$233&lt;OFFSET(Scenarios!$A$57,0,$C$1)-0.00195,MIN(O$48/O$233+OFFSET(Scenarios!$A$56,0,$C$1),OFFSET(Scenarios!$A$57,0,$C$1)-0.00195),MAX(O$48/O$233-OFFSET(Scenarios!$A$56,0,$C$1),OFFSET(Scenarios!$A$57,0,$C$1)-0.00195))*P$233,O$48*(1+P$245)*(1+P$236)*(1+P$248)))</f>
        <v>29.899471701036852</v>
      </c>
      <c r="Q48" s="73">
        <f ca="1">IF(AND(OFFSET(Scenarios!$A$26,0,$C$1)="YES",OFFSET(Scenarios!$A$28,0,$C$1)&gt;=Q$4),P$48*(1+Q$245)*(1+OFFSET(Scenarios!$A$27,0,$C$1)*Q$236)*(1+OFFSET(Scenarios!$A$27,0,$C$1)*Q$248),IF(OFFSET(Scenarios!$A$50,0,$C$1)="Yes",IF(P$48/P$233&lt;OFFSET(Scenarios!$A$57,0,$C$1)-0.00195,MIN(P$48/P$233+OFFSET(Scenarios!$A$56,0,$C$1),OFFSET(Scenarios!$A$57,0,$C$1)-0.00195),MAX(P$48/P$233-OFFSET(Scenarios!$A$56,0,$C$1),OFFSET(Scenarios!$A$57,0,$C$1)-0.00195))*Q$233,P$48*(1+Q$245)*(1+Q$236)*(1+Q$248)))</f>
        <v>31.675804089070439</v>
      </c>
      <c r="R48" s="73">
        <f ca="1">IF(AND(OFFSET(Scenarios!$A$26,0,$C$1)="YES",OFFSET(Scenarios!$A$28,0,$C$1)&gt;=R$4),Q$48*(1+R$245)*(1+OFFSET(Scenarios!$A$27,0,$C$1)*R$236)*(1+OFFSET(Scenarios!$A$27,0,$C$1)*R$248),IF(OFFSET(Scenarios!$A$50,0,$C$1)="Yes",IF(Q$48/Q$233&lt;OFFSET(Scenarios!$A$57,0,$C$1)-0.00195,MIN(Q$48/Q$233+OFFSET(Scenarios!$A$56,0,$C$1),OFFSET(Scenarios!$A$57,0,$C$1)-0.00195),MAX(Q$48/Q$233-OFFSET(Scenarios!$A$56,0,$C$1),OFFSET(Scenarios!$A$57,0,$C$1)-0.00195))*R$233,Q$48*(1+R$245)*(1+R$236)*(1+R$248)))</f>
        <v>33.541398646688272</v>
      </c>
      <c r="S48" s="73">
        <f ca="1">IF(AND(OFFSET(Scenarios!$A$26,0,$C$1)="YES",OFFSET(Scenarios!$A$28,0,$C$1)&gt;=S$4),R$48*(1+S$245)*(1+OFFSET(Scenarios!$A$27,0,$C$1)*S$236)*(1+OFFSET(Scenarios!$A$27,0,$C$1)*S$248),IF(OFFSET(Scenarios!$A$50,0,$C$1)="Yes",IF(R$48/R$233&lt;OFFSET(Scenarios!$A$57,0,$C$1)-0.00195,MIN(R$48/R$233+OFFSET(Scenarios!$A$56,0,$C$1),OFFSET(Scenarios!$A$57,0,$C$1)-0.00195),MAX(R$48/R$233-OFFSET(Scenarios!$A$56,0,$C$1),OFFSET(Scenarios!$A$57,0,$C$1)-0.00195))*S$233,R$48*(1+S$245)*(1+S$236)*(1+S$248)))</f>
        <v>35.507344342299916</v>
      </c>
      <c r="T48" s="73">
        <f ca="1">IF(AND(OFFSET(Scenarios!$A$26,0,$C$1)="YES",OFFSET(Scenarios!$A$28,0,$C$1)&gt;=T$4),S$48*(1+T$245)*(1+OFFSET(Scenarios!$A$27,0,$C$1)*T$236)*(1+OFFSET(Scenarios!$A$27,0,$C$1)*T$248),IF(OFFSET(Scenarios!$A$50,0,$C$1)="Yes",IF(S$48/S$233&lt;OFFSET(Scenarios!$A$57,0,$C$1)-0.00195,MIN(S$48/S$233+OFFSET(Scenarios!$A$56,0,$C$1),OFFSET(Scenarios!$A$57,0,$C$1)-0.00195),MAX(S$48/S$233-OFFSET(Scenarios!$A$56,0,$C$1),OFFSET(Scenarios!$A$57,0,$C$1)-0.00195))*T$233,S$48*(1+T$245)*(1+T$236)*(1+T$248)))</f>
        <v>37.257148949758161</v>
      </c>
      <c r="U48" s="73">
        <f ca="1">IF(AND(OFFSET(Scenarios!$A$26,0,$C$1)="YES",OFFSET(Scenarios!$A$28,0,$C$1)&gt;=U$4),T$48*(1+U$245)*(1+OFFSET(Scenarios!$A$27,0,$C$1)*U$236)*(1+OFFSET(Scenarios!$A$27,0,$C$1)*U$248),IF(OFFSET(Scenarios!$A$50,0,$C$1)="Yes",IF(T$48/T$233&lt;OFFSET(Scenarios!$A$57,0,$C$1)-0.00195,MIN(T$48/T$233+OFFSET(Scenarios!$A$56,0,$C$1),OFFSET(Scenarios!$A$57,0,$C$1)-0.00195),MAX(T$48/T$233-OFFSET(Scenarios!$A$56,0,$C$1),OFFSET(Scenarios!$A$57,0,$C$1)-0.00195))*U$233,T$48*(1+U$245)*(1+U$236)*(1+U$248)))</f>
        <v>38.933004529740799</v>
      </c>
      <c r="V48" s="73">
        <f ca="1">IF(AND(OFFSET(Scenarios!$A$26,0,$C$1)="YES",OFFSET(Scenarios!$A$28,0,$C$1)&gt;=V$4),U$48*(1+V$245)*(1+OFFSET(Scenarios!$A$27,0,$C$1)*V$236)*(1+OFFSET(Scenarios!$A$27,0,$C$1)*V$248),IF(OFFSET(Scenarios!$A$50,0,$C$1)="Yes",IF(U$48/U$233&lt;OFFSET(Scenarios!$A$57,0,$C$1)-0.00195,MIN(U$48/U$233+OFFSET(Scenarios!$A$56,0,$C$1),OFFSET(Scenarios!$A$57,0,$C$1)-0.00195),MAX(U$48/U$233-OFFSET(Scenarios!$A$56,0,$C$1),OFFSET(Scenarios!$A$57,0,$C$1)-0.00195))*V$233,U$48*(1+V$245)*(1+V$236)*(1+V$248)))</f>
        <v>40.653224523290099</v>
      </c>
      <c r="W48" s="73">
        <f ca="1">IF(AND(OFFSET(Scenarios!$A$26,0,$C$1)="YES",OFFSET(Scenarios!$A$28,0,$C$1)&gt;=W$4),V$48*(1+W$245)*(1+OFFSET(Scenarios!$A$27,0,$C$1)*W$236)*(1+OFFSET(Scenarios!$A$27,0,$C$1)*W$248),IF(OFFSET(Scenarios!$A$50,0,$C$1)="Yes",IF(V$48/V$233&lt;OFFSET(Scenarios!$A$57,0,$C$1)-0.00195,MIN(V$48/V$233+OFFSET(Scenarios!$A$56,0,$C$1),OFFSET(Scenarios!$A$57,0,$C$1)-0.00195),MAX(V$48/V$233-OFFSET(Scenarios!$A$56,0,$C$1),OFFSET(Scenarios!$A$57,0,$C$1)-0.00195))*W$233,V$48*(1+W$245)*(1+W$236)*(1+W$248)))</f>
        <v>42.427074954844436</v>
      </c>
      <c r="X48" s="73">
        <f ca="1">IF(AND(OFFSET(Scenarios!$A$26,0,$C$1)="YES",OFFSET(Scenarios!$A$28,0,$C$1)&gt;=X$4),W$48*(1+X$245)*(1+OFFSET(Scenarios!$A$27,0,$C$1)*X$236)*(1+OFFSET(Scenarios!$A$27,0,$C$1)*X$248),IF(OFFSET(Scenarios!$A$50,0,$C$1)="Yes",IF(W$48/W$233&lt;OFFSET(Scenarios!$A$57,0,$C$1)-0.00195,MIN(W$48/W$233+OFFSET(Scenarios!$A$56,0,$C$1),OFFSET(Scenarios!$A$57,0,$C$1)-0.00195),MAX(W$48/W$233-OFFSET(Scenarios!$A$56,0,$C$1),OFFSET(Scenarios!$A$57,0,$C$1)-0.00195))*X$233,W$48*(1+X$245)*(1+X$236)*(1+X$248)))</f>
        <v>44.250953804589948</v>
      </c>
    </row>
    <row r="49" spans="1:24" x14ac:dyDescent="0.2">
      <c r="A49" s="160" t="s">
        <v>331</v>
      </c>
      <c r="B49" s="233"/>
      <c r="C49" s="69"/>
      <c r="D49" s="69">
        <f>Data!C$128</f>
        <v>9.891</v>
      </c>
      <c r="E49" s="69">
        <f>Data!D$128</f>
        <v>10.122</v>
      </c>
      <c r="F49" s="69">
        <f>Data!E$128</f>
        <v>9.2759999999999998</v>
      </c>
      <c r="G49" s="69">
        <f>Data!F$128</f>
        <v>7.2</v>
      </c>
      <c r="H49" s="69">
        <f>Data!G$128</f>
        <v>6.9569999999999999</v>
      </c>
      <c r="I49" s="69">
        <f>Data!H$128</f>
        <v>8.6120000000000001</v>
      </c>
      <c r="J49" s="125">
        <f>Data!I$128</f>
        <v>8.6690000000000005</v>
      </c>
      <c r="K49" s="125">
        <f>Data!J$128</f>
        <v>9.5540000000000003</v>
      </c>
      <c r="L49" s="125">
        <f>Data!K$128</f>
        <v>10.032999999999999</v>
      </c>
      <c r="M49" s="125">
        <f>Data!L$128</f>
        <v>10.425000000000001</v>
      </c>
      <c r="N49" s="125">
        <f>Data!M$128</f>
        <v>10.847</v>
      </c>
      <c r="O49" s="73">
        <f ca="1">IF(OFFSET(Scenarios!$A$51,0,$C$1)="Yes",IF(N$49/N$233&lt;OFFSET(Scenarios!$A$58,0,$C$1)-0.00077,MIN(N$49/N$233+OFFSET(Scenarios!$A$56,0,$C$1),OFFSET(Scenarios!$A$58,0,$C$1)-0.00077),MAX(N$49/N$233-OFFSET(Scenarios!$A$56,0,$C$1),OFFSET(Scenarios!$A$58,0,$C$1)-0.00077))*O$233,N$49*(1+O$234))</f>
        <v>11.703031809313812</v>
      </c>
      <c r="P49" s="73">
        <f ca="1">IF(OFFSET(Scenarios!$A$51,0,$C$1)="Yes",IF(O$49/O$233&lt;OFFSET(Scenarios!$A$58,0,$C$1)-0.00077,MIN(O$49/O$233+OFFSET(Scenarios!$A$56,0,$C$1),OFFSET(Scenarios!$A$58,0,$C$1)-0.00077),MAX(O$49/O$233-OFFSET(Scenarios!$A$56,0,$C$1),OFFSET(Scenarios!$A$58,0,$C$1)-0.00077))*P$233,O$49*(1+P$234))</f>
        <v>12.229582148963411</v>
      </c>
      <c r="Q49" s="73">
        <f ca="1">IF(OFFSET(Scenarios!$A$51,0,$C$1)="Yes",IF(P$49/P$233&lt;OFFSET(Scenarios!$A$58,0,$C$1)-0.00077,MIN(P$49/P$233+OFFSET(Scenarios!$A$56,0,$C$1),OFFSET(Scenarios!$A$58,0,$C$1)-0.00077),MAX(P$49/P$233-OFFSET(Scenarios!$A$56,0,$C$1),OFFSET(Scenarios!$A$58,0,$C$1)-0.00077))*Q$233,P$49*(1+Q$234))</f>
        <v>12.793870467910988</v>
      </c>
      <c r="R49" s="73">
        <f ca="1">IF(OFFSET(Scenarios!$A$51,0,$C$1)="Yes",IF(Q$49/Q$233&lt;OFFSET(Scenarios!$A$58,0,$C$1)-0.00077,MIN(Q$49/Q$233+OFFSET(Scenarios!$A$56,0,$C$1),OFFSET(Scenarios!$A$58,0,$C$1)-0.00077),MAX(Q$49/Q$233-OFFSET(Scenarios!$A$56,0,$C$1),OFFSET(Scenarios!$A$58,0,$C$1)-0.00077))*R$233,Q$49*(1+R$234))</f>
        <v>13.37770169057311</v>
      </c>
      <c r="S49" s="73">
        <f ca="1">IF(OFFSET(Scenarios!$A$51,0,$C$1)="Yes",IF(R$49/R$233&lt;OFFSET(Scenarios!$A$58,0,$C$1)-0.00077,MIN(R$49/R$233+OFFSET(Scenarios!$A$56,0,$C$1),OFFSET(Scenarios!$A$58,0,$C$1)-0.00077),MAX(R$49/R$233-OFFSET(Scenarios!$A$56,0,$C$1),OFFSET(Scenarios!$A$58,0,$C$1)-0.00077))*S$233,R$49*(1+S$234))</f>
        <v>13.992898949796871</v>
      </c>
      <c r="T49" s="73">
        <f ca="1">IF(OFFSET(Scenarios!$A$51,0,$C$1)="Yes",IF(S$49/S$233&lt;OFFSET(Scenarios!$A$58,0,$C$1)-0.00077,MIN(S$49/S$233+OFFSET(Scenarios!$A$56,0,$C$1),OFFSET(Scenarios!$A$58,0,$C$1)-0.00077),MAX(S$49/S$233-OFFSET(Scenarios!$A$56,0,$C$1),OFFSET(Scenarios!$A$58,0,$C$1)-0.00077))*T$233,S$49*(1+T$234))</f>
        <v>14.63540707949155</v>
      </c>
      <c r="U49" s="73">
        <f ca="1">IF(OFFSET(Scenarios!$A$51,0,$C$1)="Yes",IF(T$49/T$233&lt;OFFSET(Scenarios!$A$58,0,$C$1)-0.00077,MIN(T$49/T$233+OFFSET(Scenarios!$A$56,0,$C$1),OFFSET(Scenarios!$A$58,0,$C$1)-0.00077),MAX(T$49/T$233-OFFSET(Scenarios!$A$56,0,$C$1),OFFSET(Scenarios!$A$58,0,$C$1)-0.00077))*U$233,T$49*(1+U$234))</f>
        <v>15.293719089692816</v>
      </c>
      <c r="V49" s="73">
        <f ca="1">IF(OFFSET(Scenarios!$A$51,0,$C$1)="Yes",IF(U$49/U$233&lt;OFFSET(Scenarios!$A$58,0,$C$1)-0.00077,MIN(U$49/U$233+OFFSET(Scenarios!$A$56,0,$C$1),OFFSET(Scenarios!$A$58,0,$C$1)-0.00077),MAX(U$49/U$233-OFFSET(Scenarios!$A$56,0,$C$1),OFFSET(Scenarios!$A$58,0,$C$1)-0.00077))*V$233,U$49*(1+V$234))</f>
        <v>15.969458392928949</v>
      </c>
      <c r="W49" s="73">
        <f ca="1">IF(OFFSET(Scenarios!$A$51,0,$C$1)="Yes",IF(V$49/V$233&lt;OFFSET(Scenarios!$A$58,0,$C$1)-0.00077,MIN(V$49/V$233+OFFSET(Scenarios!$A$56,0,$C$1),OFFSET(Scenarios!$A$58,0,$C$1)-0.00077),MAX(V$49/V$233-OFFSET(Scenarios!$A$56,0,$C$1),OFFSET(Scenarios!$A$58,0,$C$1)-0.00077))*W$233,V$49*(1+W$234))</f>
        <v>16.666264882307356</v>
      </c>
      <c r="X49" s="73">
        <f ca="1">IF(OFFSET(Scenarios!$A$51,0,$C$1)="Yes",IF(W$49/W$233&lt;OFFSET(Scenarios!$A$58,0,$C$1)-0.00077,MIN(W$49/W$233+OFFSET(Scenarios!$A$56,0,$C$1),OFFSET(Scenarios!$A$58,0,$C$1)-0.00077),MAX(W$49/W$233-OFFSET(Scenarios!$A$56,0,$C$1),OFFSET(Scenarios!$A$58,0,$C$1)-0.00077))*X$233,W$49*(1+X$234))</f>
        <v>17.382723607200575</v>
      </c>
    </row>
    <row r="50" spans="1:24" x14ac:dyDescent="0.2">
      <c r="A50" s="160" t="s">
        <v>905</v>
      </c>
      <c r="B50" s="233"/>
      <c r="C50" s="69"/>
      <c r="D50" s="69">
        <f>Data!C$131</f>
        <v>2.3879999999999999</v>
      </c>
      <c r="E50" s="69">
        <f>Data!D$131</f>
        <v>2.4239999999999999</v>
      </c>
      <c r="F50" s="69">
        <f>Data!E$131</f>
        <v>2.3339999999999996</v>
      </c>
      <c r="G50" s="69">
        <f>Data!F$131</f>
        <v>2.508</v>
      </c>
      <c r="H50" s="69">
        <f>Data!G$131</f>
        <v>2.6349999999999998</v>
      </c>
      <c r="I50" s="69">
        <f>Data!H$131</f>
        <v>2.698</v>
      </c>
      <c r="J50" s="125">
        <f>Data!I$131</f>
        <v>2.8540000000000001</v>
      </c>
      <c r="K50" s="125">
        <f>Data!J$131</f>
        <v>3.117</v>
      </c>
      <c r="L50" s="125">
        <f>Data!K$131</f>
        <v>3.3690000000000002</v>
      </c>
      <c r="M50" s="125">
        <f>Data!L$131</f>
        <v>3.5939999999999999</v>
      </c>
      <c r="N50" s="125">
        <f>Data!M$131</f>
        <v>3.7069999999999999</v>
      </c>
      <c r="O50" s="73">
        <f ca="1">N$50/SUM(N$50,N$51)*IF(OFFSET(Scenarios!$A$52,0,$C$1)="Yes",IF(SUM(N$50:N$51)/N$233&lt;OFFSET(Scenarios!$A$59,0,$C$1)-0.002285,MIN(SUM(N$50:N$51)/N$233+OFFSET(Scenarios!$A$56,0,$C$1),OFFSET(Scenarios!$A$59,0,$C$1)-0.002285),MAX(SUM(N$50:N$51)/N$233-OFFSET(Scenarios!$A$56,0,$C$1),OFFSET(Scenarios!$A$59,0,$C$1)-0.002285))*O$233,SUM(N$50:N$51)*(1+O$234))</f>
        <v>3.8645015075426077</v>
      </c>
      <c r="P50" s="73">
        <f ca="1">O$50/SUM(O$50,O$51)*IF(OFFSET(Scenarios!$A$52,0,$C$1)="Yes",IF(SUM(O$50:O$51)/O$233&lt;OFFSET(Scenarios!$A$59,0,$C$1)-0.002285,MIN(SUM(O$50:O$51)/O$233+OFFSET(Scenarios!$A$56,0,$C$1),OFFSET(Scenarios!$A$59,0,$C$1)-0.002285),MAX(SUM(O$50:O$51)/O$233-OFFSET(Scenarios!$A$56,0,$C$1),OFFSET(Scenarios!$A$59,0,$C$1)-0.002285))*P$233,SUM(O$50:O$51)*(1+P$234))</f>
        <v>4.0383756466997376</v>
      </c>
      <c r="Q50" s="73">
        <f ca="1">P$50/SUM(P$50,P$51)*IF(OFFSET(Scenarios!$A$52,0,$C$1)="Yes",IF(SUM(P$50:P$51)/P$233&lt;OFFSET(Scenarios!$A$59,0,$C$1)-0.002285,MIN(SUM(P$50:P$51)/P$233+OFFSET(Scenarios!$A$56,0,$C$1),OFFSET(Scenarios!$A$59,0,$C$1)-0.002285),MAX(SUM(P$50:P$51)/P$233-OFFSET(Scenarios!$A$56,0,$C$1),OFFSET(Scenarios!$A$59,0,$C$1)-0.002285))*Q$233,SUM(P$50:P$51)*(1+Q$234))</f>
        <v>4.2247113838653929</v>
      </c>
      <c r="R50" s="73">
        <f ca="1">Q$50/SUM(Q$50,Q$51)*IF(OFFSET(Scenarios!$A$52,0,$C$1)="Yes",IF(SUM(Q$50:Q$51)/Q$233&lt;OFFSET(Scenarios!$A$59,0,$C$1)-0.002285,MIN(SUM(Q$50:Q$51)/Q$233+OFFSET(Scenarios!$A$56,0,$C$1),OFFSET(Scenarios!$A$59,0,$C$1)-0.002285),MAX(SUM(Q$50:Q$51)/Q$233-OFFSET(Scenarios!$A$56,0,$C$1),OFFSET(Scenarios!$A$59,0,$C$1)-0.002285))*R$233,SUM(Q$50:Q$51)*(1+R$234))</f>
        <v>4.4175004556965591</v>
      </c>
      <c r="S50" s="73">
        <f ca="1">R$50/SUM(R$50,R$51)*IF(OFFSET(Scenarios!$A$52,0,$C$1)="Yes",IF(SUM(R$50:R$51)/R$233&lt;OFFSET(Scenarios!$A$59,0,$C$1)-0.002285,MIN(SUM(R$50:R$51)/R$233+OFFSET(Scenarios!$A$56,0,$C$1),OFFSET(Scenarios!$A$59,0,$C$1)-0.002285),MAX(SUM(R$50:R$51)/R$233-OFFSET(Scenarios!$A$56,0,$C$1),OFFSET(Scenarios!$A$59,0,$C$1)-0.002285))*S$233,SUM(R$50:R$51)*(1+S$234))</f>
        <v>4.6206470227095808</v>
      </c>
      <c r="T50" s="73">
        <f ca="1">S$50/SUM(S$50,S$51)*IF(OFFSET(Scenarios!$A$52,0,$C$1)="Yes",IF(SUM(S$50:S$51)/S$233&lt;OFFSET(Scenarios!$A$59,0,$C$1)-0.002285,MIN(SUM(S$50:S$51)/S$233+OFFSET(Scenarios!$A$56,0,$C$1),OFFSET(Scenarios!$A$59,0,$C$1)-0.002285),MAX(SUM(S$50:S$51)/S$233-OFFSET(Scenarios!$A$56,0,$C$1),OFFSET(Scenarios!$A$59,0,$C$1)-0.002285))*T$233,SUM(S$50:S$51)*(1+T$234))</f>
        <v>4.8328120134803836</v>
      </c>
      <c r="U50" s="73">
        <f ca="1">T$50/SUM(T$50,T$51)*IF(OFFSET(Scenarios!$A$52,0,$C$1)="Yes",IF(SUM(T$50:T$51)/T$233&lt;OFFSET(Scenarios!$A$59,0,$C$1)-0.002285,MIN(SUM(T$50:T$51)/T$233+OFFSET(Scenarios!$A$56,0,$C$1),OFFSET(Scenarios!$A$59,0,$C$1)-0.002285),MAX(SUM(T$50:T$51)/T$233-OFFSET(Scenarios!$A$56,0,$C$1),OFFSET(Scenarios!$A$59,0,$C$1)-0.002285))*U$233,SUM(T$50:T$51)*(1+U$234))</f>
        <v>5.050195662205625</v>
      </c>
      <c r="V50" s="73">
        <f ca="1">U$50/SUM(U$50,U$51)*IF(OFFSET(Scenarios!$A$52,0,$C$1)="Yes",IF(SUM(U$50:U$51)/U$233&lt;OFFSET(Scenarios!$A$59,0,$C$1)-0.002285,MIN(SUM(U$50:U$51)/U$233+OFFSET(Scenarios!$A$56,0,$C$1),OFFSET(Scenarios!$A$59,0,$C$1)-0.002285),MAX(SUM(U$50:U$51)/U$233-OFFSET(Scenarios!$A$56,0,$C$1),OFFSET(Scenarios!$A$59,0,$C$1)-0.002285))*V$233,SUM(U$50:U$51)*(1+V$234))</f>
        <v>5.2733340419529613</v>
      </c>
      <c r="W50" s="73">
        <f ca="1">V$50/SUM(V$50,V$51)*IF(OFFSET(Scenarios!$A$52,0,$C$1)="Yes",IF(SUM(V$50:V$51)/V$233&lt;OFFSET(Scenarios!$A$59,0,$C$1)-0.002285,MIN(SUM(V$50:V$51)/V$233+OFFSET(Scenarios!$A$56,0,$C$1),OFFSET(Scenarios!$A$59,0,$C$1)-0.002285),MAX(SUM(V$50:V$51)/V$233-OFFSET(Scenarios!$A$56,0,$C$1),OFFSET(Scenarios!$A$59,0,$C$1)-0.002285))*W$233,SUM(V$50:V$51)*(1+W$234))</f>
        <v>5.5034290953155667</v>
      </c>
      <c r="X50" s="73">
        <f ca="1">W$50/SUM(W$50,W$51)*IF(OFFSET(Scenarios!$A$52,0,$C$1)="Yes",IF(SUM(W$50:W$51)/W$233&lt;OFFSET(Scenarios!$A$59,0,$C$1)-0.002285,MIN(SUM(W$50:W$51)/W$233+OFFSET(Scenarios!$A$56,0,$C$1),OFFSET(Scenarios!$A$59,0,$C$1)-0.002285),MAX(SUM(W$50:W$51)/W$233-OFFSET(Scenarios!$A$56,0,$C$1),OFFSET(Scenarios!$A$59,0,$C$1)-0.002285))*X$233,SUM(W$50:W$51)*(1+X$234))</f>
        <v>5.7400135862026538</v>
      </c>
    </row>
    <row r="51" spans="1:24" x14ac:dyDescent="0.2">
      <c r="A51" s="160" t="s">
        <v>245</v>
      </c>
      <c r="B51" s="233"/>
      <c r="C51" s="69"/>
      <c r="D51" s="176">
        <f>SUM(Data!C$125:C$127,Data!C$129:C$130,Data!C$132)</f>
        <v>19.805</v>
      </c>
      <c r="E51" s="176">
        <f>SUM(Data!D$125:D$127,Data!D$129:D$130,Data!D$132)</f>
        <v>20.481000000000002</v>
      </c>
      <c r="F51" s="176">
        <f>SUM(Data!E$125:E$127,Data!E$129:E$130,Data!E$132)</f>
        <v>19.948</v>
      </c>
      <c r="G51" s="176">
        <f>SUM(Data!F$125:F$127,Data!F$129:F$130,Data!F$132)</f>
        <v>18.864999999999998</v>
      </c>
      <c r="H51" s="176">
        <f>SUM(Data!G$125:G$127,Data!G$129:G$130,Data!G$132)</f>
        <v>20.678999999999998</v>
      </c>
      <c r="I51" s="176">
        <f>SUM(Data!H$125:H$127,Data!H$129:H$130,Data!H$132)</f>
        <v>22.117999999999999</v>
      </c>
      <c r="J51" s="130">
        <f>SUM(Data!I$125:I$127,Data!I$129:I$130,Data!I$132)</f>
        <v>23.312999999999999</v>
      </c>
      <c r="K51" s="130">
        <f>SUM(Data!J$125:J$127,Data!J$129:J$130,Data!J$132)</f>
        <v>25.459999999999997</v>
      </c>
      <c r="L51" s="130">
        <f>SUM(Data!K$125:K$127,Data!K$129:K$130,Data!K$132)</f>
        <v>27.175000000000001</v>
      </c>
      <c r="M51" s="130">
        <f>SUM(Data!L$125:L$127,Data!L$129:L$130,Data!L$132)</f>
        <v>28.573</v>
      </c>
      <c r="N51" s="130">
        <f>SUM(Data!M$125:M$127,Data!M$129:M$130,Data!M$132)</f>
        <v>29.717999999999996</v>
      </c>
      <c r="O51" s="81">
        <f ca="1">N$51/SUM(N$50,N$51)*IF(OFFSET(Scenarios!$A$52,0,$C$1)="Yes",IF(SUM(N$50:N$51)/N$233&lt;OFFSET(Scenarios!$A$59,0,$C$1)-0.002285,MIN(SUM(N$50:N$51)/N$233+OFFSET(Scenarios!$A$56,0,$C$1),OFFSET(Scenarios!$A$59,0,$C$1)-0.002285),MAX(SUM(N$50:N$51)/N$233-OFFSET(Scenarios!$A$56,0,$C$1),OFFSET(Scenarios!$A$59,0,$C$1)-0.002285))*O$233,SUM(N$50:N$51)*(1+O$234))</f>
        <v>30.980646291111736</v>
      </c>
      <c r="P51" s="81">
        <f ca="1">O$51/SUM(O$50,O$51)*IF(OFFSET(Scenarios!$A$52,0,$C$1)="Yes",IF(SUM(O$50:O$51)/O$233&lt;OFFSET(Scenarios!$A$59,0,$C$1)-0.002285,MIN(SUM(O$50:O$51)/O$233+OFFSET(Scenarios!$A$56,0,$C$1),OFFSET(Scenarios!$A$59,0,$C$1)-0.002285),MAX(SUM(O$50:O$51)/O$233-OFFSET(Scenarios!$A$56,0,$C$1),OFFSET(Scenarios!$A$59,0,$C$1)-0.002285))*P$233,SUM(O$50:O$51)*(1+P$234))</f>
        <v>32.374547469280493</v>
      </c>
      <c r="Q51" s="81">
        <f ca="1">P$51/SUM(P$50,P$51)*IF(OFFSET(Scenarios!$A$52,0,$C$1)="Yes",IF(SUM(P$50:P$51)/P$233&lt;OFFSET(Scenarios!$A$59,0,$C$1)-0.002285,MIN(SUM(P$50:P$51)/P$233+OFFSET(Scenarios!$A$56,0,$C$1),OFFSET(Scenarios!$A$59,0,$C$1)-0.002285),MAX(SUM(P$50:P$51)/P$233-OFFSET(Scenarios!$A$56,0,$C$1),OFFSET(Scenarios!$A$59,0,$C$1)-0.002285))*Q$233,SUM(P$50:P$51)*(1+Q$234))</f>
        <v>33.868349853172838</v>
      </c>
      <c r="R51" s="81">
        <f ca="1">Q$51/SUM(Q$50,Q$51)*IF(OFFSET(Scenarios!$A$52,0,$C$1)="Yes",IF(SUM(Q$50:Q$51)/Q$233&lt;OFFSET(Scenarios!$A$59,0,$C$1)-0.002285,MIN(SUM(Q$50:Q$51)/Q$233+OFFSET(Scenarios!$A$56,0,$C$1),OFFSET(Scenarios!$A$59,0,$C$1)-0.002285),MAX(SUM(Q$50:Q$51)/Q$233-OFFSET(Scenarios!$A$56,0,$C$1),OFFSET(Scenarios!$A$59,0,$C$1)-0.002285))*R$233,SUM(Q$50:Q$51)*(1+R$234))</f>
        <v>35.413886847151417</v>
      </c>
      <c r="S51" s="81">
        <f ca="1">R$51/SUM(R$50,R$51)*IF(OFFSET(Scenarios!$A$52,0,$C$1)="Yes",IF(SUM(R$50:R$51)/R$233&lt;OFFSET(Scenarios!$A$59,0,$C$1)-0.002285,MIN(SUM(R$50:R$51)/R$233+OFFSET(Scenarios!$A$56,0,$C$1),OFFSET(Scenarios!$A$59,0,$C$1)-0.002285),MAX(SUM(R$50:R$51)/R$233-OFFSET(Scenarios!$A$56,0,$C$1),OFFSET(Scenarios!$A$59,0,$C$1)-0.002285))*S$233,SUM(R$50:R$51)*(1+S$234))</f>
        <v>37.042457032879227</v>
      </c>
      <c r="T51" s="81">
        <f ca="1">S$51/SUM(S$50,S$51)*IF(OFFSET(Scenarios!$A$52,0,$C$1)="Yes",IF(SUM(S$50:S$51)/S$233&lt;OFFSET(Scenarios!$A$59,0,$C$1)-0.002285,MIN(SUM(S$50:S$51)/S$233+OFFSET(Scenarios!$A$56,0,$C$1),OFFSET(Scenarios!$A$59,0,$C$1)-0.002285),MAX(SUM(S$50:S$51)/S$233-OFFSET(Scenarios!$A$56,0,$C$1),OFFSET(Scenarios!$A$59,0,$C$1)-0.002285))*T$233,SUM(S$50:S$51)*(1+T$234))</f>
        <v>38.743325442840572</v>
      </c>
      <c r="U51" s="81">
        <f ca="1">T$51/SUM(T$50,T$51)*IF(OFFSET(Scenarios!$A$52,0,$C$1)="Yes",IF(SUM(T$50:T$51)/T$233&lt;OFFSET(Scenarios!$A$59,0,$C$1)-0.002285,MIN(SUM(T$50:T$51)/T$233+OFFSET(Scenarios!$A$56,0,$C$1),OFFSET(Scenarios!$A$59,0,$C$1)-0.002285),MAX(SUM(T$50:T$51)/T$233-OFFSET(Scenarios!$A$56,0,$C$1),OFFSET(Scenarios!$A$59,0,$C$1)-0.002285))*U$233,SUM(T$50:T$51)*(1+U$234))</f>
        <v>40.486030399090026</v>
      </c>
      <c r="V51" s="81">
        <f ca="1">U$51/SUM(U$50,U$51)*IF(OFFSET(Scenarios!$A$52,0,$C$1)="Yes",IF(SUM(U$50:U$51)/U$233&lt;OFFSET(Scenarios!$A$59,0,$C$1)-0.002285,MIN(SUM(U$50:U$51)/U$233+OFFSET(Scenarios!$A$56,0,$C$1),OFFSET(Scenarios!$A$59,0,$C$1)-0.002285),MAX(SUM(U$50:U$51)/U$233-OFFSET(Scenarios!$A$56,0,$C$1),OFFSET(Scenarios!$A$59,0,$C$1)-0.002285))*V$233,SUM(U$50:U$51)*(1+V$234))</f>
        <v>42.274869452052357</v>
      </c>
      <c r="W51" s="81">
        <f ca="1">V$51/SUM(V$50,V$51)*IF(OFFSET(Scenarios!$A$52,0,$C$1)="Yes",IF(SUM(V$50:V$51)/V$233&lt;OFFSET(Scenarios!$A$59,0,$C$1)-0.002285,MIN(SUM(V$50:V$51)/V$233+OFFSET(Scenarios!$A$56,0,$C$1),OFFSET(Scenarios!$A$59,0,$C$1)-0.002285),MAX(SUM(V$50:V$51)/V$233-OFFSET(Scenarios!$A$56,0,$C$1),OFFSET(Scenarios!$A$59,0,$C$1)-0.002285))*W$233,SUM(V$50:V$51)*(1+W$234))</f>
        <v>44.119478245100616</v>
      </c>
      <c r="X51" s="81">
        <f ca="1">W$51/SUM(W$50,W$51)*IF(OFFSET(Scenarios!$A$52,0,$C$1)="Yes",IF(SUM(W$50:W$51)/W$233&lt;OFFSET(Scenarios!$A$59,0,$C$1)-0.002285,MIN(SUM(W$50:W$51)/W$233+OFFSET(Scenarios!$A$56,0,$C$1),OFFSET(Scenarios!$A$59,0,$C$1)-0.002285),MAX(SUM(W$50:W$51)/W$233-OFFSET(Scenarios!$A$56,0,$C$1),OFFSET(Scenarios!$A$59,0,$C$1)-0.002285))*X$233,SUM(W$50:W$51)*(1+X$234))</f>
        <v>46.016111074931324</v>
      </c>
    </row>
    <row r="52" spans="1:24" x14ac:dyDescent="0.2">
      <c r="A52" s="27" t="s">
        <v>246</v>
      </c>
      <c r="C52" s="69"/>
      <c r="D52" s="71">
        <f t="shared" ref="D52:X52" si="23">SUM(D$48:D$51)</f>
        <v>53.064</v>
      </c>
      <c r="E52" s="71">
        <f t="shared" si="23"/>
        <v>56.372</v>
      </c>
      <c r="F52" s="71">
        <f t="shared" si="23"/>
        <v>54.145000000000003</v>
      </c>
      <c r="G52" s="71">
        <f t="shared" si="23"/>
        <v>50.346999999999994</v>
      </c>
      <c r="H52" s="71">
        <f t="shared" si="23"/>
        <v>51.128</v>
      </c>
      <c r="I52" s="71">
        <f t="shared" si="23"/>
        <v>54.664999999999992</v>
      </c>
      <c r="J52" s="131">
        <f t="shared" si="23"/>
        <v>56.873999999999995</v>
      </c>
      <c r="K52" s="131">
        <f t="shared" si="23"/>
        <v>61.24799999999999</v>
      </c>
      <c r="L52" s="131">
        <f t="shared" si="23"/>
        <v>64.878</v>
      </c>
      <c r="M52" s="131">
        <f t="shared" si="23"/>
        <v>68.079000000000008</v>
      </c>
      <c r="N52" s="131">
        <f t="shared" si="23"/>
        <v>71.021999999999991</v>
      </c>
      <c r="O52" s="75">
        <f t="shared" ca="1" si="23"/>
        <v>74.819682007430018</v>
      </c>
      <c r="P52" s="75">
        <f t="shared" ca="1" si="23"/>
        <v>78.541976965980496</v>
      </c>
      <c r="Q52" s="75">
        <f t="shared" ca="1" si="23"/>
        <v>82.562735794019659</v>
      </c>
      <c r="R52" s="75">
        <f t="shared" ca="1" si="23"/>
        <v>86.750487640109355</v>
      </c>
      <c r="S52" s="75">
        <f t="shared" ca="1" si="23"/>
        <v>91.163347347685601</v>
      </c>
      <c r="T52" s="75">
        <f t="shared" ca="1" si="23"/>
        <v>95.468693485570668</v>
      </c>
      <c r="U52" s="75">
        <f t="shared" ca="1" si="23"/>
        <v>99.762949680729264</v>
      </c>
      <c r="V52" s="75">
        <f t="shared" ca="1" si="23"/>
        <v>104.17088641022437</v>
      </c>
      <c r="W52" s="75">
        <f t="shared" ca="1" si="23"/>
        <v>108.71624717756796</v>
      </c>
      <c r="X52" s="75">
        <f t="shared" ca="1" si="23"/>
        <v>113.38980207292451</v>
      </c>
    </row>
    <row r="53" spans="1:24" x14ac:dyDescent="0.2">
      <c r="A53" s="161" t="s">
        <v>521</v>
      </c>
      <c r="C53" s="69"/>
      <c r="D53" s="176">
        <f t="shared" ref="D53:N53" si="24">D$54-D$52</f>
        <v>0.4129999999999967</v>
      </c>
      <c r="E53" s="176">
        <f t="shared" si="24"/>
        <v>0.375</v>
      </c>
      <c r="F53" s="176">
        <f t="shared" si="24"/>
        <v>0.53599999999999426</v>
      </c>
      <c r="G53" s="176">
        <f t="shared" si="24"/>
        <v>0.39700000000000557</v>
      </c>
      <c r="H53" s="176">
        <f t="shared" si="24"/>
        <v>0.42900000000000205</v>
      </c>
      <c r="I53" s="176">
        <f t="shared" si="24"/>
        <v>0.41600000000001103</v>
      </c>
      <c r="J53" s="130">
        <f t="shared" si="24"/>
        <v>0.50200000000000244</v>
      </c>
      <c r="K53" s="130">
        <f t="shared" si="24"/>
        <v>0.60900000000000887</v>
      </c>
      <c r="L53" s="130">
        <f t="shared" si="24"/>
        <v>0.76500000000000057</v>
      </c>
      <c r="M53" s="130">
        <f t="shared" si="24"/>
        <v>0.83499999999999375</v>
      </c>
      <c r="N53" s="130">
        <f t="shared" si="24"/>
        <v>0.882000000000005</v>
      </c>
      <c r="O53" s="81">
        <f t="shared" ref="O53:X53" ca="1" si="25">N$53*(1+O$234)</f>
        <v>0.92136603338566858</v>
      </c>
      <c r="P53" s="81">
        <f t="shared" ca="1" si="25"/>
        <v>0.96282072698350418</v>
      </c>
      <c r="Q53" s="81">
        <f t="shared" ca="1" si="25"/>
        <v>1.0072464876398859</v>
      </c>
      <c r="R53" s="81">
        <f t="shared" ca="1" si="25"/>
        <v>1.0532108382932612</v>
      </c>
      <c r="S53" s="81">
        <f t="shared" ca="1" si="25"/>
        <v>1.1016446003915261</v>
      </c>
      <c r="T53" s="81">
        <f t="shared" ca="1" si="25"/>
        <v>1.152228515441958</v>
      </c>
      <c r="U53" s="81">
        <f t="shared" ca="1" si="25"/>
        <v>1.204056651556787</v>
      </c>
      <c r="V53" s="81">
        <f t="shared" ca="1" si="25"/>
        <v>1.2572568181093529</v>
      </c>
      <c r="W53" s="81">
        <f t="shared" ca="1" si="25"/>
        <v>1.3121155796351511</v>
      </c>
      <c r="X53" s="81">
        <f t="shared" ca="1" si="25"/>
        <v>1.3685215387229548</v>
      </c>
    </row>
    <row r="54" spans="1:24" x14ac:dyDescent="0.2">
      <c r="A54" s="27" t="s">
        <v>336</v>
      </c>
      <c r="B54" s="233"/>
      <c r="C54" s="69"/>
      <c r="D54" s="71">
        <f>Data!C$100</f>
        <v>53.476999999999997</v>
      </c>
      <c r="E54" s="71">
        <f>Data!D$100</f>
        <v>56.747</v>
      </c>
      <c r="F54" s="71">
        <f>Data!E$100</f>
        <v>54.680999999999997</v>
      </c>
      <c r="G54" s="71">
        <f>Data!F$100</f>
        <v>50.744</v>
      </c>
      <c r="H54" s="71">
        <f>Data!G$100</f>
        <v>51.557000000000002</v>
      </c>
      <c r="I54" s="71">
        <f>Data!H$100</f>
        <v>55.081000000000003</v>
      </c>
      <c r="J54" s="131">
        <f>Data!I$100</f>
        <v>57.375999999999998</v>
      </c>
      <c r="K54" s="131">
        <f>Data!J$100</f>
        <v>61.856999999999999</v>
      </c>
      <c r="L54" s="131">
        <f>Data!K$100</f>
        <v>65.643000000000001</v>
      </c>
      <c r="M54" s="131">
        <f>Data!L$100</f>
        <v>68.914000000000001</v>
      </c>
      <c r="N54" s="131">
        <f>Data!M$100</f>
        <v>71.903999999999996</v>
      </c>
      <c r="O54" s="75">
        <f t="shared" ref="O54:X54" ca="1" si="26">SUM(O$52,O$53)</f>
        <v>75.741048040815684</v>
      </c>
      <c r="P54" s="75">
        <f t="shared" ca="1" si="26"/>
        <v>79.504797692964004</v>
      </c>
      <c r="Q54" s="75">
        <f t="shared" ca="1" si="26"/>
        <v>83.569982281659549</v>
      </c>
      <c r="R54" s="75">
        <f t="shared" ca="1" si="26"/>
        <v>87.803698478402623</v>
      </c>
      <c r="S54" s="75">
        <f t="shared" ca="1" si="26"/>
        <v>92.264991948077125</v>
      </c>
      <c r="T54" s="75">
        <f t="shared" ca="1" si="26"/>
        <v>96.62092200101263</v>
      </c>
      <c r="U54" s="75">
        <f t="shared" ca="1" si="26"/>
        <v>100.96700633228605</v>
      </c>
      <c r="V54" s="75">
        <f t="shared" ca="1" si="26"/>
        <v>105.42814322833372</v>
      </c>
      <c r="W54" s="75">
        <f t="shared" ca="1" si="26"/>
        <v>110.02836275720311</v>
      </c>
      <c r="X54" s="75">
        <f t="shared" ca="1" si="26"/>
        <v>114.75832361164747</v>
      </c>
    </row>
    <row r="55" spans="1:24" x14ac:dyDescent="0.2">
      <c r="A55" s="27"/>
      <c r="C55" s="6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">
      <c r="A56" s="108" t="s">
        <v>522</v>
      </c>
      <c r="C56" s="6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">
      <c r="A57" s="160" t="s">
        <v>659</v>
      </c>
      <c r="C57" s="69"/>
      <c r="D57" s="69">
        <f>D$208</f>
        <v>0</v>
      </c>
      <c r="E57" s="69">
        <f t="shared" ref="E57:X57" si="27">E$208</f>
        <v>0</v>
      </c>
      <c r="F57" s="69">
        <f t="shared" si="27"/>
        <v>0</v>
      </c>
      <c r="G57" s="69">
        <f t="shared" si="27"/>
        <v>2.3E-2</v>
      </c>
      <c r="H57" s="69">
        <f t="shared" si="27"/>
        <v>0.32200000000000001</v>
      </c>
      <c r="I57" s="69">
        <f t="shared" si="27"/>
        <v>0.57099999999999995</v>
      </c>
      <c r="J57" s="125">
        <f t="shared" si="27"/>
        <v>0.22</v>
      </c>
      <c r="K57" s="125">
        <f t="shared" si="27"/>
        <v>6.6000000000000003E-2</v>
      </c>
      <c r="L57" s="125">
        <f t="shared" si="27"/>
        <v>6.6000000000000003E-2</v>
      </c>
      <c r="M57" s="125">
        <f t="shared" si="27"/>
        <v>6.6000000000000003E-2</v>
      </c>
      <c r="N57" s="125">
        <f t="shared" si="27"/>
        <v>6.6000000000000003E-2</v>
      </c>
      <c r="O57" s="73">
        <f t="shared" ca="1" si="27"/>
        <v>6.7330025316455697E-2</v>
      </c>
      <c r="P57" s="73">
        <f t="shared" ca="1" si="27"/>
        <v>6.8676625822784818E-2</v>
      </c>
      <c r="Q57" s="73">
        <f t="shared" ca="1" si="27"/>
        <v>7.0050158339240512E-2</v>
      </c>
      <c r="R57" s="73">
        <f t="shared" ca="1" si="27"/>
        <v>7.1451161506025318E-2</v>
      </c>
      <c r="S57" s="73">
        <f t="shared" ca="1" si="27"/>
        <v>7.2880184736145825E-2</v>
      </c>
      <c r="T57" s="73">
        <f t="shared" ca="1" si="27"/>
        <v>7.4337788430868745E-2</v>
      </c>
      <c r="U57" s="73">
        <f t="shared" ca="1" si="27"/>
        <v>7.5824544199486116E-2</v>
      </c>
      <c r="V57" s="73">
        <f t="shared" ca="1" si="27"/>
        <v>7.734103508347584E-2</v>
      </c>
      <c r="W57" s="73">
        <f t="shared" ca="1" si="27"/>
        <v>7.8887855785145358E-2</v>
      </c>
      <c r="X57" s="73">
        <f t="shared" ca="1" si="27"/>
        <v>8.0465612900848263E-2</v>
      </c>
    </row>
    <row r="58" spans="1:24" x14ac:dyDescent="0.2">
      <c r="A58" s="160" t="s">
        <v>660</v>
      </c>
      <c r="B58" s="233"/>
      <c r="C58" s="69"/>
      <c r="D58" s="176">
        <f>SUM(Data!C$101,Data!C$102,Data!C$104)-D$57</f>
        <v>2.1539999999999999</v>
      </c>
      <c r="E58" s="176">
        <f>SUM(Data!D$101,Data!D$102,Data!D$104)-E$57</f>
        <v>2.7280000000000002</v>
      </c>
      <c r="F58" s="176">
        <f>SUM(Data!E$101,Data!E$102,Data!E$104)-F$57</f>
        <v>2.9289999999999998</v>
      </c>
      <c r="G58" s="176">
        <f>SUM(Data!F$101,Data!F$102,Data!F$104)-G$57</f>
        <v>3.3140000000000001</v>
      </c>
      <c r="H58" s="176">
        <f>SUM(Data!G$101,Data!G$102,Data!G$104)-H$57</f>
        <v>3.5019999999999998</v>
      </c>
      <c r="I58" s="176">
        <f>SUM(Data!H$101,Data!H$102,Data!H$104)-I$57</f>
        <v>3.1180000000000003</v>
      </c>
      <c r="J58" s="130">
        <f>SUM(Data!I$101,Data!I$102,Data!I$104)-J$57</f>
        <v>3.0820000000000003</v>
      </c>
      <c r="K58" s="130">
        <f>SUM(Data!J$101,Data!J$102,Data!J$104)-K$57</f>
        <v>3.2770000000000001</v>
      </c>
      <c r="L58" s="130">
        <f>SUM(Data!K$101,Data!K$102,Data!K$104)-L$57</f>
        <v>3.2750000000000004</v>
      </c>
      <c r="M58" s="130">
        <f>SUM(Data!L$101,Data!L$102,Data!L$104)-M$57</f>
        <v>3.0990000000000002</v>
      </c>
      <c r="N58" s="130">
        <f>SUM(Data!M$101,Data!M$102,Data!M$104)-N$57</f>
        <v>3.1460000000000004</v>
      </c>
      <c r="O58" s="387">
        <f ca="1">(N$58-0.252)*(1+O$236)</f>
        <v>2.9523195949367085</v>
      </c>
      <c r="P58" s="81">
        <f t="shared" ref="P58:X58" ca="1" si="28">O$58*(1+P$236)</f>
        <v>3.0113659868354428</v>
      </c>
      <c r="Q58" s="81">
        <f t="shared" ca="1" si="28"/>
        <v>3.0715933065721517</v>
      </c>
      <c r="R58" s="81">
        <f t="shared" ca="1" si="28"/>
        <v>3.1330251727035949</v>
      </c>
      <c r="S58" s="81">
        <f t="shared" ca="1" si="28"/>
        <v>3.1956856761576669</v>
      </c>
      <c r="T58" s="81">
        <f t="shared" ca="1" si="28"/>
        <v>3.2595993896808202</v>
      </c>
      <c r="U58" s="81">
        <f t="shared" ca="1" si="28"/>
        <v>3.3247913774744369</v>
      </c>
      <c r="V58" s="81">
        <f t="shared" ca="1" si="28"/>
        <v>3.3912872050239256</v>
      </c>
      <c r="W58" s="81">
        <f t="shared" ca="1" si="28"/>
        <v>3.4591129491244041</v>
      </c>
      <c r="X58" s="81">
        <f t="shared" ca="1" si="28"/>
        <v>3.5282952081068921</v>
      </c>
    </row>
    <row r="59" spans="1:24" x14ac:dyDescent="0.2">
      <c r="A59" s="27" t="s">
        <v>524</v>
      </c>
      <c r="C59" s="69"/>
      <c r="D59" s="71">
        <f>SUM(D$57:D$58)</f>
        <v>2.1539999999999999</v>
      </c>
      <c r="E59" s="71">
        <f t="shared" ref="E59:X59" si="29">SUM(E$57:E$58)</f>
        <v>2.7280000000000002</v>
      </c>
      <c r="F59" s="71">
        <f t="shared" si="29"/>
        <v>2.9289999999999998</v>
      </c>
      <c r="G59" s="71">
        <f t="shared" si="29"/>
        <v>3.3370000000000002</v>
      </c>
      <c r="H59" s="71">
        <f t="shared" si="29"/>
        <v>3.8239999999999998</v>
      </c>
      <c r="I59" s="71">
        <f t="shared" si="29"/>
        <v>3.6890000000000001</v>
      </c>
      <c r="J59" s="131">
        <f t="shared" si="29"/>
        <v>3.3020000000000005</v>
      </c>
      <c r="K59" s="131">
        <f t="shared" si="29"/>
        <v>3.343</v>
      </c>
      <c r="L59" s="131">
        <f t="shared" si="29"/>
        <v>3.3410000000000002</v>
      </c>
      <c r="M59" s="131">
        <f t="shared" si="29"/>
        <v>3.165</v>
      </c>
      <c r="N59" s="131">
        <f t="shared" si="29"/>
        <v>3.2120000000000002</v>
      </c>
      <c r="O59" s="75">
        <f t="shared" ca="1" si="29"/>
        <v>3.0196496202531642</v>
      </c>
      <c r="P59" s="75">
        <f t="shared" ca="1" si="29"/>
        <v>3.0800426126582274</v>
      </c>
      <c r="Q59" s="75">
        <f t="shared" ca="1" si="29"/>
        <v>3.1416434649113922</v>
      </c>
      <c r="R59" s="75">
        <f t="shared" ca="1" si="29"/>
        <v>3.2044763342096201</v>
      </c>
      <c r="S59" s="75">
        <f t="shared" ca="1" si="29"/>
        <v>3.2685658608938128</v>
      </c>
      <c r="T59" s="75">
        <f t="shared" ca="1" si="29"/>
        <v>3.3339371781116891</v>
      </c>
      <c r="U59" s="75">
        <f t="shared" ca="1" si="29"/>
        <v>3.4006159216739231</v>
      </c>
      <c r="V59" s="75">
        <f t="shared" ca="1" si="29"/>
        <v>3.4686282401074013</v>
      </c>
      <c r="W59" s="75">
        <f t="shared" ca="1" si="29"/>
        <v>3.5380008049095495</v>
      </c>
      <c r="X59" s="75">
        <f t="shared" ca="1" si="29"/>
        <v>3.6087608210077402</v>
      </c>
    </row>
    <row r="60" spans="1:24" x14ac:dyDescent="0.2">
      <c r="A60" s="27" t="s">
        <v>523</v>
      </c>
      <c r="B60" s="233"/>
      <c r="C60" s="69"/>
      <c r="D60" s="71">
        <f>SUM(Data!C$6,Data!C$7,Data!C$9)</f>
        <v>18.529999999999998</v>
      </c>
      <c r="E60" s="71">
        <f>SUM(Data!D$6,Data!D$7,Data!D$9)</f>
        <v>21.893000000000001</v>
      </c>
      <c r="F60" s="71">
        <f>SUM(Data!E$6,Data!E$7,Data!E$9)</f>
        <v>22.364000000000001</v>
      </c>
      <c r="G60" s="71">
        <f>SUM(Data!F$6,Data!F$7,Data!F$9)</f>
        <v>22.062999999999999</v>
      </c>
      <c r="H60" s="71">
        <f>SUM(Data!G$6,Data!G$7,Data!G$9)</f>
        <v>27.864999999999998</v>
      </c>
      <c r="I60" s="71">
        <f>SUM(Data!H$6,Data!H$7,Data!H$9)</f>
        <v>26.055</v>
      </c>
      <c r="J60" s="131">
        <f>SUM(Data!I$6,Data!I$7,Data!I$9)</f>
        <v>24.521999999999998</v>
      </c>
      <c r="K60" s="131">
        <f>SUM(Data!J$6,Data!J$7,Data!J$9)</f>
        <v>25.12</v>
      </c>
      <c r="L60" s="131">
        <f>SUM(Data!K$6,Data!K$7,Data!K$9)</f>
        <v>26.322000000000003</v>
      </c>
      <c r="M60" s="131">
        <f>SUM(Data!L$6,Data!L$7,Data!L$9)</f>
        <v>26.996999999999996</v>
      </c>
      <c r="N60" s="131">
        <f>SUM(Data!M$6,Data!M$7,Data!M$9)</f>
        <v>27.856999999999999</v>
      </c>
      <c r="O60" s="75">
        <f t="shared" ref="O60:X60" ca="1" si="30">SUM(O$59,(N$60-N$59)*(1+O$234))</f>
        <v>28.764622287815151</v>
      </c>
      <c r="P60" s="75">
        <f t="shared" ca="1" si="30"/>
        <v>29.983349660853605</v>
      </c>
      <c r="Q60" s="75">
        <f t="shared" ca="1" si="30"/>
        <v>31.28630297498491</v>
      </c>
      <c r="R60" s="75">
        <f t="shared" ca="1" si="30"/>
        <v>32.633479859988839</v>
      </c>
      <c r="S60" s="75">
        <f t="shared" ca="1" si="30"/>
        <v>34.050914133738488</v>
      </c>
      <c r="T60" s="75">
        <f t="shared" ca="1" si="30"/>
        <v>35.529710152110432</v>
      </c>
      <c r="U60" s="75">
        <f t="shared" ca="1" si="30"/>
        <v>37.044579841874423</v>
      </c>
      <c r="V60" s="75">
        <f t="shared" ca="1" si="30"/>
        <v>38.599120623672952</v>
      </c>
      <c r="W60" s="75">
        <f t="shared" ca="1" si="30"/>
        <v>40.201366405939154</v>
      </c>
      <c r="X60" s="75">
        <f t="shared" ca="1" si="30"/>
        <v>41.848231707432937</v>
      </c>
    </row>
    <row r="61" spans="1:24" x14ac:dyDescent="0.2">
      <c r="A61" s="31"/>
      <c r="C61" s="69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2">
      <c r="A62" s="108" t="s">
        <v>525</v>
      </c>
      <c r="C62" s="69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x14ac:dyDescent="0.2">
      <c r="A63" s="31" t="s">
        <v>389</v>
      </c>
      <c r="B63" s="77"/>
      <c r="C63" s="69"/>
      <c r="D63" s="69">
        <f t="shared" ref="D63:X63" si="31">D$162</f>
        <v>0.436</v>
      </c>
      <c r="E63" s="69">
        <f t="shared" si="31"/>
        <v>0.38500000000000001</v>
      </c>
      <c r="F63" s="69">
        <f t="shared" si="31"/>
        <v>0.38300000000000001</v>
      </c>
      <c r="G63" s="69">
        <f t="shared" si="31"/>
        <v>0.433</v>
      </c>
      <c r="H63" s="69">
        <f t="shared" si="31"/>
        <v>0.51800000000000002</v>
      </c>
      <c r="I63" s="69">
        <f t="shared" si="31"/>
        <v>0.53900000000000003</v>
      </c>
      <c r="J63" s="105">
        <f t="shared" si="31"/>
        <v>0.64200000000000002</v>
      </c>
      <c r="K63" s="105">
        <f t="shared" si="31"/>
        <v>0.66500000000000004</v>
      </c>
      <c r="L63" s="105">
        <f t="shared" si="31"/>
        <v>0.69299999999999995</v>
      </c>
      <c r="M63" s="105">
        <f t="shared" si="31"/>
        <v>0.73799999999999999</v>
      </c>
      <c r="N63" s="105">
        <f t="shared" si="31"/>
        <v>0.78600000000000003</v>
      </c>
      <c r="O63" s="73">
        <f t="shared" si="31"/>
        <v>0.78723800850701842</v>
      </c>
      <c r="P63" s="73">
        <f t="shared" si="31"/>
        <v>0.86918722820186856</v>
      </c>
      <c r="Q63" s="73">
        <f t="shared" si="31"/>
        <v>0.98936833548982239</v>
      </c>
      <c r="R63" s="73">
        <f t="shared" si="31"/>
        <v>1.1173121798462347</v>
      </c>
      <c r="S63" s="73">
        <f t="shared" si="31"/>
        <v>1.251666082817567</v>
      </c>
      <c r="T63" s="73">
        <f t="shared" si="31"/>
        <v>1.3924958037944746</v>
      </c>
      <c r="U63" s="73">
        <f t="shared" si="31"/>
        <v>1.5383912915515279</v>
      </c>
      <c r="V63" s="73">
        <f t="shared" si="31"/>
        <v>1.6875963932493525</v>
      </c>
      <c r="W63" s="73">
        <f t="shared" si="31"/>
        <v>1.8391082281230104</v>
      </c>
      <c r="X63" s="73">
        <f t="shared" si="31"/>
        <v>1.9917096961898439</v>
      </c>
    </row>
    <row r="64" spans="1:24" x14ac:dyDescent="0.2">
      <c r="A64" s="31" t="s">
        <v>390</v>
      </c>
      <c r="B64" s="77"/>
      <c r="C64" s="69"/>
      <c r="D64" s="69">
        <f>D$184</f>
        <v>0.36</v>
      </c>
      <c r="E64" s="69">
        <f t="shared" ref="E64:X64" si="32">E$184</f>
        <v>0.40699999999999997</v>
      </c>
      <c r="F64" s="69">
        <f t="shared" si="32"/>
        <v>0.46500000000000002</v>
      </c>
      <c r="G64" s="69">
        <f t="shared" si="32"/>
        <v>0.46300000000000002</v>
      </c>
      <c r="H64" s="69">
        <f t="shared" si="32"/>
        <v>0.48399999999999999</v>
      </c>
      <c r="I64" s="69">
        <f t="shared" si="32"/>
        <v>0.52600000000000002</v>
      </c>
      <c r="J64" s="105">
        <f t="shared" si="32"/>
        <v>0.60299999999999998</v>
      </c>
      <c r="K64" s="105">
        <f t="shared" si="32"/>
        <v>0.63700000000000001</v>
      </c>
      <c r="L64" s="105">
        <f t="shared" si="32"/>
        <v>0.67100000000000004</v>
      </c>
      <c r="M64" s="105">
        <f t="shared" si="32"/>
        <v>0.70599999999999996</v>
      </c>
      <c r="N64" s="105">
        <f t="shared" si="32"/>
        <v>0.74299999999999999</v>
      </c>
      <c r="O64" s="73">
        <f t="shared" si="32"/>
        <v>0.7616332288401253</v>
      </c>
      <c r="P64" s="73">
        <f t="shared" si="32"/>
        <v>0.7802664576802506</v>
      </c>
      <c r="Q64" s="73">
        <f t="shared" si="32"/>
        <v>0.80006426332288394</v>
      </c>
      <c r="R64" s="73">
        <f t="shared" si="32"/>
        <v>0.82102664576802498</v>
      </c>
      <c r="S64" s="73">
        <f t="shared" si="32"/>
        <v>0.84315360501567393</v>
      </c>
      <c r="T64" s="73">
        <f t="shared" si="32"/>
        <v>0.86760971786833851</v>
      </c>
      <c r="U64" s="73">
        <f t="shared" si="32"/>
        <v>0.89323040752351091</v>
      </c>
      <c r="V64" s="73">
        <f t="shared" si="32"/>
        <v>0.92118025078369903</v>
      </c>
      <c r="W64" s="73">
        <f t="shared" si="32"/>
        <v>0.95145924764890288</v>
      </c>
      <c r="X64" s="73">
        <f t="shared" si="32"/>
        <v>0.98406739811912236</v>
      </c>
    </row>
    <row r="65" spans="1:24" x14ac:dyDescent="0.2">
      <c r="A65" s="31" t="s">
        <v>650</v>
      </c>
      <c r="B65" s="77"/>
      <c r="C65" s="69"/>
      <c r="D65" s="176">
        <f t="shared" ref="D65:N65" si="33">D$66-SUM(D$63:D$64)</f>
        <v>1.784</v>
      </c>
      <c r="E65" s="176">
        <f t="shared" si="33"/>
        <v>1.5519999999999998</v>
      </c>
      <c r="F65" s="176">
        <f t="shared" si="33"/>
        <v>1.024</v>
      </c>
      <c r="G65" s="176">
        <f t="shared" si="33"/>
        <v>1.2389999999999999</v>
      </c>
      <c r="H65" s="176">
        <f t="shared" si="33"/>
        <v>1.167</v>
      </c>
      <c r="I65" s="176">
        <f t="shared" si="33"/>
        <v>0.73</v>
      </c>
      <c r="J65" s="130">
        <f t="shared" si="33"/>
        <v>1.016</v>
      </c>
      <c r="K65" s="130">
        <f t="shared" si="33"/>
        <v>1.2839999999999998</v>
      </c>
      <c r="L65" s="130">
        <f t="shared" si="33"/>
        <v>1.4690000000000003</v>
      </c>
      <c r="M65" s="130">
        <f t="shared" si="33"/>
        <v>1.444</v>
      </c>
      <c r="N65" s="130">
        <f t="shared" si="33"/>
        <v>1.6219999999999999</v>
      </c>
      <c r="O65" s="387">
        <f t="shared" ref="O65:V65" ca="1" si="34">N$65*SUM(O$150,O$151,O$153)/SUM(N$150,N$151,N$153)</f>
        <v>1.654686379746835</v>
      </c>
      <c r="P65" s="387">
        <f t="shared" ca="1" si="34"/>
        <v>1.687780107341772</v>
      </c>
      <c r="Q65" s="387">
        <f t="shared" ca="1" si="34"/>
        <v>1.7215357094886072</v>
      </c>
      <c r="R65" s="387">
        <f t="shared" ca="1" si="34"/>
        <v>1.7559664236783794</v>
      </c>
      <c r="S65" s="387">
        <f t="shared" ca="1" si="34"/>
        <v>1.791085752151947</v>
      </c>
      <c r="T65" s="387">
        <f t="shared" ca="1" si="34"/>
        <v>1.8269074671949861</v>
      </c>
      <c r="U65" s="387">
        <f t="shared" ca="1" si="34"/>
        <v>1.8634456165388857</v>
      </c>
      <c r="V65" s="387">
        <f t="shared" ca="1" si="34"/>
        <v>1.9007145288696639</v>
      </c>
      <c r="W65" s="387">
        <f ca="1">V$65*SUM(W$150,W$151,W$153)/SUM(V$150,V$151,V$153)</f>
        <v>1.9387288194470567</v>
      </c>
      <c r="X65" s="387">
        <f ca="1">W$65*SUM(X$150,X$151,X$153)/SUM(W$150,W$151,W$153)</f>
        <v>1.977503395835998</v>
      </c>
    </row>
    <row r="66" spans="1:24" x14ac:dyDescent="0.2">
      <c r="A66" s="27" t="s">
        <v>393</v>
      </c>
      <c r="B66" s="233"/>
      <c r="C66" s="69"/>
      <c r="D66" s="71">
        <f>Data!C$103</f>
        <v>2.58</v>
      </c>
      <c r="E66" s="71">
        <f>Data!D$103</f>
        <v>2.3439999999999999</v>
      </c>
      <c r="F66" s="71">
        <f>Data!E$103</f>
        <v>1.8720000000000001</v>
      </c>
      <c r="G66" s="71">
        <f>Data!F$103</f>
        <v>2.1349999999999998</v>
      </c>
      <c r="H66" s="71">
        <f>Data!G$103</f>
        <v>2.169</v>
      </c>
      <c r="I66" s="71">
        <f>Data!H$103</f>
        <v>1.7949999999999999</v>
      </c>
      <c r="J66" s="131">
        <f>Data!I$103</f>
        <v>2.2610000000000001</v>
      </c>
      <c r="K66" s="131">
        <f>Data!J$103</f>
        <v>2.5859999999999999</v>
      </c>
      <c r="L66" s="131">
        <f>Data!K$103</f>
        <v>2.8330000000000002</v>
      </c>
      <c r="M66" s="131">
        <f>Data!L$103</f>
        <v>2.8879999999999999</v>
      </c>
      <c r="N66" s="131">
        <f>Data!M$103</f>
        <v>3.1509999999999998</v>
      </c>
      <c r="O66" s="75">
        <f t="shared" ref="O66:X66" ca="1" si="35">SUM(O$63:O$65)</f>
        <v>3.2035576170939786</v>
      </c>
      <c r="P66" s="75">
        <f t="shared" ca="1" si="35"/>
        <v>3.3372337932238914</v>
      </c>
      <c r="Q66" s="75">
        <f t="shared" ca="1" si="35"/>
        <v>3.5109683083013135</v>
      </c>
      <c r="R66" s="75">
        <f t="shared" ca="1" si="35"/>
        <v>3.6943052492926389</v>
      </c>
      <c r="S66" s="75">
        <f t="shared" ca="1" si="35"/>
        <v>3.885905439985188</v>
      </c>
      <c r="T66" s="75">
        <f t="shared" ca="1" si="35"/>
        <v>4.0870129888577988</v>
      </c>
      <c r="U66" s="75">
        <f t="shared" ca="1" si="35"/>
        <v>4.2950673156139239</v>
      </c>
      <c r="V66" s="75">
        <f t="shared" ca="1" si="35"/>
        <v>4.509491172902715</v>
      </c>
      <c r="W66" s="75">
        <f t="shared" ca="1" si="35"/>
        <v>4.7292962952189699</v>
      </c>
      <c r="X66" s="75">
        <f t="shared" ca="1" si="35"/>
        <v>4.9532804901449641</v>
      </c>
    </row>
    <row r="67" spans="1:24" x14ac:dyDescent="0.2">
      <c r="A67" s="31" t="s">
        <v>651</v>
      </c>
      <c r="B67" s="233"/>
      <c r="C67" s="69"/>
      <c r="D67" s="176">
        <f>SUM(Data!C$135:C$136)-Data!C$137</f>
        <v>0.41500000000000004</v>
      </c>
      <c r="E67" s="176">
        <f>SUM(Data!D$135:D$136)-Data!D$137</f>
        <v>0.87000000000000011</v>
      </c>
      <c r="F67" s="176">
        <f>SUM(Data!E$135:E$136)-Data!E$137</f>
        <v>1.125</v>
      </c>
      <c r="G67" s="176">
        <f>SUM(Data!F$135:F$136)-Data!F$137</f>
        <v>0.17999999999999972</v>
      </c>
      <c r="H67" s="176">
        <f>SUM(Data!G$135:G$136)-Data!G$137</f>
        <v>0.40100000000000025</v>
      </c>
      <c r="I67" s="176">
        <f>SUM(Data!H$135:H$136)-Data!H$137</f>
        <v>0.96800000000000019</v>
      </c>
      <c r="J67" s="130">
        <f>SUM(Data!I$135:I$136)-Data!I$137</f>
        <v>0.95000000000000018</v>
      </c>
      <c r="K67" s="130">
        <f>SUM(Data!J$135:J$136)-Data!J$137</f>
        <v>1.1239999999999999</v>
      </c>
      <c r="L67" s="130">
        <f>SUM(Data!K$135:K$136)-Data!K$137</f>
        <v>1.4320000000000004</v>
      </c>
      <c r="M67" s="130">
        <f>SUM(Data!L$135:L$136)-Data!L$137</f>
        <v>1.6019999999999999</v>
      </c>
      <c r="N67" s="130">
        <f>SUM(Data!M$135:M$136)-Data!M$137</f>
        <v>1.8849999999999998</v>
      </c>
      <c r="O67" s="81">
        <f t="shared" ref="O67:X67" ca="1" si="36">N$67*SUM(O$155,O$156)/SUM(N$155,N$156)</f>
        <v>1.9691326223718537</v>
      </c>
      <c r="P67" s="81">
        <f t="shared" ca="1" si="36"/>
        <v>2.0577291047209689</v>
      </c>
      <c r="Q67" s="81">
        <f t="shared" ca="1" si="36"/>
        <v>2.1526753165546184</v>
      </c>
      <c r="R67" s="81">
        <f t="shared" ca="1" si="36"/>
        <v>2.250909784787738</v>
      </c>
      <c r="S67" s="81">
        <f t="shared" ca="1" si="36"/>
        <v>2.3544218500430993</v>
      </c>
      <c r="T67" s="81">
        <f t="shared" ca="1" si="36"/>
        <v>2.4625291968345544</v>
      </c>
      <c r="U67" s="81">
        <f t="shared" ca="1" si="36"/>
        <v>2.5732956782137517</v>
      </c>
      <c r="V67" s="81">
        <f t="shared" ca="1" si="36"/>
        <v>2.6869944468663438</v>
      </c>
      <c r="W67" s="81">
        <f t="shared" ca="1" si="36"/>
        <v>2.804237945138599</v>
      </c>
      <c r="X67" s="81">
        <f t="shared" ca="1" si="36"/>
        <v>2.9247880957967727</v>
      </c>
    </row>
    <row r="68" spans="1:24" x14ac:dyDescent="0.2">
      <c r="A68" s="27" t="s">
        <v>337</v>
      </c>
      <c r="B68" s="77"/>
      <c r="C68" s="69"/>
      <c r="D68" s="71">
        <f t="shared" ref="D68:X68" si="37">SUM(D$66,D$67)</f>
        <v>2.9950000000000001</v>
      </c>
      <c r="E68" s="71">
        <f t="shared" si="37"/>
        <v>3.214</v>
      </c>
      <c r="F68" s="71">
        <f t="shared" si="37"/>
        <v>2.9969999999999999</v>
      </c>
      <c r="G68" s="71">
        <f t="shared" si="37"/>
        <v>2.3149999999999995</v>
      </c>
      <c r="H68" s="71">
        <f t="shared" si="37"/>
        <v>2.5700000000000003</v>
      </c>
      <c r="I68" s="71">
        <f t="shared" si="37"/>
        <v>2.7629999999999999</v>
      </c>
      <c r="J68" s="131">
        <f t="shared" si="37"/>
        <v>3.2110000000000003</v>
      </c>
      <c r="K68" s="131">
        <f t="shared" si="37"/>
        <v>3.71</v>
      </c>
      <c r="L68" s="131">
        <f t="shared" si="37"/>
        <v>4.2650000000000006</v>
      </c>
      <c r="M68" s="131">
        <f t="shared" si="37"/>
        <v>4.49</v>
      </c>
      <c r="N68" s="131">
        <f t="shared" si="37"/>
        <v>5.0359999999999996</v>
      </c>
      <c r="O68" s="75">
        <f t="shared" ca="1" si="37"/>
        <v>5.1726902394658323</v>
      </c>
      <c r="P68" s="75">
        <f t="shared" ca="1" si="37"/>
        <v>5.3949628979448603</v>
      </c>
      <c r="Q68" s="75">
        <f t="shared" ca="1" si="37"/>
        <v>5.6636436248559319</v>
      </c>
      <c r="R68" s="75">
        <f t="shared" ca="1" si="37"/>
        <v>5.9452150340803769</v>
      </c>
      <c r="S68" s="75">
        <f t="shared" ca="1" si="37"/>
        <v>6.2403272900282873</v>
      </c>
      <c r="T68" s="75">
        <f t="shared" ca="1" si="37"/>
        <v>6.5495421856923528</v>
      </c>
      <c r="U68" s="75">
        <f t="shared" ca="1" si="37"/>
        <v>6.8683629938276756</v>
      </c>
      <c r="V68" s="75">
        <f t="shared" ca="1" si="37"/>
        <v>7.1964856197690583</v>
      </c>
      <c r="W68" s="75">
        <f t="shared" ca="1" si="37"/>
        <v>7.5335342403575689</v>
      </c>
      <c r="X68" s="75">
        <f t="shared" ca="1" si="37"/>
        <v>7.8780685859417368</v>
      </c>
    </row>
    <row r="69" spans="1:24" x14ac:dyDescent="0.2">
      <c r="A69" s="155" t="s">
        <v>1038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x14ac:dyDescent="0.2">
      <c r="A70" s="108" t="s">
        <v>595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x14ac:dyDescent="0.2">
      <c r="A71" s="31" t="s">
        <v>250</v>
      </c>
      <c r="B71" s="233"/>
      <c r="C71" s="69"/>
      <c r="D71" s="69">
        <f>Data!C$140</f>
        <v>6.81</v>
      </c>
      <c r="E71" s="69">
        <f>Data!D$140</f>
        <v>7.3479999999999999</v>
      </c>
      <c r="F71" s="69">
        <f>Data!E$140</f>
        <v>7.7439999999999998</v>
      </c>
      <c r="G71" s="69">
        <f>Data!F$140</f>
        <v>8.2899999999999991</v>
      </c>
      <c r="H71" s="69">
        <f>Data!G$140</f>
        <v>8.83</v>
      </c>
      <c r="I71" s="69">
        <f>Data!H$140</f>
        <v>9.5839999999999996</v>
      </c>
      <c r="J71" s="125">
        <f>Data!I$140</f>
        <v>10.228</v>
      </c>
      <c r="K71" s="125">
        <f>Data!J$140</f>
        <v>10.85</v>
      </c>
      <c r="L71" s="125">
        <f>Data!K$140</f>
        <v>11.414999999999999</v>
      </c>
      <c r="M71" s="125">
        <f>Data!L$140</f>
        <v>12.073</v>
      </c>
      <c r="N71" s="125">
        <f>Data!M$140</f>
        <v>12.686</v>
      </c>
      <c r="O71" s="73">
        <f ca="1">N$71*(1+Popn!O$199)*(3*N$89/M$89+O$89/N$89)/4</f>
        <v>13.388983493270896</v>
      </c>
      <c r="P71" s="73">
        <f ca="1">O$71*(1+Popn!P$199)*(3*O$89/N$89+P$89/O$89)/4</f>
        <v>14.122883713202722</v>
      </c>
      <c r="Q71" s="73">
        <f ca="1">P$71*(1+Popn!Q$199)*(3*P$89/O$89+Q$89/P$89)/4</f>
        <v>14.932410003696919</v>
      </c>
      <c r="R71" s="73">
        <f ca="1">Q$71*(1+Popn!R$199)*(3*Q$89/P$89+R$89/Q$89)/4</f>
        <v>15.925811563567496</v>
      </c>
      <c r="S71" s="73">
        <f ca="1">R$71*(1+Popn!S$199)*(3*R$89/Q$89+S$89/R$89)/4</f>
        <v>16.97993915852814</v>
      </c>
      <c r="T71" s="73">
        <f ca="1">S$71*(1+Popn!T$199)*(3*S$89/R$89+T$89/S$89)/4</f>
        <v>18.102533871034808</v>
      </c>
      <c r="U71" s="73">
        <f ca="1">T$71*(1+Popn!U$199)*(3*T$89/S$89+U$89/T$89)/4</f>
        <v>19.363808932351414</v>
      </c>
      <c r="V71" s="73">
        <f ca="1">U$71*(1+Popn!V$199)*(3*U$89/T$89+V$89/U$89)/4</f>
        <v>20.694888796292297</v>
      </c>
      <c r="W71" s="73">
        <f ca="1">V$71*(1+Popn!W$199)*(3*V$89/U$89+W$89/V$89)/4</f>
        <v>22.133350503618651</v>
      </c>
      <c r="X71" s="73">
        <f ca="1">W$71*(1+Popn!X$199)*(3*W$89/V$89+X$89/W$89)/4</f>
        <v>23.654688760612693</v>
      </c>
    </row>
    <row r="72" spans="1:24" x14ac:dyDescent="0.2">
      <c r="A72" s="31" t="s">
        <v>220</v>
      </c>
      <c r="B72" s="233"/>
      <c r="C72" s="69"/>
      <c r="D72" s="69">
        <f>Data!C$142</f>
        <v>0.61299999999999999</v>
      </c>
      <c r="E72" s="69">
        <f>Data!D$142</f>
        <v>0.45800000000000002</v>
      </c>
      <c r="F72" s="69">
        <f>Data!E$142</f>
        <v>0.58599999999999997</v>
      </c>
      <c r="G72" s="69">
        <f>Data!F$142</f>
        <v>0.93</v>
      </c>
      <c r="H72" s="69">
        <f>Data!G$142</f>
        <v>0.94299999999999995</v>
      </c>
      <c r="I72" s="69">
        <f>Data!H$142</f>
        <v>0.88300000000000001</v>
      </c>
      <c r="J72" s="125">
        <f>Data!I$142</f>
        <v>0.83599999999999997</v>
      </c>
      <c r="K72" s="125">
        <f>Data!J$142</f>
        <v>0.83899999999999997</v>
      </c>
      <c r="L72" s="125">
        <f>Data!K$142</f>
        <v>0.81399999999999995</v>
      </c>
      <c r="M72" s="125">
        <f>Data!L$142</f>
        <v>0.80400000000000005</v>
      </c>
      <c r="N72" s="125">
        <f>Data!M$142</f>
        <v>0.78300000000000003</v>
      </c>
      <c r="O72" s="73">
        <f t="shared" ref="O72:X72" ca="1" si="38">N$72*(1+O$236)*(O$240*O$243)/(N$240*N$243)</f>
        <v>0.79215694685423699</v>
      </c>
      <c r="P72" s="73">
        <f t="shared" ca="1" si="38"/>
        <v>0.80051696952627394</v>
      </c>
      <c r="Q72" s="73">
        <f t="shared" ca="1" si="38"/>
        <v>0.80804894775415104</v>
      </c>
      <c r="R72" s="73">
        <f t="shared" ca="1" si="38"/>
        <v>0.81491064920900358</v>
      </c>
      <c r="S72" s="73">
        <f t="shared" ca="1" si="38"/>
        <v>0.82124695374582002</v>
      </c>
      <c r="T72" s="73">
        <f t="shared" ca="1" si="38"/>
        <v>0.82719527807503601</v>
      </c>
      <c r="U72" s="73">
        <f t="shared" ca="1" si="38"/>
        <v>0.8418291982969146</v>
      </c>
      <c r="V72" s="73">
        <f t="shared" ca="1" si="38"/>
        <v>0.8660341563641637</v>
      </c>
      <c r="W72" s="73">
        <f t="shared" ca="1" si="38"/>
        <v>0.89046544559894192</v>
      </c>
      <c r="X72" s="73">
        <f t="shared" ca="1" si="38"/>
        <v>0.91501997307981009</v>
      </c>
    </row>
    <row r="73" spans="1:24" x14ac:dyDescent="0.2">
      <c r="A73" s="31" t="s">
        <v>910</v>
      </c>
      <c r="B73" s="233"/>
      <c r="C73" s="69"/>
      <c r="D73" s="69">
        <f>Data!C$141</f>
        <v>1.468</v>
      </c>
      <c r="E73" s="69">
        <f>Data!D$141</f>
        <v>1.478</v>
      </c>
      <c r="F73" s="69">
        <f>Data!E$141</f>
        <v>1.53</v>
      </c>
      <c r="G73" s="69">
        <f>Data!F$141</f>
        <v>1.6930000000000001</v>
      </c>
      <c r="H73" s="69">
        <f>Data!G$141</f>
        <v>1.7569999999999999</v>
      </c>
      <c r="I73" s="69">
        <f>Data!H$141</f>
        <v>1.8109999999999999</v>
      </c>
      <c r="J73" s="125">
        <f>Data!I$141</f>
        <v>1.7509999999999999</v>
      </c>
      <c r="K73" s="125">
        <f>Data!J$141</f>
        <v>1.762</v>
      </c>
      <c r="L73" s="125">
        <f>Data!K$141</f>
        <v>1.776</v>
      </c>
      <c r="M73" s="125">
        <f>Data!L$141</f>
        <v>1.8109999999999999</v>
      </c>
      <c r="N73" s="125">
        <f>Data!M$141</f>
        <v>1.84</v>
      </c>
      <c r="O73" s="73">
        <f ca="1">N$73*(1+O$236)*(1+SUMPRODUCT(Popn!O$202:O$212,Tracks!$B$86:$B$96)+SUMPRODUCT(Popn!O$213:O$223,Tracks!$C$86:$C$96))</f>
        <v>1.8842596487696504</v>
      </c>
      <c r="P73" s="73">
        <f ca="1">O$73*(1+P$236)*(1+SUMPRODUCT(Popn!P$202:P$212,Tracks!$B$86:$B$96)+SUMPRODUCT(Popn!P$213:P$223,Tracks!$C$86:$C$96))</f>
        <v>1.9276503863767134</v>
      </c>
      <c r="Q73" s="73">
        <f ca="1">P$73*(1+Q$236)*(1+SUMPRODUCT(Popn!Q$202:Q$212,Tracks!$B$86:$B$96)+SUMPRODUCT(Popn!Q$213:Q$223,Tracks!$C$86:$C$96))</f>
        <v>1.9734679749782085</v>
      </c>
      <c r="R73" s="73">
        <f ca="1">Q$73*(1+R$236)*(1+SUMPRODUCT(Popn!R$202:R$212,Tracks!$B$86:$B$96)+SUMPRODUCT(Popn!R$213:R$223,Tracks!$C$86:$C$96))</f>
        <v>2.0187126036351986</v>
      </c>
      <c r="S73" s="73">
        <f ca="1">R$73*(1+S$236)*(1+SUMPRODUCT(Popn!S$202:S$212,Tracks!$B$86:$B$96)+SUMPRODUCT(Popn!S$213:S$223,Tracks!$C$86:$C$96))</f>
        <v>2.0639427298599733</v>
      </c>
      <c r="T73" s="73">
        <f ca="1">S$73*(1+T$236)*(1+SUMPRODUCT(Popn!T$202:T$212,Tracks!$B$86:$B$96)+SUMPRODUCT(Popn!T$213:T$223,Tracks!$C$86:$C$96))</f>
        <v>2.1101683817768522</v>
      </c>
      <c r="U73" s="73">
        <f ca="1">T$73*(1+U$236)*(1+SUMPRODUCT(Popn!U$202:U$212,Tracks!$B$86:$B$96)+SUMPRODUCT(Popn!U$213:U$223,Tracks!$C$86:$C$96))</f>
        <v>2.1592289148461514</v>
      </c>
      <c r="V73" s="73">
        <f ca="1">U$73*(1+V$236)*(1+SUMPRODUCT(Popn!V$202:V$212,Tracks!$B$86:$B$96)+SUMPRODUCT(Popn!V$213:V$223,Tracks!$C$86:$C$96))</f>
        <v>2.2098333877352214</v>
      </c>
      <c r="W73" s="73">
        <f ca="1">V$73*(1+W$236)*(1+SUMPRODUCT(Popn!W$202:W$212,Tracks!$B$86:$B$96)+SUMPRODUCT(Popn!W$213:W$223,Tracks!$C$86:$C$96))</f>
        <v>2.263536610267356</v>
      </c>
      <c r="X73" s="73">
        <f ca="1">W$73*(1+X$236)*(1+SUMPRODUCT(Popn!X$202:X$212,Tracks!$B$86:$B$96)+SUMPRODUCT(Popn!X$213:X$223,Tracks!$C$86:$C$96))</f>
        <v>2.3198477316714006</v>
      </c>
    </row>
    <row r="74" spans="1:24" x14ac:dyDescent="0.2">
      <c r="A74" s="31" t="s">
        <v>532</v>
      </c>
      <c r="B74" s="233"/>
      <c r="C74" s="69"/>
      <c r="D74" s="69">
        <f>Data!C$144</f>
        <v>0.57299999999999995</v>
      </c>
      <c r="E74" s="69">
        <f>Data!D$144</f>
        <v>0.58199999999999996</v>
      </c>
      <c r="F74" s="69">
        <f>Data!E$144</f>
        <v>0.61299999999999999</v>
      </c>
      <c r="G74" s="69">
        <f>Data!F$144</f>
        <v>0.71</v>
      </c>
      <c r="H74" s="69">
        <f>Data!G$144</f>
        <v>0.74299999999999999</v>
      </c>
      <c r="I74" s="69">
        <f>Data!H$144</f>
        <v>0.77500000000000002</v>
      </c>
      <c r="J74" s="125">
        <f>Data!I$144</f>
        <v>0.78400000000000003</v>
      </c>
      <c r="K74" s="125">
        <f>Data!J$144</f>
        <v>0.80900000000000005</v>
      </c>
      <c r="L74" s="125">
        <f>Data!K$144</f>
        <v>0.84499999999999997</v>
      </c>
      <c r="M74" s="125">
        <f>Data!L$144</f>
        <v>0.86799999999999999</v>
      </c>
      <c r="N74" s="125">
        <f>Data!M$144</f>
        <v>0.878</v>
      </c>
      <c r="O74" s="73">
        <f ca="1">N$74*(1+O$236)*(1+SUMPRODUCT(Popn!O$202:O$212,Tracks!$F$86:$F$96)+SUMPRODUCT(Popn!O$213:O$223,Tracks!$G$86:$G$96))</f>
        <v>0.90052617697407544</v>
      </c>
      <c r="P74" s="73">
        <f ca="1">O$74*(1+P$236)*(1+SUMPRODUCT(Popn!P$202:P$212,Tracks!$F$86:$F$96)+SUMPRODUCT(Popn!P$213:P$223,Tracks!$G$86:$G$96))</f>
        <v>0.9225881778705487</v>
      </c>
      <c r="Q74" s="73">
        <f ca="1">P$74*(1+Q$236)*(1+SUMPRODUCT(Popn!Q$202:Q$212,Tracks!$F$86:$F$96)+SUMPRODUCT(Popn!Q$213:Q$223,Tracks!$G$86:$G$96))</f>
        <v>0.94429313053908193</v>
      </c>
      <c r="R74" s="73">
        <f ca="1">Q$74*(1+R$236)*(1+SUMPRODUCT(Popn!R$202:R$212,Tracks!$F$86:$F$96)+SUMPRODUCT(Popn!R$213:R$223,Tracks!$G$86:$G$96))</f>
        <v>0.96579468971704419</v>
      </c>
      <c r="S74" s="73">
        <f ca="1">R$74*(1+S$236)*(1+SUMPRODUCT(Popn!S$202:S$212,Tracks!$F$86:$F$96)+SUMPRODUCT(Popn!S$213:S$223,Tracks!$G$86:$G$96))</f>
        <v>0.98773449049757012</v>
      </c>
      <c r="T74" s="73">
        <f ca="1">S$74*(1+T$236)*(1+SUMPRODUCT(Popn!T$202:T$212,Tracks!$F$86:$F$96)+SUMPRODUCT(Popn!T$213:T$223,Tracks!$G$86:$G$96))</f>
        <v>1.0099080197505672</v>
      </c>
      <c r="U74" s="73">
        <f ca="1">T$74*(1+U$236)*(1+SUMPRODUCT(Popn!U$202:U$212,Tracks!$F$86:$F$96)+SUMPRODUCT(Popn!U$213:U$223,Tracks!$G$86:$G$96))</f>
        <v>1.0323380321703943</v>
      </c>
      <c r="V74" s="73">
        <f ca="1">U$74*(1+V$236)*(1+SUMPRODUCT(Popn!V$202:V$212,Tracks!$F$86:$F$96)+SUMPRODUCT(Popn!V$213:V$223,Tracks!$G$86:$G$96))</f>
        <v>1.0556128647719691</v>
      </c>
      <c r="W74" s="73">
        <f ca="1">V$74*(1+W$236)*(1+SUMPRODUCT(Popn!W$202:W$212,Tracks!$F$86:$F$96)+SUMPRODUCT(Popn!W$213:W$223,Tracks!$G$86:$G$96))</f>
        <v>1.0795355563796472</v>
      </c>
      <c r="X74" s="73">
        <f ca="1">W$74*(1+X$236)*(1+SUMPRODUCT(Popn!X$202:X$212,Tracks!$F$86:$F$96)+SUMPRODUCT(Popn!X$213:X$223,Tracks!$G$86:$G$96))</f>
        <v>1.1038430814118929</v>
      </c>
    </row>
    <row r="75" spans="1:24" x14ac:dyDescent="0.2">
      <c r="A75" s="31" t="s">
        <v>911</v>
      </c>
      <c r="B75" s="233"/>
      <c r="C75" s="69"/>
      <c r="D75" s="69">
        <f>Data!C$143</f>
        <v>1.1319999999999999</v>
      </c>
      <c r="E75" s="69">
        <f>Data!D$143</f>
        <v>1.216</v>
      </c>
      <c r="F75" s="69">
        <f>Data!E$143</f>
        <v>1.26</v>
      </c>
      <c r="G75" s="69">
        <f>Data!F$143</f>
        <v>1.3029999999999999</v>
      </c>
      <c r="H75" s="69">
        <f>Data!G$143</f>
        <v>1.306</v>
      </c>
      <c r="I75" s="69">
        <f>Data!H$143</f>
        <v>1.325</v>
      </c>
      <c r="J75" s="125">
        <f>Data!I$143</f>
        <v>1.323</v>
      </c>
      <c r="K75" s="125">
        <f>Data!J$143</f>
        <v>1.3049999999999999</v>
      </c>
      <c r="L75" s="125">
        <f>Data!K$143</f>
        <v>1.2769999999999999</v>
      </c>
      <c r="M75" s="125">
        <f>Data!L$143</f>
        <v>1.2729999999999999</v>
      </c>
      <c r="N75" s="125">
        <f>Data!M$143</f>
        <v>1.274</v>
      </c>
      <c r="O75" s="73">
        <f ca="1">N$75*(1+O$236)*(1+SUMPRODUCT(Popn!O$202:O$212,Tracks!$D$86:$D$96)+SUMPRODUCT(Popn!O$213:O$223,Tracks!$E$86:$E$96))</f>
        <v>1.3096685148845615</v>
      </c>
      <c r="P75" s="73">
        <f ca="1">O$75*(1+P$236)*(1+SUMPRODUCT(Popn!P$202:P$212,Tracks!$D$86:$D$96)+SUMPRODUCT(Popn!P$213:P$223,Tracks!$E$86:$E$96))</f>
        <v>1.3448435984563398</v>
      </c>
      <c r="Q75" s="73">
        <f ca="1">P$75*(1+Q$236)*(1+SUMPRODUCT(Popn!Q$202:Q$212,Tracks!$D$86:$D$96)+SUMPRODUCT(Popn!Q$213:Q$223,Tracks!$E$86:$E$96))</f>
        <v>1.3788131320042003</v>
      </c>
      <c r="R75" s="73">
        <f ca="1">Q$75*(1+R$236)*(1+SUMPRODUCT(Popn!R$202:R$212,Tracks!$D$86:$D$96)+SUMPRODUCT(Popn!R$213:R$223,Tracks!$E$86:$E$96))</f>
        <v>1.4127954474151945</v>
      </c>
      <c r="S75" s="73">
        <f ca="1">R$75*(1+S$236)*(1+SUMPRODUCT(Popn!S$202:S$212,Tracks!$D$86:$D$96)+SUMPRODUCT(Popn!S$213:S$223,Tracks!$E$86:$E$96))</f>
        <v>1.4475232155515059</v>
      </c>
      <c r="T75" s="73">
        <f ca="1">S$75*(1+T$236)*(1+SUMPRODUCT(Popn!T$202:T$212,Tracks!$D$86:$D$96)+SUMPRODUCT(Popn!T$213:T$223,Tracks!$E$86:$E$96))</f>
        <v>1.4821378284697058</v>
      </c>
      <c r="U75" s="73">
        <f ca="1">T$75*(1+U$236)*(1+SUMPRODUCT(Popn!U$202:U$212,Tracks!$D$86:$D$96)+SUMPRODUCT(Popn!U$213:U$223,Tracks!$E$86:$E$96))</f>
        <v>1.5154173499042023</v>
      </c>
      <c r="V75" s="73">
        <f ca="1">U$75*(1+V$236)*(1+SUMPRODUCT(Popn!V$202:V$212,Tracks!$D$86:$D$96)+SUMPRODUCT(Popn!V$213:V$223,Tracks!$E$86:$E$96))</f>
        <v>1.549461091019261</v>
      </c>
      <c r="W75" s="73">
        <f ca="1">V$75*(1+W$236)*(1+SUMPRODUCT(Popn!W$202:W$212,Tracks!$D$86:$D$96)+SUMPRODUCT(Popn!W$213:W$223,Tracks!$E$86:$E$96))</f>
        <v>1.583058264925721</v>
      </c>
      <c r="X75" s="73">
        <f ca="1">W$75*(1+X$236)*(1+SUMPRODUCT(Popn!X$202:X$212,Tracks!$D$86:$D$96)+SUMPRODUCT(Popn!X$213:X$223,Tracks!$E$86:$E$96))</f>
        <v>1.6155798282433029</v>
      </c>
    </row>
    <row r="76" spans="1:24" x14ac:dyDescent="0.2">
      <c r="A76" s="31" t="s">
        <v>919</v>
      </c>
      <c r="B76" s="233"/>
      <c r="C76" s="69"/>
      <c r="D76" s="69">
        <f>Data!C$145</f>
        <v>1.6990000000000001</v>
      </c>
      <c r="E76" s="69">
        <f>Data!D$145</f>
        <v>1.897</v>
      </c>
      <c r="F76" s="69">
        <f>Data!E$145</f>
        <v>2.0619999999999998</v>
      </c>
      <c r="G76" s="69">
        <f>Data!F$145</f>
        <v>2.1680000000000001</v>
      </c>
      <c r="H76" s="69">
        <f>Data!G$145</f>
        <v>2.1389999999999998</v>
      </c>
      <c r="I76" s="69">
        <f>Data!H$145</f>
        <v>2.0819999999999999</v>
      </c>
      <c r="J76" s="125">
        <f>Data!I$145</f>
        <v>2.0619999999999998</v>
      </c>
      <c r="K76" s="125">
        <f>Data!J$145</f>
        <v>2.0369999999999999</v>
      </c>
      <c r="L76" s="125">
        <f>Data!K$145</f>
        <v>1.9930000000000001</v>
      </c>
      <c r="M76" s="125">
        <f>Data!L$145</f>
        <v>1.9610000000000001</v>
      </c>
      <c r="N76" s="125">
        <f>Data!M$145</f>
        <v>1.976</v>
      </c>
      <c r="O76" s="73">
        <f ca="1">N$76*(1+O$236)*(1+Popn!O$200)</f>
        <v>2.0220593751476179</v>
      </c>
      <c r="P76" s="73">
        <f ca="1">O$76*(1+P$236)*(1+Popn!P$200)</f>
        <v>2.0664168750898697</v>
      </c>
      <c r="Q76" s="73">
        <f ca="1">P$76*(1+Q$236)*(1+Popn!Q$200)</f>
        <v>2.1147728176910774</v>
      </c>
      <c r="R76" s="73">
        <f ca="1">Q$76*(1+R$236)*(1+Popn!R$200)</f>
        <v>2.1691975505725276</v>
      </c>
      <c r="S76" s="73">
        <f ca="1">R$76*(1+S$236)*(1+Popn!S$200)</f>
        <v>2.2248186777410592</v>
      </c>
      <c r="T76" s="73">
        <f ca="1">S$76*(1+T$236)*(1+Popn!T$200)</f>
        <v>2.2789905016140408</v>
      </c>
      <c r="U76" s="73">
        <f ca="1">T$76*(1+U$236)*(1+Popn!U$200)</f>
        <v>2.3356803977013127</v>
      </c>
      <c r="V76" s="73">
        <f ca="1">U$76*(1+V$236)*(1+Popn!V$200)</f>
        <v>2.391153557828209</v>
      </c>
      <c r="W76" s="73">
        <f ca="1">V$76*(1+W$236)*(1+Popn!W$200)</f>
        <v>2.4427254722923233</v>
      </c>
      <c r="X76" s="73">
        <f ca="1">W$76*(1+X$236)*(1+Popn!X$200)</f>
        <v>2.4910488956029333</v>
      </c>
    </row>
    <row r="77" spans="1:24" x14ac:dyDescent="0.2">
      <c r="A77" s="31" t="s">
        <v>918</v>
      </c>
      <c r="B77" s="233"/>
      <c r="C77" s="69"/>
      <c r="D77" s="69">
        <f>Data!C$146</f>
        <v>0.877</v>
      </c>
      <c r="E77" s="69">
        <f>Data!D$146</f>
        <v>0.89100000000000001</v>
      </c>
      <c r="F77" s="69">
        <f>Data!E$146</f>
        <v>0.98899999999999999</v>
      </c>
      <c r="G77" s="69">
        <f>Data!F$146</f>
        <v>1.1539999999999999</v>
      </c>
      <c r="H77" s="69">
        <f>Data!G$146</f>
        <v>1.1970000000000001</v>
      </c>
      <c r="I77" s="69">
        <f>Data!H$146</f>
        <v>1.1950000000000001</v>
      </c>
      <c r="J77" s="125">
        <f>Data!I$146</f>
        <v>1.1970000000000001</v>
      </c>
      <c r="K77" s="125">
        <f>Data!J$146</f>
        <v>1.2290000000000001</v>
      </c>
      <c r="L77" s="125">
        <f>Data!K$146</f>
        <v>1.248</v>
      </c>
      <c r="M77" s="125">
        <f>Data!L$146</f>
        <v>1.2709999999999999</v>
      </c>
      <c r="N77" s="125">
        <f>Data!M$146</f>
        <v>1.288</v>
      </c>
      <c r="O77" s="73">
        <f ca="1">N$77*(1+O$236)*(1+Popn!O$201)</f>
        <v>1.3271035560595956</v>
      </c>
      <c r="P77" s="73">
        <f ca="1">O$77*(1+P$236)*(1+Popn!P$201)</f>
        <v>1.3675023263681687</v>
      </c>
      <c r="Q77" s="73">
        <f ca="1">P$77*(1+Q$236)*(1+Popn!Q$201)</f>
        <v>1.4086634823201485</v>
      </c>
      <c r="R77" s="73">
        <f ca="1">Q$77*(1+R$236)*(1+Popn!R$201)</f>
        <v>1.4512270771698517</v>
      </c>
      <c r="S77" s="73">
        <f ca="1">R$77*(1+S$236)*(1+Popn!S$201)</f>
        <v>1.4957310001368995</v>
      </c>
      <c r="T77" s="73">
        <f ca="1">S$77*(1+T$236)*(1+Popn!T$201)</f>
        <v>1.5420533829012237</v>
      </c>
      <c r="U77" s="73">
        <f ca="1">T$77*(1+U$236)*(1+Popn!U$201)</f>
        <v>1.5890190470925296</v>
      </c>
      <c r="V77" s="73">
        <f ca="1">U$77*(1+V$236)*(1+Popn!V$201)</f>
        <v>1.63721412439894</v>
      </c>
      <c r="W77" s="73">
        <f ca="1">V$77*(1+W$236)*(1+Popn!W$201)</f>
        <v>1.6859662584831729</v>
      </c>
      <c r="X77" s="73">
        <f ca="1">W$77*(1+X$236)*(1+Popn!X$201)</f>
        <v>1.7350868219254427</v>
      </c>
    </row>
    <row r="78" spans="1:24" x14ac:dyDescent="0.2">
      <c r="A78" s="31" t="s">
        <v>1011</v>
      </c>
      <c r="B78" s="233"/>
      <c r="C78" s="69"/>
      <c r="D78" s="69">
        <f>Data!C$151</f>
        <v>0.434</v>
      </c>
      <c r="E78" s="69">
        <f>Data!D$151</f>
        <v>0.46500000000000002</v>
      </c>
      <c r="F78" s="69">
        <f>Data!E$151</f>
        <v>0.504</v>
      </c>
      <c r="G78" s="69">
        <f>Data!F$151</f>
        <v>0.52200000000000002</v>
      </c>
      <c r="H78" s="69">
        <f>Data!G$151</f>
        <v>0.55300000000000005</v>
      </c>
      <c r="I78" s="69">
        <f>Data!H$151</f>
        <v>0.57999999999999996</v>
      </c>
      <c r="J78" s="125">
        <f>Data!I$151</f>
        <v>0.61399999999999999</v>
      </c>
      <c r="K78" s="125">
        <f>Data!J$151</f>
        <v>0.66</v>
      </c>
      <c r="L78" s="125">
        <f>Data!K$151</f>
        <v>0.70699999999999996</v>
      </c>
      <c r="M78" s="125">
        <f>Data!L$151</f>
        <v>0.75900000000000001</v>
      </c>
      <c r="N78" s="125">
        <f>Data!M$151</f>
        <v>0.80800000000000005</v>
      </c>
      <c r="O78" s="73">
        <f ca="1">N$78*(1+O$236)*(1+Popn!O$201)</f>
        <v>0.83253080224856624</v>
      </c>
      <c r="P78" s="73">
        <f ca="1">O$78*(1+P$236)*(1+Popn!P$201)</f>
        <v>0.85787413020611836</v>
      </c>
      <c r="Q78" s="73">
        <f ca="1">P$78*(1+Q$236)*(1+Popn!Q$201)</f>
        <v>0.88369572493375781</v>
      </c>
      <c r="R78" s="73">
        <f ca="1">Q$78*(1+R$236)*(1+Popn!R$201)</f>
        <v>0.91039711052270211</v>
      </c>
      <c r="S78" s="73">
        <f ca="1">R$78*(1+S$236)*(1+Popn!S$201)</f>
        <v>0.93831572058277579</v>
      </c>
      <c r="T78" s="73">
        <f ca="1">S$78*(1+T$236)*(1+Popn!T$201)</f>
        <v>0.96737510355915302</v>
      </c>
      <c r="U78" s="73">
        <f ca="1">T$78*(1+U$236)*(1+Popn!U$201)</f>
        <v>0.996838035753699</v>
      </c>
      <c r="V78" s="73">
        <f ca="1">U$78*(1+V$236)*(1+Popn!V$201)</f>
        <v>1.0270722146850495</v>
      </c>
      <c r="W78" s="73">
        <f ca="1">V$78*(1+W$236)*(1+Popn!W$201)</f>
        <v>1.0576558515950343</v>
      </c>
      <c r="X78" s="73">
        <f ca="1">W$78*(1+X$236)*(1+Popn!X$201)</f>
        <v>1.0884706149967067</v>
      </c>
    </row>
    <row r="79" spans="1:24" x14ac:dyDescent="0.2">
      <c r="A79" s="31" t="s">
        <v>1010</v>
      </c>
      <c r="B79" s="233"/>
      <c r="C79" s="69"/>
      <c r="D79" s="69">
        <f>Data!C$147</f>
        <v>0.27</v>
      </c>
      <c r="E79" s="69">
        <f>Data!D$147</f>
        <v>0.27800000000000002</v>
      </c>
      <c r="F79" s="69">
        <f>Data!E$147</f>
        <v>0.39</v>
      </c>
      <c r="G79" s="69">
        <f>Data!F$147</f>
        <v>0.41099999999999998</v>
      </c>
      <c r="H79" s="69">
        <f>Data!G$147</f>
        <v>0.40899999999999997</v>
      </c>
      <c r="I79" s="69">
        <f>Data!H$147</f>
        <v>0.40100000000000002</v>
      </c>
      <c r="J79" s="125">
        <f>Data!I$147</f>
        <v>0.36299999999999999</v>
      </c>
      <c r="K79" s="125">
        <f>Data!J$147</f>
        <v>0.35799999999999998</v>
      </c>
      <c r="L79" s="125">
        <f>Data!K$147</f>
        <v>0.35599999999999998</v>
      </c>
      <c r="M79" s="125">
        <f>Data!L$147</f>
        <v>0.35799999999999998</v>
      </c>
      <c r="N79" s="125">
        <f>Data!M$147</f>
        <v>0.35799999999999998</v>
      </c>
      <c r="O79" s="73">
        <f ca="1">N$79*(1+O$236)*(1+Popn!O$201)</f>
        <v>0.36886884555072608</v>
      </c>
      <c r="P79" s="73">
        <f ca="1">O$79*(1+P$236)*(1+Popn!P$201)</f>
        <v>0.38009769630419593</v>
      </c>
      <c r="Q79" s="73">
        <f ca="1">P$79*(1+Q$236)*(1+Popn!Q$201)</f>
        <v>0.39153845238401636</v>
      </c>
      <c r="R79" s="73">
        <f ca="1">Q$79*(1+R$236)*(1+Popn!R$201)</f>
        <v>0.40336901679099907</v>
      </c>
      <c r="S79" s="73">
        <f ca="1">R$79*(1+S$236)*(1+Popn!S$201)</f>
        <v>0.41573889600078417</v>
      </c>
      <c r="T79" s="73">
        <f ca="1">S$79*(1+T$236)*(1+Popn!T$201)</f>
        <v>0.42861421667596117</v>
      </c>
      <c r="U79" s="73">
        <f ca="1">T$79*(1+U$236)*(1+Popn!U$201)</f>
        <v>0.44166833762354468</v>
      </c>
      <c r="V79" s="73">
        <f ca="1">U$79*(1+V$236)*(1+Popn!V$201)</f>
        <v>0.45506417432827678</v>
      </c>
      <c r="W79" s="73">
        <f ca="1">V$79*(1+W$236)*(1+Popn!W$201)</f>
        <v>0.46861484513740359</v>
      </c>
      <c r="X79" s="73">
        <f ca="1">W$79*(1+X$236)*(1+Popn!X$201)</f>
        <v>0.4822679210010159</v>
      </c>
    </row>
    <row r="80" spans="1:24" x14ac:dyDescent="0.2">
      <c r="A80" s="160" t="s">
        <v>248</v>
      </c>
      <c r="B80" s="233"/>
      <c r="C80" s="69"/>
      <c r="D80" s="69">
        <f>Data!C$148-D$78</f>
        <v>1.7579999999999998</v>
      </c>
      <c r="E80" s="69">
        <f>Data!D$148-E$78</f>
        <v>1.9109999999999998</v>
      </c>
      <c r="F80" s="69">
        <f>Data!E$148-F$78</f>
        <v>2.101</v>
      </c>
      <c r="G80" s="69">
        <f>Data!F$148-G$78</f>
        <v>2.0030000000000001</v>
      </c>
      <c r="H80" s="69">
        <f>Data!G$148-H$78</f>
        <v>2.1379999999999999</v>
      </c>
      <c r="I80" s="69">
        <f>Data!H$148-I$78</f>
        <v>1.8759999999999994</v>
      </c>
      <c r="J80" s="125">
        <f>Data!I$148-J$78</f>
        <v>0.82799999999999996</v>
      </c>
      <c r="K80" s="125">
        <f>Data!J$148-K$78</f>
        <v>0.78199999999999992</v>
      </c>
      <c r="L80" s="125">
        <f>Data!K$148-L$78</f>
        <v>0.71699999999999997</v>
      </c>
      <c r="M80" s="125">
        <f>Data!L$148-M$78</f>
        <v>0.67299999999999993</v>
      </c>
      <c r="N80" s="125">
        <f>Data!M$148-N$78</f>
        <v>0.6379999999999999</v>
      </c>
      <c r="O80" s="73">
        <f ca="1">N$80*(1+O$236)*(1+Popn!O$201)</f>
        <v>0.6573696186071597</v>
      </c>
      <c r="P80" s="73">
        <f ca="1">O$80*(1+P$236)*(1+Popn!P$201)</f>
        <v>0.67738081073205858</v>
      </c>
      <c r="Q80" s="73">
        <f ca="1">P$80*(1+Q$236)*(1+Popn!Q$201)</f>
        <v>0.69776964419274412</v>
      </c>
      <c r="R80" s="73">
        <f ca="1">Q$80*(1+R$236)*(1+Popn!R$201)</f>
        <v>0.7188531640018363</v>
      </c>
      <c r="S80" s="73">
        <f ca="1">R$80*(1+S$236)*(1+Popn!S$201)</f>
        <v>0.74089780907402314</v>
      </c>
      <c r="T80" s="73">
        <f ca="1">S$80*(1+T$236)*(1+Popn!T$201)</f>
        <v>0.76384321295883595</v>
      </c>
      <c r="U80" s="73">
        <f ca="1">T$80*(1+U$236)*(1+Popn!U$201)</f>
        <v>0.78710726090452943</v>
      </c>
      <c r="V80" s="73">
        <f ca="1">U$80*(1+V$236)*(1+Popn!V$201)</f>
        <v>0.81098028832804636</v>
      </c>
      <c r="W80" s="73">
        <f ca="1">V$80*(1+W$236)*(1+Popn!W$201)</f>
        <v>0.8351292491554847</v>
      </c>
      <c r="X80" s="73">
        <f ca="1">W$80*(1+X$236)*(1+Popn!X$201)</f>
        <v>0.85946070837611221</v>
      </c>
    </row>
    <row r="81" spans="1:24" x14ac:dyDescent="0.2">
      <c r="A81" s="160" t="s">
        <v>922</v>
      </c>
      <c r="B81" s="36"/>
      <c r="C81" s="69"/>
      <c r="D81" s="176">
        <f>D$82-SUM(D$71:D$80)</f>
        <v>1.1340000000000021</v>
      </c>
      <c r="E81" s="176">
        <f t="shared" ref="E81:N81" si="39">E$82-SUM(E$71:E$80)</f>
        <v>1.352999999999998</v>
      </c>
      <c r="F81" s="176">
        <f t="shared" si="39"/>
        <v>1.6030000000000015</v>
      </c>
      <c r="G81" s="176">
        <f t="shared" si="39"/>
        <v>2.0010000000000012</v>
      </c>
      <c r="H81" s="176">
        <f t="shared" si="39"/>
        <v>1.9899999999999984</v>
      </c>
      <c r="I81" s="176">
        <f t="shared" si="39"/>
        <v>1.5160000000000053</v>
      </c>
      <c r="J81" s="130">
        <f t="shared" ca="1" si="39"/>
        <v>2.8919999999999995</v>
      </c>
      <c r="K81" s="130">
        <f t="shared" ca="1" si="39"/>
        <v>2.9669999999999987</v>
      </c>
      <c r="L81" s="130">
        <f t="shared" ca="1" si="39"/>
        <v>2.9649999999999999</v>
      </c>
      <c r="M81" s="130">
        <f t="shared" ca="1" si="39"/>
        <v>2.8100000000000023</v>
      </c>
      <c r="N81" s="130">
        <f t="shared" ca="1" si="39"/>
        <v>2.8700000000000045</v>
      </c>
      <c r="O81" s="387">
        <f ca="1">N$81 +IF(OFFSET(Scenarios!$A$63,0,$C$1)="Yes",(O$141-N$141)*OFFSET(Scenarios!$A$66,0,$C$1),0) -0.252</f>
        <v>2.6180000000000048</v>
      </c>
      <c r="P81" s="278">
        <f ca="1">O$81 +IF(OFFSET(Scenarios!$A$63,0,$C$1)="Yes",(P$141-O$141)*OFFSET(Scenarios!$A$66,0,$C$1),0)</f>
        <v>2.6180000000000048</v>
      </c>
      <c r="Q81" s="278">
        <f ca="1">P$81 +IF(OFFSET(Scenarios!$A$63,0,$C$1)="Yes",(Q$141-P$141)*OFFSET(Scenarios!$A$66,0,$C$1),0)</f>
        <v>2.6180000000000048</v>
      </c>
      <c r="R81" s="278">
        <f ca="1">Q$81 +IF(OFFSET(Scenarios!$A$63,0,$C$1)="Yes",(R$141-Q$141)*OFFSET(Scenarios!$A$66,0,$C$1),0)</f>
        <v>2.6180000000000048</v>
      </c>
      <c r="S81" s="278">
        <f ca="1">R$81 +IF(OFFSET(Scenarios!$A$63,0,$C$1)="Yes",(S$141-R$141)*OFFSET(Scenarios!$A$66,0,$C$1),0)</f>
        <v>2.6180000000000048</v>
      </c>
      <c r="T81" s="278">
        <f ca="1">S$81 +IF(OFFSET(Scenarios!$A$63,0,$C$1)="Yes",(T$141-S$141)*OFFSET(Scenarios!$A$66,0,$C$1),0)</f>
        <v>2.6180000000000048</v>
      </c>
      <c r="U81" s="278">
        <f ca="1">T$81 +IF(OFFSET(Scenarios!$A$63,0,$C$1)="Yes",(U$141-T$141)*OFFSET(Scenarios!$A$66,0,$C$1),0)</f>
        <v>2.6180000000000048</v>
      </c>
      <c r="V81" s="278">
        <f ca="1">U$81 +IF(OFFSET(Scenarios!$A$63,0,$C$1)="Yes",(V$141-U$141)*OFFSET(Scenarios!$A$66,0,$C$1),0)</f>
        <v>2.6180000000000048</v>
      </c>
      <c r="W81" s="278">
        <f ca="1">V$81 +IF(OFFSET(Scenarios!$A$63,0,$C$1)="Yes",(W$141-V$141)*OFFSET(Scenarios!$A$66,0,$C$1),0)</f>
        <v>2.6180000000000048</v>
      </c>
      <c r="X81" s="278">
        <f ca="1">W$81 +IF(OFFSET(Scenarios!$A$63,0,$C$1)="Yes",(X$141-W$141)*OFFSET(Scenarios!$A$66,0,$C$1),0)</f>
        <v>2.6180000000000048</v>
      </c>
    </row>
    <row r="82" spans="1:24" x14ac:dyDescent="0.2">
      <c r="A82" s="27" t="s">
        <v>410</v>
      </c>
      <c r="B82" s="233"/>
      <c r="C82" s="69"/>
      <c r="D82" s="71">
        <f>Data!C$39</f>
        <v>16.768000000000001</v>
      </c>
      <c r="E82" s="71">
        <f>Data!D$39</f>
        <v>17.876999999999999</v>
      </c>
      <c r="F82" s="71">
        <f>Data!E$39</f>
        <v>19.382000000000001</v>
      </c>
      <c r="G82" s="71">
        <f>Data!F$39</f>
        <v>21.184999999999999</v>
      </c>
      <c r="H82" s="71">
        <f>Data!G$39</f>
        <v>22.004999999999999</v>
      </c>
      <c r="I82" s="71">
        <f>Data!H$39</f>
        <v>22.027999999999999</v>
      </c>
      <c r="J82" s="131">
        <f ca="1">Data!I$39 + IF(OFFSET(Scenarios!$A$63,0,$C$1)="Yes",OFFSET(Scenarios!$A$66,0,$C$1)*J$141,0)</f>
        <v>22.878</v>
      </c>
      <c r="K82" s="131">
        <f ca="1">Data!J$39 + IF(OFFSET(Scenarios!$A$63,0,$C$1)="Yes",OFFSET(Scenarios!$A$66,0,$C$1)*K$141,0)</f>
        <v>23.597999999999999</v>
      </c>
      <c r="L82" s="131">
        <f ca="1">Data!K$39 + IF(OFFSET(Scenarios!$A$63,0,$C$1)="Yes",OFFSET(Scenarios!$A$66,0,$C$1)*L$141,0)</f>
        <v>24.113</v>
      </c>
      <c r="M82" s="131">
        <f ca="1">Data!L$39 + IF(OFFSET(Scenarios!$A$63,0,$C$1)="Yes",OFFSET(Scenarios!$A$66,0,$C$1)*M$141,0)</f>
        <v>24.661000000000001</v>
      </c>
      <c r="N82" s="131">
        <f ca="1">Data!M$39 + IF(OFFSET(Scenarios!$A$63,0,$C$1)="Yes",OFFSET(Scenarios!$A$66,0,$C$1)*N$141,0)</f>
        <v>25.399000000000001</v>
      </c>
      <c r="O82" s="75">
        <f t="shared" ref="O82:X82" ca="1" si="40">SUM(O$71:O$81)</f>
        <v>26.101526978367087</v>
      </c>
      <c r="P82" s="75">
        <f t="shared" ca="1" si="40"/>
        <v>27.085754684133011</v>
      </c>
      <c r="Q82" s="75">
        <f t="shared" ca="1" si="40"/>
        <v>28.15147331049431</v>
      </c>
      <c r="R82" s="75">
        <f t="shared" ca="1" si="40"/>
        <v>29.409068872601857</v>
      </c>
      <c r="S82" s="75">
        <f t="shared" ca="1" si="40"/>
        <v>30.733888651718559</v>
      </c>
      <c r="T82" s="75">
        <f t="shared" ca="1" si="40"/>
        <v>32.130819796816183</v>
      </c>
      <c r="U82" s="75">
        <f t="shared" ca="1" si="40"/>
        <v>33.680935506644694</v>
      </c>
      <c r="V82" s="75">
        <f t="shared" ca="1" si="40"/>
        <v>35.315314655751436</v>
      </c>
      <c r="W82" s="75">
        <f t="shared" ca="1" si="40"/>
        <v>37.058038057453736</v>
      </c>
      <c r="X82" s="75">
        <f t="shared" ca="1" si="40"/>
        <v>38.883314336921316</v>
      </c>
    </row>
    <row r="83" spans="1:24" x14ac:dyDescent="0.2">
      <c r="A83" s="160" t="s">
        <v>596</v>
      </c>
      <c r="B83" s="99"/>
      <c r="C83" s="69"/>
      <c r="D83" s="69">
        <f t="shared" ref="D83:N83" si="41">D$84-D$82</f>
        <v>3.0609999999999999</v>
      </c>
      <c r="E83" s="69">
        <f t="shared" si="41"/>
        <v>3.6320000000000014</v>
      </c>
      <c r="F83" s="69">
        <f t="shared" si="41"/>
        <v>3.8909999999999982</v>
      </c>
      <c r="G83" s="69">
        <f t="shared" si="41"/>
        <v>3.0210000000000008</v>
      </c>
      <c r="H83" s="69">
        <f t="shared" si="41"/>
        <v>3.3190000000000026</v>
      </c>
      <c r="I83" s="69">
        <f t="shared" si="41"/>
        <v>3.429000000000002</v>
      </c>
      <c r="J83" s="105">
        <f t="shared" ca="1" si="41"/>
        <v>3.8109999999999999</v>
      </c>
      <c r="K83" s="105">
        <f t="shared" ca="1" si="41"/>
        <v>3.9280000000000008</v>
      </c>
      <c r="L83" s="105">
        <f t="shared" ca="1" si="41"/>
        <v>4.0150000000000006</v>
      </c>
      <c r="M83" s="105">
        <f t="shared" ca="1" si="41"/>
        <v>4.1969999999999992</v>
      </c>
      <c r="N83" s="105">
        <f t="shared" ca="1" si="41"/>
        <v>4.3879999999999981</v>
      </c>
      <c r="O83" s="73">
        <f t="shared" ref="O83:X83" ca="1" si="42">N$83*(1+O$236)*(1+O$248)*(O$91/N$91)</f>
        <v>4.5714565182168201</v>
      </c>
      <c r="P83" s="73">
        <f t="shared" ca="1" si="42"/>
        <v>4.7668941988045459</v>
      </c>
      <c r="Q83" s="73">
        <f t="shared" ca="1" si="42"/>
        <v>4.979737433168653</v>
      </c>
      <c r="R83" s="73">
        <f t="shared" ca="1" si="42"/>
        <v>5.2011412016265695</v>
      </c>
      <c r="S83" s="73">
        <f t="shared" ca="1" si="42"/>
        <v>5.4303805051159584</v>
      </c>
      <c r="T83" s="73">
        <f t="shared" ca="1" si="42"/>
        <v>5.6689872550126594</v>
      </c>
      <c r="U83" s="73">
        <f t="shared" ca="1" si="42"/>
        <v>5.913665911263311</v>
      </c>
      <c r="V83" s="73">
        <f t="shared" ca="1" si="42"/>
        <v>6.1663602639264079</v>
      </c>
      <c r="W83" s="73">
        <f t="shared" ca="1" si="42"/>
        <v>6.4261238728654773</v>
      </c>
      <c r="X83" s="73">
        <f t="shared" ca="1" si="42"/>
        <v>6.6946343404579833</v>
      </c>
    </row>
    <row r="84" spans="1:24" x14ac:dyDescent="0.2">
      <c r="A84" s="27" t="s">
        <v>391</v>
      </c>
      <c r="B84" s="233"/>
      <c r="C84" s="69"/>
      <c r="D84" s="71">
        <f>Data!C$20</f>
        <v>19.829000000000001</v>
      </c>
      <c r="E84" s="71">
        <f>Data!D$20</f>
        <v>21.509</v>
      </c>
      <c r="F84" s="71">
        <f>Data!E$20</f>
        <v>23.273</v>
      </c>
      <c r="G84" s="71">
        <f>Data!F$20</f>
        <v>24.206</v>
      </c>
      <c r="H84" s="71">
        <f>Data!G$20</f>
        <v>25.324000000000002</v>
      </c>
      <c r="I84" s="71">
        <f>Data!H$20</f>
        <v>25.457000000000001</v>
      </c>
      <c r="J84" s="131">
        <f ca="1">Data!I$20 + IF(OFFSET(Scenarios!$A$63,0,$C$1)="Yes",OFFSET(Scenarios!$A$66,0,$C$1)*J$141,0)</f>
        <v>26.689</v>
      </c>
      <c r="K84" s="131">
        <f ca="1">Data!J$20 + IF(OFFSET(Scenarios!$A$63,0,$C$1)="Yes",OFFSET(Scenarios!$A$66,0,$C$1)*K$141,0)</f>
        <v>27.526</v>
      </c>
      <c r="L84" s="131">
        <f ca="1">Data!K$20 + IF(OFFSET(Scenarios!$A$63,0,$C$1)="Yes",OFFSET(Scenarios!$A$66,0,$C$1)*L$141,0)</f>
        <v>28.128</v>
      </c>
      <c r="M84" s="131">
        <f ca="1">Data!L$20 + IF(OFFSET(Scenarios!$A$63,0,$C$1)="Yes",OFFSET(Scenarios!$A$66,0,$C$1)*M$141,0)</f>
        <v>28.858000000000001</v>
      </c>
      <c r="N84" s="131">
        <f ca="1">Data!M$20 + IF(OFFSET(Scenarios!$A$63,0,$C$1)="Yes",OFFSET(Scenarios!$A$66,0,$C$1)*N$141,0)</f>
        <v>29.786999999999999</v>
      </c>
      <c r="O84" s="75">
        <f t="shared" ref="O84:X84" ca="1" si="43">SUM(O$82,O$83)</f>
        <v>30.672983496583907</v>
      </c>
      <c r="P84" s="75">
        <f t="shared" ca="1" si="43"/>
        <v>31.852648882937558</v>
      </c>
      <c r="Q84" s="75">
        <f t="shared" ca="1" si="43"/>
        <v>33.131210743662962</v>
      </c>
      <c r="R84" s="75">
        <f t="shared" ca="1" si="43"/>
        <v>34.610210074228426</v>
      </c>
      <c r="S84" s="75">
        <f t="shared" ca="1" si="43"/>
        <v>36.164269156834514</v>
      </c>
      <c r="T84" s="75">
        <f t="shared" ca="1" si="43"/>
        <v>37.799807051828843</v>
      </c>
      <c r="U84" s="75">
        <f t="shared" ca="1" si="43"/>
        <v>39.594601417908002</v>
      </c>
      <c r="V84" s="75">
        <f t="shared" ca="1" si="43"/>
        <v>41.481674919677843</v>
      </c>
      <c r="W84" s="75">
        <f t="shared" ca="1" si="43"/>
        <v>43.48416193031921</v>
      </c>
      <c r="X84" s="75">
        <f t="shared" ca="1" si="43"/>
        <v>45.577948677379297</v>
      </c>
    </row>
    <row r="85" spans="1:24" x14ac:dyDescent="0.2">
      <c r="A85" s="108" t="s">
        <v>599</v>
      </c>
      <c r="C85" s="69"/>
      <c r="D85" s="69"/>
      <c r="E85" s="69"/>
      <c r="F85" s="73"/>
      <c r="G85" s="73"/>
      <c r="H85" s="73"/>
      <c r="I85" s="73"/>
      <c r="J85" s="73"/>
    </row>
    <row r="86" spans="1:24" x14ac:dyDescent="0.2">
      <c r="A86" s="225" t="s">
        <v>700</v>
      </c>
      <c r="B86" s="233"/>
      <c r="C86" s="69"/>
      <c r="D86" s="178">
        <f>Data!C$235</f>
        <v>832.3</v>
      </c>
      <c r="E86" s="178">
        <f>Data!D$235</f>
        <v>861.27</v>
      </c>
      <c r="F86" s="178">
        <f>Data!E$235</f>
        <v>905.51</v>
      </c>
      <c r="G86" s="178">
        <f>Data!F$235</f>
        <v>934.78</v>
      </c>
      <c r="H86" s="178">
        <f>Data!G$235</f>
        <v>967.96</v>
      </c>
      <c r="I86" s="178">
        <f>Data!H$235</f>
        <v>994.19</v>
      </c>
      <c r="J86" s="294">
        <f>Data!I$235</f>
        <v>1023.11</v>
      </c>
      <c r="K86" s="294">
        <f>Data!J$235</f>
        <v>1043.29</v>
      </c>
      <c r="L86" s="294">
        <f>Data!K$235</f>
        <v>1068.18</v>
      </c>
      <c r="M86" s="294">
        <f>Data!L$235</f>
        <v>1094.45</v>
      </c>
      <c r="N86" s="294">
        <f>Data!M$235</f>
        <v>1122.47</v>
      </c>
      <c r="O86" s="173">
        <f t="shared" ref="O86:X86" ca="1" si="44">N$86*(1+O$248)*(1+O$236)</f>
        <v>1158.8918033180853</v>
      </c>
      <c r="P86" s="173">
        <f t="shared" ca="1" si="44"/>
        <v>1197.612907073529</v>
      </c>
      <c r="Q86" s="173">
        <f t="shared" ca="1" si="44"/>
        <v>1239.8886426932243</v>
      </c>
      <c r="R86" s="173">
        <f t="shared" ca="1" si="44"/>
        <v>1283.6567117802952</v>
      </c>
      <c r="S86" s="173">
        <f t="shared" ca="1" si="44"/>
        <v>1328.9697937061394</v>
      </c>
      <c r="T86" s="173">
        <f t="shared" ca="1" si="44"/>
        <v>1375.882427423966</v>
      </c>
      <c r="U86" s="173">
        <f t="shared" ca="1" si="44"/>
        <v>1424.451077112032</v>
      </c>
      <c r="V86" s="173">
        <f t="shared" ca="1" si="44"/>
        <v>1474.7342001340867</v>
      </c>
      <c r="W86" s="173">
        <f t="shared" ca="1" si="44"/>
        <v>1526.7923173988197</v>
      </c>
      <c r="X86" s="173">
        <f t="shared" ca="1" si="44"/>
        <v>1580.6880862029977</v>
      </c>
    </row>
    <row r="87" spans="1:24" x14ac:dyDescent="0.2">
      <c r="A87" s="225" t="s">
        <v>702</v>
      </c>
      <c r="B87" s="233"/>
      <c r="C87" s="69"/>
      <c r="D87" s="178">
        <f>Data!C$221</f>
        <v>645.82000000000005</v>
      </c>
      <c r="E87" s="178">
        <f>Data!D$221</f>
        <v>664.02</v>
      </c>
      <c r="F87" s="178">
        <f>Data!E$221</f>
        <v>723.19</v>
      </c>
      <c r="G87" s="178">
        <f>Data!F$221</f>
        <v>741.53</v>
      </c>
      <c r="H87" s="178">
        <f>Data!G$221</f>
        <v>792.36</v>
      </c>
      <c r="I87" s="178">
        <f>Data!H$221</f>
        <v>813.32</v>
      </c>
      <c r="J87" s="294">
        <f>Data!I$221</f>
        <v>833.05</v>
      </c>
      <c r="K87" s="294">
        <f>Data!J$221</f>
        <v>846.89</v>
      </c>
      <c r="L87" s="294">
        <f>Data!K$221</f>
        <v>863.85</v>
      </c>
      <c r="M87" s="294">
        <f>Data!L$221</f>
        <v>881.88</v>
      </c>
      <c r="N87" s="294">
        <f>Data!M$221</f>
        <v>901.03</v>
      </c>
      <c r="O87" s="173">
        <f ca="1">IF(AND(OFFSET(Scenarios!$A$26,0,$C$1)="YES",OFFSET(Scenarios!$A$28,0,$C$1)&gt;=O$4),(52*O$86-IF(52*O$86&gt;OFFSET(Scenarios!$A$80,0,$C$1),(52*O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O$86&gt;OFFSET(Scenarios!$A$79,0,$C$1),(52*O$86-OFFSET(Scenarios!$A$79,0,$C$1))*OFFSET(Scenarios!$A$83,0,$C$1)+(OFFSET(Scenarios!$A$79,0,$C$1)-OFFSET(Scenarios!$A$78,0,$C$1))*OFFSET(Scenarios!$A$82,0,$C$1)+OFFSET(Scenarios!$A$78,0,$C$1)*OFFSET(Scenarios!$A$81,0,$C$1),IF(52*O$86&gt;OFFSET(Scenarios!$A$78,0,$C$1),(52*O$86-OFFSET(Scenarios!$A$78,0,$C$1))*OFFSET(Scenarios!$A$82,0,$C$1)+OFFSET(Scenarios!$A$78,0,$C$1)*OFFSET(Scenarios!$A$81,0,$C$1),52*O$86*OFFSET(Scenarios!$A$81,0,$C$1))))-52*O$86*OFFSET(Scenarios!$A$85,0,$C$1))/52,N$87*O$86/N$86)</f>
        <v>925.75387089702133</v>
      </c>
      <c r="P87" s="173">
        <f ca="1">IF(AND(OFFSET(Scenarios!$A$26,0,$C$1)="YES",OFFSET(Scenarios!$A$28,0,$C$1)&gt;=P$4),(52*P$86-IF(52*P$86&gt;OFFSET(Scenarios!$A$80,0,$C$1),(52*P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P$86&gt;OFFSET(Scenarios!$A$79,0,$C$1),(52*P$86-OFFSET(Scenarios!$A$79,0,$C$1))*OFFSET(Scenarios!$A$83,0,$C$1)+(OFFSET(Scenarios!$A$79,0,$C$1)-OFFSET(Scenarios!$A$78,0,$C$1))*OFFSET(Scenarios!$A$82,0,$C$1)+OFFSET(Scenarios!$A$78,0,$C$1)*OFFSET(Scenarios!$A$81,0,$C$1),IF(52*P$86&gt;OFFSET(Scenarios!$A$78,0,$C$1),(52*P$86-OFFSET(Scenarios!$A$78,0,$C$1))*OFFSET(Scenarios!$A$82,0,$C$1)+OFFSET(Scenarios!$A$78,0,$C$1)*OFFSET(Scenarios!$A$81,0,$C$1),52*P$86*OFFSET(Scenarios!$A$81,0,$C$1))))-52*P$86*OFFSET(Scenarios!$A$85,0,$C$1))/52,O$87*P$86/O$86)</f>
        <v>952.20038476198954</v>
      </c>
      <c r="Q87" s="173">
        <f ca="1">IF(AND(OFFSET(Scenarios!$A$26,0,$C$1)="YES",OFFSET(Scenarios!$A$28,0,$C$1)&gt;=Q$4),(52*Q$86-IF(52*Q$86&gt;OFFSET(Scenarios!$A$80,0,$C$1),(52*Q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Q$86&gt;OFFSET(Scenarios!$A$79,0,$C$1),(52*Q$86-OFFSET(Scenarios!$A$79,0,$C$1))*OFFSET(Scenarios!$A$83,0,$C$1)+(OFFSET(Scenarios!$A$79,0,$C$1)-OFFSET(Scenarios!$A$78,0,$C$1))*OFFSET(Scenarios!$A$82,0,$C$1)+OFFSET(Scenarios!$A$78,0,$C$1)*OFFSET(Scenarios!$A$81,0,$C$1),IF(52*Q$86&gt;OFFSET(Scenarios!$A$78,0,$C$1),(52*Q$86-OFFSET(Scenarios!$A$78,0,$C$1))*OFFSET(Scenarios!$A$82,0,$C$1)+OFFSET(Scenarios!$A$78,0,$C$1)*OFFSET(Scenarios!$A$81,0,$C$1),52*Q$86*OFFSET(Scenarios!$A$81,0,$C$1))))-52*Q$86*OFFSET(Scenarios!$A$85,0,$C$1))/52,P$87*Q$86/P$86)</f>
        <v>981.07471219024126</v>
      </c>
      <c r="R87" s="173">
        <f ca="1">IF(AND(OFFSET(Scenarios!$A$26,0,$C$1)="YES",OFFSET(Scenarios!$A$28,0,$C$1)&gt;=R$4),(52*R$86-IF(52*R$86&gt;OFFSET(Scenarios!$A$80,0,$C$1),(52*R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R$86&gt;OFFSET(Scenarios!$A$79,0,$C$1),(52*R$86-OFFSET(Scenarios!$A$79,0,$C$1))*OFFSET(Scenarios!$A$83,0,$C$1)+(OFFSET(Scenarios!$A$79,0,$C$1)-OFFSET(Scenarios!$A$78,0,$C$1))*OFFSET(Scenarios!$A$82,0,$C$1)+OFFSET(Scenarios!$A$78,0,$C$1)*OFFSET(Scenarios!$A$81,0,$C$1),IF(52*R$86&gt;OFFSET(Scenarios!$A$78,0,$C$1),(52*R$86-OFFSET(Scenarios!$A$78,0,$C$1))*OFFSET(Scenarios!$A$82,0,$C$1)+OFFSET(Scenarios!$A$78,0,$C$1)*OFFSET(Scenarios!$A$81,0,$C$1),52*R$86*OFFSET(Scenarios!$A$81,0,$C$1))))-52*R$86*OFFSET(Scenarios!$A$85,0,$C$1))/52,Q$87*R$86/Q$86)</f>
        <v>1010.9683033767108</v>
      </c>
      <c r="S87" s="173">
        <f ca="1">IF(AND(OFFSET(Scenarios!$A$26,0,$C$1)="YES",OFFSET(Scenarios!$A$28,0,$C$1)&gt;=S$4),(52*S$86-IF(52*S$86&gt;OFFSET(Scenarios!$A$80,0,$C$1),(52*S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S$86&gt;OFFSET(Scenarios!$A$79,0,$C$1),(52*S$86-OFFSET(Scenarios!$A$79,0,$C$1))*OFFSET(Scenarios!$A$83,0,$C$1)+(OFFSET(Scenarios!$A$79,0,$C$1)-OFFSET(Scenarios!$A$78,0,$C$1))*OFFSET(Scenarios!$A$82,0,$C$1)+OFFSET(Scenarios!$A$78,0,$C$1)*OFFSET(Scenarios!$A$81,0,$C$1),IF(52*S$86&gt;OFFSET(Scenarios!$A$78,0,$C$1),(52*S$86-OFFSET(Scenarios!$A$78,0,$C$1))*OFFSET(Scenarios!$A$82,0,$C$1)+OFFSET(Scenarios!$A$78,0,$C$1)*OFFSET(Scenarios!$A$81,0,$C$1),52*S$86*OFFSET(Scenarios!$A$81,0,$C$1))))-52*S$86*OFFSET(Scenarios!$A$85,0,$C$1))/52,R$87*S$86/R$86)</f>
        <v>1041.9171383320624</v>
      </c>
      <c r="T87" s="173">
        <f ca="1">IF(AND(OFFSET(Scenarios!$A$26,0,$C$1)="YES",OFFSET(Scenarios!$A$28,0,$C$1)&gt;=T$4),(52*T$86-IF(52*T$86&gt;OFFSET(Scenarios!$A$80,0,$C$1),(52*T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T$86&gt;OFFSET(Scenarios!$A$79,0,$C$1),(52*T$86-OFFSET(Scenarios!$A$79,0,$C$1))*OFFSET(Scenarios!$A$83,0,$C$1)+(OFFSET(Scenarios!$A$79,0,$C$1)-OFFSET(Scenarios!$A$78,0,$C$1))*OFFSET(Scenarios!$A$82,0,$C$1)+OFFSET(Scenarios!$A$78,0,$C$1)*OFFSET(Scenarios!$A$81,0,$C$1),IF(52*T$86&gt;OFFSET(Scenarios!$A$78,0,$C$1),(52*T$86-OFFSET(Scenarios!$A$78,0,$C$1))*OFFSET(Scenarios!$A$82,0,$C$1)+OFFSET(Scenarios!$A$78,0,$C$1)*OFFSET(Scenarios!$A$81,0,$C$1),52*T$86*OFFSET(Scenarios!$A$81,0,$C$1))))-52*T$86*OFFSET(Scenarios!$A$85,0,$C$1))/52,S$87*T$86/S$86)</f>
        <v>1078.696813315184</v>
      </c>
      <c r="U87" s="173">
        <f ca="1">IF(AND(OFFSET(Scenarios!$A$26,0,$C$1)="YES",OFFSET(Scenarios!$A$28,0,$C$1)&gt;=U$4),(52*U$86-IF(52*U$86&gt;OFFSET(Scenarios!$A$80,0,$C$1),(52*U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U$86&gt;OFFSET(Scenarios!$A$79,0,$C$1),(52*U$86-OFFSET(Scenarios!$A$79,0,$C$1))*OFFSET(Scenarios!$A$83,0,$C$1)+(OFFSET(Scenarios!$A$79,0,$C$1)-OFFSET(Scenarios!$A$78,0,$C$1))*OFFSET(Scenarios!$A$82,0,$C$1)+OFFSET(Scenarios!$A$78,0,$C$1)*OFFSET(Scenarios!$A$81,0,$C$1),IF(52*U$86&gt;OFFSET(Scenarios!$A$78,0,$C$1),(52*U$86-OFFSET(Scenarios!$A$78,0,$C$1))*OFFSET(Scenarios!$A$82,0,$C$1)+OFFSET(Scenarios!$A$78,0,$C$1)*OFFSET(Scenarios!$A$81,0,$C$1),52*U$86*OFFSET(Scenarios!$A$81,0,$C$1))))-52*U$86*OFFSET(Scenarios!$A$85,0,$C$1))/52,T$87*U$86/T$86)</f>
        <v>1116.7748108252101</v>
      </c>
      <c r="V87" s="173">
        <f ca="1">IF(AND(OFFSET(Scenarios!$A$26,0,$C$1)="YES",OFFSET(Scenarios!$A$28,0,$C$1)&gt;=V$4),(52*V$86-IF(52*V$86&gt;OFFSET(Scenarios!$A$80,0,$C$1),(52*V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V$86&gt;OFFSET(Scenarios!$A$79,0,$C$1),(52*V$86-OFFSET(Scenarios!$A$79,0,$C$1))*OFFSET(Scenarios!$A$83,0,$C$1)+(OFFSET(Scenarios!$A$79,0,$C$1)-OFFSET(Scenarios!$A$78,0,$C$1))*OFFSET(Scenarios!$A$82,0,$C$1)+OFFSET(Scenarios!$A$78,0,$C$1)*OFFSET(Scenarios!$A$81,0,$C$1),IF(52*V$86&gt;OFFSET(Scenarios!$A$78,0,$C$1),(52*V$86-OFFSET(Scenarios!$A$78,0,$C$1))*OFFSET(Scenarios!$A$82,0,$C$1)+OFFSET(Scenarios!$A$78,0,$C$1)*OFFSET(Scenarios!$A$81,0,$C$1),52*V$86*OFFSET(Scenarios!$A$81,0,$C$1))))-52*V$86*OFFSET(Scenarios!$A$85,0,$C$1))/52,U$87*V$86/U$86)</f>
        <v>1156.19696164734</v>
      </c>
      <c r="W87" s="173">
        <f ca="1">IF(AND(OFFSET(Scenarios!$A$26,0,$C$1)="YES",OFFSET(Scenarios!$A$28,0,$C$1)&gt;=W$4),(52*W$86-IF(52*W$86&gt;OFFSET(Scenarios!$A$80,0,$C$1),(52*W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W$86&gt;OFFSET(Scenarios!$A$79,0,$C$1),(52*W$86-OFFSET(Scenarios!$A$79,0,$C$1))*OFFSET(Scenarios!$A$83,0,$C$1)+(OFFSET(Scenarios!$A$79,0,$C$1)-OFFSET(Scenarios!$A$78,0,$C$1))*OFFSET(Scenarios!$A$82,0,$C$1)+OFFSET(Scenarios!$A$78,0,$C$1)*OFFSET(Scenarios!$A$81,0,$C$1),IF(52*W$86&gt;OFFSET(Scenarios!$A$78,0,$C$1),(52*W$86-OFFSET(Scenarios!$A$78,0,$C$1))*OFFSET(Scenarios!$A$82,0,$C$1)+OFFSET(Scenarios!$A$78,0,$C$1)*OFFSET(Scenarios!$A$81,0,$C$1),52*W$86*OFFSET(Scenarios!$A$81,0,$C$1))))-52*W$86*OFFSET(Scenarios!$A$85,0,$C$1))/52,V$87*W$86/V$86)</f>
        <v>1197.0107143934908</v>
      </c>
      <c r="X87" s="173">
        <f ca="1">IF(AND(OFFSET(Scenarios!$A$26,0,$C$1)="YES",OFFSET(Scenarios!$A$28,0,$C$1)&gt;=X$4),(52*X$86-IF(52*X$86&gt;OFFSET(Scenarios!$A$80,0,$C$1),(52*X$86-OFFSET(Scenarios!$A$80,0,$C$1))*OFFSET(Scenarios!$A$84,0,$C$1)+(OFFSET(Scenarios!$A$80,0,$C$1)-OFFSET(Scenarios!$A$79,0,$C$1))*OFFSET(Scenarios!$A$83,0,$C$1)+(OFFSET(Scenarios!$A$79,0,$C$1)-OFFSET(Scenarios!$A$78,0,$C$1))*OFFSET(Scenarios!$A$82,0,$C$1)+OFFSET(Scenarios!$A$78,0,$C$1)*OFFSET(Scenarios!$A$81,0,$C$1),IF(52*X$86&gt;OFFSET(Scenarios!$A$79,0,$C$1),(52*X$86-OFFSET(Scenarios!$A$79,0,$C$1))*OFFSET(Scenarios!$A$83,0,$C$1)+(OFFSET(Scenarios!$A$79,0,$C$1)-OFFSET(Scenarios!$A$78,0,$C$1))*OFFSET(Scenarios!$A$82,0,$C$1)+OFFSET(Scenarios!$A$78,0,$C$1)*OFFSET(Scenarios!$A$81,0,$C$1),IF(52*X$86&gt;OFFSET(Scenarios!$A$78,0,$C$1),(52*X$86-OFFSET(Scenarios!$A$78,0,$C$1))*OFFSET(Scenarios!$A$82,0,$C$1)+OFFSET(Scenarios!$A$78,0,$C$1)*OFFSET(Scenarios!$A$81,0,$C$1),52*X$86*OFFSET(Scenarios!$A$81,0,$C$1))))-52*X$86*OFFSET(Scenarios!$A$85,0,$C$1))/52,W$87*X$86/W$86)</f>
        <v>1239.2651926115807</v>
      </c>
    </row>
    <row r="88" spans="1:24" x14ac:dyDescent="0.2">
      <c r="A88" s="225" t="s">
        <v>703</v>
      </c>
      <c r="B88" s="233"/>
      <c r="C88" s="69"/>
      <c r="D88" s="178">
        <f>Data!C$222</f>
        <v>213.12</v>
      </c>
      <c r="E88" s="178">
        <f>Data!D$222</f>
        <v>219.9</v>
      </c>
      <c r="F88" s="178">
        <f>Data!E$222</f>
        <v>239.19</v>
      </c>
      <c r="G88" s="178">
        <f>Data!F$222</f>
        <v>244.71</v>
      </c>
      <c r="H88" s="178">
        <f>Data!G$222</f>
        <v>261.48</v>
      </c>
      <c r="I88" s="178">
        <f>Data!H$222</f>
        <v>268.39999999999998</v>
      </c>
      <c r="J88" s="294">
        <f>Data!I$222</f>
        <v>274.91000000000003</v>
      </c>
      <c r="K88" s="294">
        <f>Data!J$222</f>
        <v>279.47000000000003</v>
      </c>
      <c r="L88" s="294">
        <f>Data!K$222</f>
        <v>285.33999999999997</v>
      </c>
      <c r="M88" s="294">
        <f>Data!L$222</f>
        <v>291.02</v>
      </c>
      <c r="N88" s="294">
        <f>Data!M$222</f>
        <v>297.33999999999997</v>
      </c>
      <c r="O88" s="173">
        <f ca="1">IF(OFFSET(Scenarios!$A$47,0,$C$1)="Yes", IF(2*N$88*(1+O$236)/O$87 &gt; OFFSET(Scenarios!$A$48,0,$C$1), N$88*(1+O$236), O$87*OFFSET(Scenarios!$A$48,0,$C$1)/2), N$88*(1+O$236))</f>
        <v>303.33196556962019</v>
      </c>
      <c r="P88" s="173">
        <f ca="1">IF(OFFSET(Scenarios!$A$47,0,$C$1)="Yes", IF(2*O$88*(1+P$236)/P$87 &gt; OFFSET(Scenarios!$A$48,0,$C$1), O$88*(1+P$236), P$87*OFFSET(Scenarios!$A$48,0,$C$1)/2), O$88*(1+P$236))</f>
        <v>309.46512504764661</v>
      </c>
      <c r="Q88" s="173">
        <f ca="1">IF(OFFSET(Scenarios!$A$47,0,$C$1)="Yes", IF(2*P$88*(1+Q$236)/Q$87 &gt; OFFSET(Scenarios!$A$48,0,$C$1), P$88*(1+Q$236), Q$87*OFFSET(Scenarios!$A$48,0,$C$1)/2), P$88*(1+Q$236))</f>
        <v>318.84928146182841</v>
      </c>
      <c r="R88" s="173">
        <f ca="1">IF(OFFSET(Scenarios!$A$47,0,$C$1)="Yes", IF(2*Q$88*(1+R$236)/R$87 &gt; OFFSET(Scenarios!$A$48,0,$C$1), Q$88*(1+R$236), R$87*OFFSET(Scenarios!$A$48,0,$C$1)/2), Q$88*(1+R$236))</f>
        <v>328.564698597431</v>
      </c>
      <c r="S88" s="173">
        <f ca="1">IF(OFFSET(Scenarios!$A$47,0,$C$1)="Yes", IF(2*R$88*(1+S$236)/S$87 &gt; OFFSET(Scenarios!$A$48,0,$C$1), R$88*(1+S$236), S$87*OFFSET(Scenarios!$A$48,0,$C$1)/2), R$88*(1+S$236))</f>
        <v>338.62306995792034</v>
      </c>
      <c r="T88" s="173">
        <f ca="1">IF(OFFSET(Scenarios!$A$47,0,$C$1)="Yes", IF(2*S$88*(1+T$236)/T$87 &gt; OFFSET(Scenarios!$A$48,0,$C$1), S$88*(1+T$236), T$87*OFFSET(Scenarios!$A$48,0,$C$1)/2), S$88*(1+T$236))</f>
        <v>350.57646432743485</v>
      </c>
      <c r="U88" s="173">
        <f ca="1">IF(OFFSET(Scenarios!$A$47,0,$C$1)="Yes", IF(2*T$88*(1+U$236)/U$87 &gt; OFFSET(Scenarios!$A$48,0,$C$1), T$88*(1+U$236), U$87*OFFSET(Scenarios!$A$48,0,$C$1)/2), T$88*(1+U$236))</f>
        <v>362.95181351819332</v>
      </c>
      <c r="V88" s="173">
        <f ca="1">IF(OFFSET(Scenarios!$A$47,0,$C$1)="Yes", IF(2*U$88*(1+V$236)/V$87 &gt; OFFSET(Scenarios!$A$48,0,$C$1), U$88*(1+V$236), V$87*OFFSET(Scenarios!$A$48,0,$C$1)/2), U$88*(1+V$236))</f>
        <v>375.76401253538552</v>
      </c>
      <c r="W88" s="173">
        <f ca="1">IF(OFFSET(Scenarios!$A$47,0,$C$1)="Yes", IF(2*V$88*(1+W$236)/W$87 &gt; OFFSET(Scenarios!$A$48,0,$C$1), V$88*(1+W$236), W$87*OFFSET(Scenarios!$A$48,0,$C$1)/2), V$88*(1+W$236))</f>
        <v>389.02848217788454</v>
      </c>
      <c r="X88" s="173">
        <f ca="1">IF(OFFSET(Scenarios!$A$47,0,$C$1)="Yes", IF(2*W$88*(1+X$236)/X$87 &gt; OFFSET(Scenarios!$A$48,0,$C$1), W$88*(1+X$236), X$87*OFFSET(Scenarios!$A$48,0,$C$1)/2), W$88*(1+X$236))</f>
        <v>402.76118759876374</v>
      </c>
    </row>
    <row r="89" spans="1:24" x14ac:dyDescent="0.2">
      <c r="A89" s="225" t="s">
        <v>896</v>
      </c>
      <c r="B89" s="233"/>
      <c r="C89" s="69"/>
      <c r="D89" s="178">
        <f>Data!C$223</f>
        <v>255.7</v>
      </c>
      <c r="E89" s="178">
        <f>Data!D$223</f>
        <v>264.37</v>
      </c>
      <c r="F89" s="178">
        <f>Data!E$223</f>
        <v>273.63</v>
      </c>
      <c r="G89" s="178">
        <f>Data!F$223</f>
        <v>280.62</v>
      </c>
      <c r="H89" s="178">
        <f>Data!G$223</f>
        <v>294.08</v>
      </c>
      <c r="I89" s="178">
        <f>Data!H$223</f>
        <v>302.39999999999998</v>
      </c>
      <c r="J89" s="294">
        <f>Data!I$223</f>
        <v>310.31</v>
      </c>
      <c r="K89" s="294">
        <f>Data!J$223</f>
        <v>315.74</v>
      </c>
      <c r="L89" s="294">
        <f>Data!K$223</f>
        <v>323.01</v>
      </c>
      <c r="M89" s="294">
        <f>Data!L$223</f>
        <v>329.74</v>
      </c>
      <c r="N89" s="294">
        <f>Data!M$223</f>
        <v>337.46</v>
      </c>
      <c r="O89" s="358">
        <f ca="1">IF(AND(OFFSET(Scenarios!$A$26,0,$C$1)="Yes",O$4&lt;=OFFSET(Scenarios!$A$28,0,$C$1)),IF(52*O$88&gt;(OFFSET(Scenarios!$A$80,0,$C$1)*(1-OFFSET(Scenarios!$A$83,0,$C$1))+OFFSET(Scenarios!$A$79,0,$C$1)*(OFFSET(Scenarios!$A$83,0,$C$1)-OFFSET(Scenarios!$A$82,0,$C$1))+OFFSET(Scenarios!$A$78,0,$C$1)*(OFFSET(Scenarios!$A$82,0,$C$1)-OFFSET(Scenarios!$A$81,0,$C$1))),(52*O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O$88&gt;(OFFSET(Scenarios!$A$79,0,$C$1)*(1-OFFSET(Scenarios!$A$82,0,$C$1))+OFFSET(Scenarios!$A$78,0,$C$1)*(OFFSET(Scenarios!$A$82,0,$C$1)-OFFSET(Scenarios!$A$81,0,$C$1))),(52*O$88-OFFSET(Scenarios!$A$79,0,$C$1)*OFFSET(Scenarios!$A$83,0,$C$1)+OFFSET(Scenarios!$A$79,0,$C$1)*OFFSET(Scenarios!$A$82,0,$C$1)-OFFSET(Scenarios!$A$78,0,$C$1)*(OFFSET(Scenarios!$A$82,0,$C$1)-OFFSET(Scenarios!$A$81,0,$C$1)))/(1-OFFSET(Scenarios!$A$83,0,$C$1)),IF(52*O$88&gt;(OFFSET(Scenarios!$A$78,0,$C$1)*(1-OFFSET(Scenarios!$A$81,0,$C$1))),(52*O$88-OFFSET(Scenarios!$A$78,0,$C$1)*OFFSET(Scenarios!$A$82,0,$C$1)+OFFSET(Scenarios!$A$78,0,$C$1)*OFFSET(Scenarios!$A$81,0,$C$1))/(1-OFFSET(Scenarios!$A$82,0,$C$1)),IF(52*O$88&gt;0,52*O$88/(1-OFFSET(Scenarios!$A$81,0,$C$1)),0))))/52,N$89*O$88/N$88)</f>
        <v>344.83128693753497</v>
      </c>
      <c r="P89" s="358">
        <f ca="1">IF(AND(OFFSET(Scenarios!$A$26,0,$C$1)="Yes",P$4&lt;=OFFSET(Scenarios!$A$28,0,$C$1)),IF(52*P$88&gt;(OFFSET(Scenarios!$A$80,0,$C$1)*(1-OFFSET(Scenarios!$A$83,0,$C$1))+OFFSET(Scenarios!$A$79,0,$C$1)*(OFFSET(Scenarios!$A$83,0,$C$1)-OFFSET(Scenarios!$A$82,0,$C$1))+OFFSET(Scenarios!$A$78,0,$C$1)*(OFFSET(Scenarios!$A$82,0,$C$1)-OFFSET(Scenarios!$A$81,0,$C$1))),(52*P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P$88&gt;(OFFSET(Scenarios!$A$79,0,$C$1)*(1-OFFSET(Scenarios!$A$82,0,$C$1))+OFFSET(Scenarios!$A$78,0,$C$1)*(OFFSET(Scenarios!$A$82,0,$C$1)-OFFSET(Scenarios!$A$81,0,$C$1))),(52*P$88-OFFSET(Scenarios!$A$79,0,$C$1)*OFFSET(Scenarios!$A$83,0,$C$1)+OFFSET(Scenarios!$A$79,0,$C$1)*OFFSET(Scenarios!$A$82,0,$C$1)-OFFSET(Scenarios!$A$78,0,$C$1)*(OFFSET(Scenarios!$A$82,0,$C$1)-OFFSET(Scenarios!$A$81,0,$C$1)))/(1-OFFSET(Scenarios!$A$83,0,$C$1)),IF(52*P$88&gt;(OFFSET(Scenarios!$A$78,0,$C$1)*(1-OFFSET(Scenarios!$A$81,0,$C$1))),(52*P$88-OFFSET(Scenarios!$A$78,0,$C$1)*OFFSET(Scenarios!$A$82,0,$C$1)+OFFSET(Scenarios!$A$78,0,$C$1)*OFFSET(Scenarios!$A$81,0,$C$1))/(1-OFFSET(Scenarios!$A$82,0,$C$1)),IF(52*P$88&gt;0,52*P$88/(1-OFFSET(Scenarios!$A$81,0,$C$1)),0))))/52,O$89*P$88/O$88)</f>
        <v>352.26541963817306</v>
      </c>
      <c r="Q89" s="358">
        <f ca="1">IF(AND(OFFSET(Scenarios!$A$26,0,$C$1)="Yes",Q$4&lt;=OFFSET(Scenarios!$A$28,0,$C$1)),IF(52*Q$88&gt;(OFFSET(Scenarios!$A$80,0,$C$1)*(1-OFFSET(Scenarios!$A$83,0,$C$1))+OFFSET(Scenarios!$A$79,0,$C$1)*(OFFSET(Scenarios!$A$83,0,$C$1)-OFFSET(Scenarios!$A$82,0,$C$1))+OFFSET(Scenarios!$A$78,0,$C$1)*(OFFSET(Scenarios!$A$82,0,$C$1)-OFFSET(Scenarios!$A$81,0,$C$1))),(52*Q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Q$88&gt;(OFFSET(Scenarios!$A$79,0,$C$1)*(1-OFFSET(Scenarios!$A$82,0,$C$1))+OFFSET(Scenarios!$A$78,0,$C$1)*(OFFSET(Scenarios!$A$82,0,$C$1)-OFFSET(Scenarios!$A$81,0,$C$1))),(52*Q$88-OFFSET(Scenarios!$A$79,0,$C$1)*OFFSET(Scenarios!$A$83,0,$C$1)+OFFSET(Scenarios!$A$79,0,$C$1)*OFFSET(Scenarios!$A$82,0,$C$1)-OFFSET(Scenarios!$A$78,0,$C$1)*(OFFSET(Scenarios!$A$82,0,$C$1)-OFFSET(Scenarios!$A$81,0,$C$1)))/(1-OFFSET(Scenarios!$A$83,0,$C$1)),IF(52*Q$88&gt;(OFFSET(Scenarios!$A$78,0,$C$1)*(1-OFFSET(Scenarios!$A$81,0,$C$1))),(52*Q$88-OFFSET(Scenarios!$A$78,0,$C$1)*OFFSET(Scenarios!$A$82,0,$C$1)+OFFSET(Scenarios!$A$78,0,$C$1)*OFFSET(Scenarios!$A$81,0,$C$1))/(1-OFFSET(Scenarios!$A$82,0,$C$1)),IF(52*Q$88&gt;0,52*Q$88/(1-OFFSET(Scenarios!$A$81,0,$C$1)),0))))/52,P$89*Q$88/P$88)</f>
        <v>363.64015468566618</v>
      </c>
      <c r="R89" s="358">
        <f ca="1">IF(AND(OFFSET(Scenarios!$A$26,0,$C$1)="Yes",R$4&lt;=OFFSET(Scenarios!$A$28,0,$C$1)),IF(52*R$88&gt;(OFFSET(Scenarios!$A$80,0,$C$1)*(1-OFFSET(Scenarios!$A$83,0,$C$1))+OFFSET(Scenarios!$A$79,0,$C$1)*(OFFSET(Scenarios!$A$83,0,$C$1)-OFFSET(Scenarios!$A$82,0,$C$1))+OFFSET(Scenarios!$A$78,0,$C$1)*(OFFSET(Scenarios!$A$82,0,$C$1)-OFFSET(Scenarios!$A$81,0,$C$1))),(52*R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R$88&gt;(OFFSET(Scenarios!$A$79,0,$C$1)*(1-OFFSET(Scenarios!$A$82,0,$C$1))+OFFSET(Scenarios!$A$78,0,$C$1)*(OFFSET(Scenarios!$A$82,0,$C$1)-OFFSET(Scenarios!$A$81,0,$C$1))),(52*R$88-OFFSET(Scenarios!$A$79,0,$C$1)*OFFSET(Scenarios!$A$83,0,$C$1)+OFFSET(Scenarios!$A$79,0,$C$1)*OFFSET(Scenarios!$A$82,0,$C$1)-OFFSET(Scenarios!$A$78,0,$C$1)*(OFFSET(Scenarios!$A$82,0,$C$1)-OFFSET(Scenarios!$A$81,0,$C$1)))/(1-OFFSET(Scenarios!$A$83,0,$C$1)),IF(52*R$88&gt;(OFFSET(Scenarios!$A$78,0,$C$1)*(1-OFFSET(Scenarios!$A$81,0,$C$1))),(52*R$88-OFFSET(Scenarios!$A$78,0,$C$1)*OFFSET(Scenarios!$A$82,0,$C$1)+OFFSET(Scenarios!$A$78,0,$C$1)*OFFSET(Scenarios!$A$81,0,$C$1))/(1-OFFSET(Scenarios!$A$82,0,$C$1)),IF(52*R$88&gt;0,52*R$88/(1-OFFSET(Scenarios!$A$81,0,$C$1)),0))))/52,Q$89*R$88/Q$88)</f>
        <v>375.41641788033598</v>
      </c>
      <c r="S89" s="358">
        <f ca="1">IF(AND(OFFSET(Scenarios!$A$26,0,$C$1)="Yes",S$4&lt;=OFFSET(Scenarios!$A$28,0,$C$1)),IF(52*S$88&gt;(OFFSET(Scenarios!$A$80,0,$C$1)*(1-OFFSET(Scenarios!$A$83,0,$C$1))+OFFSET(Scenarios!$A$79,0,$C$1)*(OFFSET(Scenarios!$A$83,0,$C$1)-OFFSET(Scenarios!$A$82,0,$C$1))+OFFSET(Scenarios!$A$78,0,$C$1)*(OFFSET(Scenarios!$A$82,0,$C$1)-OFFSET(Scenarios!$A$81,0,$C$1))),(52*S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S$88&gt;(OFFSET(Scenarios!$A$79,0,$C$1)*(1-OFFSET(Scenarios!$A$82,0,$C$1))+OFFSET(Scenarios!$A$78,0,$C$1)*(OFFSET(Scenarios!$A$82,0,$C$1)-OFFSET(Scenarios!$A$81,0,$C$1))),(52*S$88-OFFSET(Scenarios!$A$79,0,$C$1)*OFFSET(Scenarios!$A$83,0,$C$1)+OFFSET(Scenarios!$A$79,0,$C$1)*OFFSET(Scenarios!$A$82,0,$C$1)-OFFSET(Scenarios!$A$78,0,$C$1)*(OFFSET(Scenarios!$A$82,0,$C$1)-OFFSET(Scenarios!$A$81,0,$C$1)))/(1-OFFSET(Scenarios!$A$83,0,$C$1)),IF(52*S$88&gt;(OFFSET(Scenarios!$A$78,0,$C$1)*(1-OFFSET(Scenarios!$A$81,0,$C$1))),(52*S$88-OFFSET(Scenarios!$A$78,0,$C$1)*OFFSET(Scenarios!$A$82,0,$C$1)+OFFSET(Scenarios!$A$78,0,$C$1)*OFFSET(Scenarios!$A$81,0,$C$1))/(1-OFFSET(Scenarios!$A$82,0,$C$1)),IF(52*S$88&gt;0,52*S$88/(1-OFFSET(Scenarios!$A$81,0,$C$1)),0))))/52,R$89*S$88/R$88)</f>
        <v>387.60838316577758</v>
      </c>
      <c r="T89" s="358">
        <f ca="1">IF(AND(OFFSET(Scenarios!$A$26,0,$C$1)="Yes",T$4&lt;=OFFSET(Scenarios!$A$28,0,$C$1)),IF(52*T$88&gt;(OFFSET(Scenarios!$A$80,0,$C$1)*(1-OFFSET(Scenarios!$A$83,0,$C$1))+OFFSET(Scenarios!$A$79,0,$C$1)*(OFFSET(Scenarios!$A$83,0,$C$1)-OFFSET(Scenarios!$A$82,0,$C$1))+OFFSET(Scenarios!$A$78,0,$C$1)*(OFFSET(Scenarios!$A$82,0,$C$1)-OFFSET(Scenarios!$A$81,0,$C$1))),(52*T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T$88&gt;(OFFSET(Scenarios!$A$79,0,$C$1)*(1-OFFSET(Scenarios!$A$82,0,$C$1))+OFFSET(Scenarios!$A$78,0,$C$1)*(OFFSET(Scenarios!$A$82,0,$C$1)-OFFSET(Scenarios!$A$81,0,$C$1))),(52*T$88-OFFSET(Scenarios!$A$79,0,$C$1)*OFFSET(Scenarios!$A$83,0,$C$1)+OFFSET(Scenarios!$A$79,0,$C$1)*OFFSET(Scenarios!$A$82,0,$C$1)-OFFSET(Scenarios!$A$78,0,$C$1)*(OFFSET(Scenarios!$A$82,0,$C$1)-OFFSET(Scenarios!$A$81,0,$C$1)))/(1-OFFSET(Scenarios!$A$83,0,$C$1)),IF(52*T$88&gt;(OFFSET(Scenarios!$A$78,0,$C$1)*(1-OFFSET(Scenarios!$A$81,0,$C$1))),(52*T$88-OFFSET(Scenarios!$A$78,0,$C$1)*OFFSET(Scenarios!$A$82,0,$C$1)+OFFSET(Scenarios!$A$78,0,$C$1)*OFFSET(Scenarios!$A$81,0,$C$1))/(1-OFFSET(Scenarios!$A$82,0,$C$1)),IF(52*T$88&gt;0,52*T$88/(1-OFFSET(Scenarios!$A$81,0,$C$1)),0))))/52,S$89*T$88/S$88)</f>
        <v>401.29095909152949</v>
      </c>
      <c r="U89" s="358">
        <f ca="1">IF(AND(OFFSET(Scenarios!$A$26,0,$C$1)="Yes",U$4&lt;=OFFSET(Scenarios!$A$28,0,$C$1)),IF(52*U$88&gt;(OFFSET(Scenarios!$A$80,0,$C$1)*(1-OFFSET(Scenarios!$A$83,0,$C$1))+OFFSET(Scenarios!$A$79,0,$C$1)*(OFFSET(Scenarios!$A$83,0,$C$1)-OFFSET(Scenarios!$A$82,0,$C$1))+OFFSET(Scenarios!$A$78,0,$C$1)*(OFFSET(Scenarios!$A$82,0,$C$1)-OFFSET(Scenarios!$A$81,0,$C$1))),(52*U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U$88&gt;(OFFSET(Scenarios!$A$79,0,$C$1)*(1-OFFSET(Scenarios!$A$82,0,$C$1))+OFFSET(Scenarios!$A$78,0,$C$1)*(OFFSET(Scenarios!$A$82,0,$C$1)-OFFSET(Scenarios!$A$81,0,$C$1))),(52*U$88-OFFSET(Scenarios!$A$79,0,$C$1)*OFFSET(Scenarios!$A$83,0,$C$1)+OFFSET(Scenarios!$A$79,0,$C$1)*OFFSET(Scenarios!$A$82,0,$C$1)-OFFSET(Scenarios!$A$78,0,$C$1)*(OFFSET(Scenarios!$A$82,0,$C$1)-OFFSET(Scenarios!$A$81,0,$C$1)))/(1-OFFSET(Scenarios!$A$83,0,$C$1)),IF(52*U$88&gt;(OFFSET(Scenarios!$A$78,0,$C$1)*(1-OFFSET(Scenarios!$A$81,0,$C$1))),(52*U$88-OFFSET(Scenarios!$A$78,0,$C$1)*OFFSET(Scenarios!$A$82,0,$C$1)+OFFSET(Scenarios!$A$78,0,$C$1)*OFFSET(Scenarios!$A$81,0,$C$1))/(1-OFFSET(Scenarios!$A$82,0,$C$1)),IF(52*U$88&gt;0,52*U$88/(1-OFFSET(Scenarios!$A$81,0,$C$1)),0))))/52,T$89*U$88/T$88)</f>
        <v>415.45652994746052</v>
      </c>
      <c r="V89" s="358">
        <f ca="1">IF(AND(OFFSET(Scenarios!$A$26,0,$C$1)="Yes",V$4&lt;=OFFSET(Scenarios!$A$28,0,$C$1)),IF(52*V$88&gt;(OFFSET(Scenarios!$A$80,0,$C$1)*(1-OFFSET(Scenarios!$A$83,0,$C$1))+OFFSET(Scenarios!$A$79,0,$C$1)*(OFFSET(Scenarios!$A$83,0,$C$1)-OFFSET(Scenarios!$A$82,0,$C$1))+OFFSET(Scenarios!$A$78,0,$C$1)*(OFFSET(Scenarios!$A$82,0,$C$1)-OFFSET(Scenarios!$A$81,0,$C$1))),(52*V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V$88&gt;(OFFSET(Scenarios!$A$79,0,$C$1)*(1-OFFSET(Scenarios!$A$82,0,$C$1))+OFFSET(Scenarios!$A$78,0,$C$1)*(OFFSET(Scenarios!$A$82,0,$C$1)-OFFSET(Scenarios!$A$81,0,$C$1))),(52*V$88-OFFSET(Scenarios!$A$79,0,$C$1)*OFFSET(Scenarios!$A$83,0,$C$1)+OFFSET(Scenarios!$A$79,0,$C$1)*OFFSET(Scenarios!$A$82,0,$C$1)-OFFSET(Scenarios!$A$78,0,$C$1)*(OFFSET(Scenarios!$A$82,0,$C$1)-OFFSET(Scenarios!$A$81,0,$C$1)))/(1-OFFSET(Scenarios!$A$83,0,$C$1)),IF(52*V$88&gt;(OFFSET(Scenarios!$A$78,0,$C$1)*(1-OFFSET(Scenarios!$A$81,0,$C$1))),(52*V$88-OFFSET(Scenarios!$A$78,0,$C$1)*OFFSET(Scenarios!$A$82,0,$C$1)+OFFSET(Scenarios!$A$78,0,$C$1)*OFFSET(Scenarios!$A$81,0,$C$1))/(1-OFFSET(Scenarios!$A$82,0,$C$1)),IF(52*V$88&gt;0,52*V$88/(1-OFFSET(Scenarios!$A$81,0,$C$1)),0))))/52,U$89*V$88/U$88)</f>
        <v>430.12214545460586</v>
      </c>
      <c r="W89" s="358">
        <f ca="1">IF(AND(OFFSET(Scenarios!$A$26,0,$C$1)="Yes",W$4&lt;=OFFSET(Scenarios!$A$28,0,$C$1)),IF(52*W$88&gt;(OFFSET(Scenarios!$A$80,0,$C$1)*(1-OFFSET(Scenarios!$A$83,0,$C$1))+OFFSET(Scenarios!$A$79,0,$C$1)*(OFFSET(Scenarios!$A$83,0,$C$1)-OFFSET(Scenarios!$A$82,0,$C$1))+OFFSET(Scenarios!$A$78,0,$C$1)*(OFFSET(Scenarios!$A$82,0,$C$1)-OFFSET(Scenarios!$A$81,0,$C$1))),(52*W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W$88&gt;(OFFSET(Scenarios!$A$79,0,$C$1)*(1-OFFSET(Scenarios!$A$82,0,$C$1))+OFFSET(Scenarios!$A$78,0,$C$1)*(OFFSET(Scenarios!$A$82,0,$C$1)-OFFSET(Scenarios!$A$81,0,$C$1))),(52*W$88-OFFSET(Scenarios!$A$79,0,$C$1)*OFFSET(Scenarios!$A$83,0,$C$1)+OFFSET(Scenarios!$A$79,0,$C$1)*OFFSET(Scenarios!$A$82,0,$C$1)-OFFSET(Scenarios!$A$78,0,$C$1)*(OFFSET(Scenarios!$A$82,0,$C$1)-OFFSET(Scenarios!$A$81,0,$C$1)))/(1-OFFSET(Scenarios!$A$83,0,$C$1)),IF(52*W$88&gt;(OFFSET(Scenarios!$A$78,0,$C$1)*(1-OFFSET(Scenarios!$A$81,0,$C$1))),(52*W$88-OFFSET(Scenarios!$A$78,0,$C$1)*OFFSET(Scenarios!$A$82,0,$C$1)+OFFSET(Scenarios!$A$78,0,$C$1)*OFFSET(Scenarios!$A$81,0,$C$1))/(1-OFFSET(Scenarios!$A$82,0,$C$1)),IF(52*W$88&gt;0,52*W$88/(1-OFFSET(Scenarios!$A$81,0,$C$1)),0))))/52,V$89*W$88/V$88)</f>
        <v>445.30545718915334</v>
      </c>
      <c r="X89" s="358">
        <f ca="1">IF(AND(OFFSET(Scenarios!$A$26,0,$C$1)="Yes",X$4&lt;=OFFSET(Scenarios!$A$28,0,$C$1)),IF(52*X$88&gt;(OFFSET(Scenarios!$A$80,0,$C$1)*(1-OFFSET(Scenarios!$A$83,0,$C$1))+OFFSET(Scenarios!$A$79,0,$C$1)*(OFFSET(Scenarios!$A$83,0,$C$1)-OFFSET(Scenarios!$A$82,0,$C$1))+OFFSET(Scenarios!$A$78,0,$C$1)*(OFFSET(Scenarios!$A$82,0,$C$1)-OFFSET(Scenarios!$A$81,0,$C$1))),(52*X$88-OFFSET(Scenarios!$A$80,0,$C$1)*OFFSET(Scenarios!$A$84,0,$C$1)+OFFSET(Scenarios!$A$80,0,$C$1)*OFFSET(Scenarios!$A$83,0,$C$1)-OFFSET(Scenarios!$A$79,0,$C$1)*(OFFSET(Scenarios!$A$83,0,$C$1)-OFFSET(Scenarios!$A$82,0,$C$1))-OFFSET(Scenarios!$A$78,0,$C$1)*(OFFSET(Scenarios!$A$82,0,$C$1)-OFFSET(Scenarios!$A$81,0,$C$1)))/(1-OFFSET(Scenarios!$A$84,0,$C$1)),IF(52*X$88&gt;(OFFSET(Scenarios!$A$79,0,$C$1)*(1-OFFSET(Scenarios!$A$82,0,$C$1))+OFFSET(Scenarios!$A$78,0,$C$1)*(OFFSET(Scenarios!$A$82,0,$C$1)-OFFSET(Scenarios!$A$81,0,$C$1))),(52*X$88-OFFSET(Scenarios!$A$79,0,$C$1)*OFFSET(Scenarios!$A$83,0,$C$1)+OFFSET(Scenarios!$A$79,0,$C$1)*OFFSET(Scenarios!$A$82,0,$C$1)-OFFSET(Scenarios!$A$78,0,$C$1)*(OFFSET(Scenarios!$A$82,0,$C$1)-OFFSET(Scenarios!$A$81,0,$C$1)))/(1-OFFSET(Scenarios!$A$83,0,$C$1)),IF(52*X$88&gt;(OFFSET(Scenarios!$A$78,0,$C$1)*(1-OFFSET(Scenarios!$A$81,0,$C$1))),(52*X$88-OFFSET(Scenarios!$A$78,0,$C$1)*OFFSET(Scenarios!$A$82,0,$C$1)+OFFSET(Scenarios!$A$78,0,$C$1)*OFFSET(Scenarios!$A$81,0,$C$1))/(1-OFFSET(Scenarios!$A$82,0,$C$1)),IF(52*X$88&gt;0,52*X$88/(1-OFFSET(Scenarios!$A$81,0,$C$1)),0))))/52,W$89*X$88/W$88)</f>
        <v>461.02473982793032</v>
      </c>
    </row>
    <row r="90" spans="1:24" x14ac:dyDescent="0.2">
      <c r="A90" s="225" t="s">
        <v>888</v>
      </c>
      <c r="B90" s="233"/>
      <c r="C90" s="69"/>
      <c r="D90" s="69">
        <f>Data!C$224</f>
        <v>5.5419999999999998</v>
      </c>
      <c r="E90" s="69">
        <f>Data!D$224</f>
        <v>5.9660000000000002</v>
      </c>
      <c r="F90" s="69">
        <f>Data!E$224</f>
        <v>6.4550000000000001</v>
      </c>
      <c r="G90" s="69">
        <f>Data!F$224</f>
        <v>6.9630000000000001</v>
      </c>
      <c r="H90" s="69">
        <f>Data!G$224</f>
        <v>7.5609999999999999</v>
      </c>
      <c r="I90" s="69">
        <f>Data!H$224</f>
        <v>8.2379999999999995</v>
      </c>
      <c r="J90" s="125">
        <f>Data!I$224</f>
        <v>8.7669999999999995</v>
      </c>
      <c r="K90" s="125">
        <f>Data!J$224</f>
        <v>9.2710000000000008</v>
      </c>
      <c r="L90" s="125">
        <f>Data!K$224</f>
        <v>9.734</v>
      </c>
      <c r="M90" s="125">
        <f>Data!L$224</f>
        <v>10.279</v>
      </c>
      <c r="N90" s="125">
        <f>Data!M$224</f>
        <v>10.789</v>
      </c>
      <c r="O90" s="73">
        <f ca="1">N$90*(1+Popn!O$199)*(3*N$88/M$88+O$88/N$88)/4</f>
        <v>11.368000563463861</v>
      </c>
      <c r="P90" s="73">
        <f ca="1">O$90*(1+Popn!P$199)*(3*O$88/N$88+P$88/O$88)/4</f>
        <v>11.972304878972773</v>
      </c>
      <c r="Q90" s="73">
        <f ca="1">P$90*(1+Popn!Q$199)*(3*P$88/O$88+Q$88/P$88)/4</f>
        <v>12.640068082070743</v>
      </c>
      <c r="R90" s="73">
        <f ca="1">Q$90*(1+Popn!R$199)*(3*Q$88/P$88+R$88/Q$88)/4</f>
        <v>13.455459046715648</v>
      </c>
      <c r="S90" s="73">
        <f ca="1">R$90*(1+Popn!S$199)*(3*R$88/Q$88+S$88/R$88)/4</f>
        <v>14.319654330504111</v>
      </c>
      <c r="T90" s="73">
        <f ca="1">S$90*(1+Popn!T$199)*(3*S$88/R$88+T$88/S$88)/4</f>
        <v>15.245726170505197</v>
      </c>
      <c r="U90" s="73">
        <f ca="1">T$90*(1+Popn!U$199)*(3*T$88/S$88+U$88/T$88)/4</f>
        <v>16.307956151540495</v>
      </c>
      <c r="V90" s="73">
        <f ca="1">U$90*(1+Popn!V$199)*(3*U$88/T$88+V$88/U$88)/4</f>
        <v>17.428974858716426</v>
      </c>
      <c r="W90" s="73">
        <f ca="1">V$90*(1+Popn!W$199)*(3*V$88/U$88+W$88/V$88)/4</f>
        <v>18.64042920278176</v>
      </c>
      <c r="X90" s="73">
        <f ca="1">W$90*(1+Popn!X$199)*(3*W$88/V$88+X$88/W$88)/4</f>
        <v>19.921681133814275</v>
      </c>
    </row>
    <row r="91" spans="1:24" x14ac:dyDescent="0.2">
      <c r="A91" s="108" t="s">
        <v>643</v>
      </c>
      <c r="B91" s="36"/>
      <c r="C91" s="69"/>
      <c r="D91" s="69">
        <f>SUM(SUM(Popn!D$7:D$11)*Tracks!$C$33,SUM(Popn!D$101:D$105)*Tracks!$B$33,SUM(Popn!D$12:D$16)*Tracks!$C$34,SUM(Popn!D$106:D$110)*Tracks!$B$34,SUM(Popn!D$17:D$21)*Tracks!$C$35,SUM(Popn!D$111:D$115)*Tracks!$B$35,SUM(Popn!D$22:D$26)*Tracks!$C$36,SUM(Popn!D$116:D$120)*Tracks!$B$36,SUM(Popn!D$27:D$36)*Tracks!$C$37,SUM(Popn!D$121:D$130)*Tracks!$B$37,SUM(Popn!D$37:D$46)*Tracks!$C$38,SUM(Popn!D$131:D$140)*Tracks!$B$38,SUM(Popn!D$47:D$56)*Tracks!$C$39,SUM(Popn!D$141:D$150)*Tracks!$B$39,SUM(Popn!D$57:D$66)*Tracks!$C$40,SUM(Popn!D$151:D$160)*Tracks!$B$40,SUM(Popn!D$67:D$71)*Tracks!$C$41,SUM(Popn!D$161:D$165)*Tracks!$B$41,SUM(Popn!D$72:D$97)*Tracks!$C$42,SUM(Popn!D$166:D$191)*Tracks!$B$42)/1000000000</f>
        <v>4.6001840191481467</v>
      </c>
      <c r="E91" s="69">
        <f>SUM(SUM(Popn!E$7:E$11)*Tracks!$C$33,SUM(Popn!E$101:E$105)*Tracks!$B$33,SUM(Popn!E$12:E$16)*Tracks!$C$34,SUM(Popn!E$106:E$110)*Tracks!$B$34,SUM(Popn!E$17:E$21)*Tracks!$C$35,SUM(Popn!E$111:E$115)*Tracks!$B$35,SUM(Popn!E$22:E$26)*Tracks!$C$36,SUM(Popn!E$116:E$120)*Tracks!$B$36,SUM(Popn!E$27:E$36)*Tracks!$C$37,SUM(Popn!E$121:E$130)*Tracks!$B$37,SUM(Popn!E$37:E$46)*Tracks!$C$38,SUM(Popn!E$131:E$140)*Tracks!$B$38,SUM(Popn!E$47:E$56)*Tracks!$C$39,SUM(Popn!E$141:E$150)*Tracks!$B$39,SUM(Popn!E$57:E$66)*Tracks!$C$40,SUM(Popn!E$151:E$160)*Tracks!$B$40,SUM(Popn!E$67:E$71)*Tracks!$C$41,SUM(Popn!E$161:E$165)*Tracks!$B$41,SUM(Popn!E$72:E$97)*Tracks!$C$42,SUM(Popn!E$166:E$191)*Tracks!$B$42)/1000000000</f>
        <v>4.6561307828092415</v>
      </c>
      <c r="F91" s="69">
        <f>SUM(SUM(Popn!F$7:F$11)*Tracks!$C$33,SUM(Popn!F$101:F$105)*Tracks!$B$33,SUM(Popn!F$12:F$16)*Tracks!$C$34,SUM(Popn!F$106:F$110)*Tracks!$B$34,SUM(Popn!F$17:F$21)*Tracks!$C$35,SUM(Popn!F$111:F$115)*Tracks!$B$35,SUM(Popn!F$22:F$26)*Tracks!$C$36,SUM(Popn!F$116:F$120)*Tracks!$B$36,SUM(Popn!F$27:F$36)*Tracks!$C$37,SUM(Popn!F$121:F$130)*Tracks!$B$37,SUM(Popn!F$37:F$46)*Tracks!$C$38,SUM(Popn!F$131:F$140)*Tracks!$B$38,SUM(Popn!F$47:F$56)*Tracks!$C$39,SUM(Popn!F$141:F$150)*Tracks!$B$39,SUM(Popn!F$57:F$66)*Tracks!$C$40,SUM(Popn!F$151:F$160)*Tracks!$B$40,SUM(Popn!F$67:F$71)*Tracks!$C$41,SUM(Popn!F$161:F$165)*Tracks!$B$41,SUM(Popn!F$72:F$97)*Tracks!$C$42,SUM(Popn!F$166:F$191)*Tracks!$B$42)/1000000000</f>
        <v>4.716476260389455</v>
      </c>
      <c r="G91" s="69">
        <f>SUM(SUM(Popn!G$7:G$11)*Tracks!$C$33,SUM(Popn!G$101:G$105)*Tracks!$B$33,SUM(Popn!G$12:G$16)*Tracks!$C$34,SUM(Popn!G$106:G$110)*Tracks!$B$34,SUM(Popn!G$17:G$21)*Tracks!$C$35,SUM(Popn!G$111:G$115)*Tracks!$B$35,SUM(Popn!G$22:G$26)*Tracks!$C$36,SUM(Popn!G$116:G$120)*Tracks!$B$36,SUM(Popn!G$27:G$36)*Tracks!$C$37,SUM(Popn!G$121:G$130)*Tracks!$B$37,SUM(Popn!G$37:G$46)*Tracks!$C$38,SUM(Popn!G$131:G$140)*Tracks!$B$38,SUM(Popn!G$47:G$56)*Tracks!$C$39,SUM(Popn!G$141:G$150)*Tracks!$B$39,SUM(Popn!G$57:G$66)*Tracks!$C$40,SUM(Popn!G$151:G$160)*Tracks!$B$40,SUM(Popn!G$67:G$71)*Tracks!$C$41,SUM(Popn!G$161:G$165)*Tracks!$B$41,SUM(Popn!G$72:G$97)*Tracks!$C$42,SUM(Popn!G$166:G$191)*Tracks!$B$42)/1000000000</f>
        <v>4.7802665899396262</v>
      </c>
      <c r="H91" s="69">
        <f>SUM(SUM(Popn!H$7:H$11)*Tracks!$C$33,SUM(Popn!H$101:H$105)*Tracks!$B$33,SUM(Popn!H$12:H$16)*Tracks!$C$34,SUM(Popn!H$106:H$110)*Tracks!$B$34,SUM(Popn!H$17:H$21)*Tracks!$C$35,SUM(Popn!H$111:H$115)*Tracks!$B$35,SUM(Popn!H$22:H$26)*Tracks!$C$36,SUM(Popn!H$116:H$120)*Tracks!$B$36,SUM(Popn!H$27:H$36)*Tracks!$C$37,SUM(Popn!H$121:H$130)*Tracks!$B$37,SUM(Popn!H$37:H$46)*Tracks!$C$38,SUM(Popn!H$131:H$140)*Tracks!$B$38,SUM(Popn!H$47:H$56)*Tracks!$C$39,SUM(Popn!H$141:H$150)*Tracks!$B$39,SUM(Popn!H$57:H$66)*Tracks!$C$40,SUM(Popn!H$151:H$160)*Tracks!$B$40,SUM(Popn!H$67:H$71)*Tracks!$C$41,SUM(Popn!H$161:H$165)*Tracks!$B$41,SUM(Popn!H$72:H$97)*Tracks!$C$42,SUM(Popn!H$166:H$191)*Tracks!$B$42)/1000000000</f>
        <v>4.8310496030539509</v>
      </c>
      <c r="I91" s="69">
        <f>SUM(SUM(Popn!I$7:I$11)*Tracks!$C$33,SUM(Popn!I$101:I$105)*Tracks!$B$33,SUM(Popn!I$12:I$16)*Tracks!$C$34,SUM(Popn!I$106:I$110)*Tracks!$B$34,SUM(Popn!I$17:I$21)*Tracks!$C$35,SUM(Popn!I$111:I$115)*Tracks!$B$35,SUM(Popn!I$22:I$26)*Tracks!$C$36,SUM(Popn!I$116:I$120)*Tracks!$B$36,SUM(Popn!I$27:I$36)*Tracks!$C$37,SUM(Popn!I$121:I$130)*Tracks!$B$37,SUM(Popn!I$37:I$46)*Tracks!$C$38,SUM(Popn!I$131:I$140)*Tracks!$B$38,SUM(Popn!I$47:I$56)*Tracks!$C$39,SUM(Popn!I$141:I$150)*Tracks!$B$39,SUM(Popn!I$57:I$66)*Tracks!$C$40,SUM(Popn!I$151:I$160)*Tracks!$B$40,SUM(Popn!I$67:I$71)*Tracks!$C$41,SUM(Popn!I$161:I$165)*Tracks!$B$41,SUM(Popn!I$72:I$97)*Tracks!$C$42,SUM(Popn!I$166:I$191)*Tracks!$B$42)/1000000000</f>
        <v>4.8668446504595648</v>
      </c>
      <c r="J91" s="105">
        <f>SUM(SUM(Popn!J$7:J$11)*Tracks!$C$33,SUM(Popn!J$101:J$105)*Tracks!$B$33,SUM(Popn!J$12:J$16)*Tracks!$C$34,SUM(Popn!J$106:J$110)*Tracks!$B$34,SUM(Popn!J$17:J$21)*Tracks!$C$35,SUM(Popn!J$111:J$115)*Tracks!$B$35,SUM(Popn!J$22:J$26)*Tracks!$C$36,SUM(Popn!J$116:J$120)*Tracks!$B$36,SUM(Popn!J$27:J$36)*Tracks!$C$37,SUM(Popn!J$121:J$130)*Tracks!$B$37,SUM(Popn!J$37:J$46)*Tracks!$C$38,SUM(Popn!J$131:J$140)*Tracks!$B$38,SUM(Popn!J$47:J$56)*Tracks!$C$39,SUM(Popn!J$141:J$150)*Tracks!$B$39,SUM(Popn!J$57:J$66)*Tracks!$C$40,SUM(Popn!J$151:J$160)*Tracks!$B$40,SUM(Popn!J$67:J$71)*Tracks!$C$41,SUM(Popn!J$161:J$165)*Tracks!$B$41,SUM(Popn!J$72:J$97)*Tracks!$C$42,SUM(Popn!J$166:J$191)*Tracks!$B$42)/1000000000</f>
        <v>4.9054691232775296</v>
      </c>
      <c r="K91" s="105">
        <f>SUM(SUM(Popn!K$7:K$11)*Tracks!$C$33,SUM(Popn!K$101:K$105)*Tracks!$B$33,SUM(Popn!K$12:K$16)*Tracks!$C$34,SUM(Popn!K$106:K$110)*Tracks!$B$34,SUM(Popn!K$17:K$21)*Tracks!$C$35,SUM(Popn!K$111:K$115)*Tracks!$B$35,SUM(Popn!K$22:K$26)*Tracks!$C$36,SUM(Popn!K$116:K$120)*Tracks!$B$36,SUM(Popn!K$27:K$36)*Tracks!$C$37,SUM(Popn!K$121:K$130)*Tracks!$B$37,SUM(Popn!K$37:K$46)*Tracks!$C$38,SUM(Popn!K$131:K$140)*Tracks!$B$38,SUM(Popn!K$47:K$56)*Tracks!$C$39,SUM(Popn!K$141:K$150)*Tracks!$B$39,SUM(Popn!K$57:K$66)*Tracks!$C$40,SUM(Popn!K$151:K$160)*Tracks!$B$40,SUM(Popn!K$67:K$71)*Tracks!$C$41,SUM(Popn!K$161:K$165)*Tracks!$B$41,SUM(Popn!K$72:K$97)*Tracks!$C$42,SUM(Popn!K$166:K$191)*Tracks!$B$42)/1000000000</f>
        <v>4.9498798818934802</v>
      </c>
      <c r="L91" s="105">
        <f>SUM(SUM(Popn!L$7:L$11)*Tracks!$C$33,SUM(Popn!L$101:L$105)*Tracks!$B$33,SUM(Popn!L$12:L$16)*Tracks!$C$34,SUM(Popn!L$106:L$110)*Tracks!$B$34,SUM(Popn!L$17:L$21)*Tracks!$C$35,SUM(Popn!L$111:L$115)*Tracks!$B$35,SUM(Popn!L$22:L$26)*Tracks!$C$36,SUM(Popn!L$116:L$120)*Tracks!$B$36,SUM(Popn!L$27:L$36)*Tracks!$C$37,SUM(Popn!L$121:L$130)*Tracks!$B$37,SUM(Popn!L$37:L$46)*Tracks!$C$38,SUM(Popn!L$131:L$140)*Tracks!$B$38,SUM(Popn!L$47:L$56)*Tracks!$C$39,SUM(Popn!L$141:L$150)*Tracks!$B$39,SUM(Popn!L$57:L$66)*Tracks!$C$40,SUM(Popn!L$151:L$160)*Tracks!$B$40,SUM(Popn!L$67:L$71)*Tracks!$C$41,SUM(Popn!L$161:L$165)*Tracks!$B$41,SUM(Popn!L$72:L$97)*Tracks!$C$42,SUM(Popn!L$166:L$191)*Tracks!$B$42)/1000000000</f>
        <v>4.9978320781983365</v>
      </c>
      <c r="M91" s="105">
        <f>SUM(SUM(Popn!M$7:M$11)*Tracks!$C$33,SUM(Popn!M$101:M$105)*Tracks!$B$33,SUM(Popn!M$12:M$16)*Tracks!$C$34,SUM(Popn!M$106:M$110)*Tracks!$B$34,SUM(Popn!M$17:M$21)*Tracks!$C$35,SUM(Popn!M$111:M$115)*Tracks!$B$35,SUM(Popn!M$22:M$26)*Tracks!$C$36,SUM(Popn!M$116:M$120)*Tracks!$B$36,SUM(Popn!M$27:M$36)*Tracks!$C$37,SUM(Popn!M$121:M$130)*Tracks!$B$37,SUM(Popn!M$37:M$46)*Tracks!$C$38,SUM(Popn!M$131:M$140)*Tracks!$B$38,SUM(Popn!M$47:M$56)*Tracks!$C$39,SUM(Popn!M$141:M$150)*Tracks!$B$39,SUM(Popn!M$57:M$66)*Tracks!$C$40,SUM(Popn!M$151:M$160)*Tracks!$B$40,SUM(Popn!M$67:M$71)*Tracks!$C$41,SUM(Popn!M$161:M$165)*Tracks!$B$41,SUM(Popn!M$72:M$97)*Tracks!$C$42,SUM(Popn!M$166:M$191)*Tracks!$B$42)/1000000000</f>
        <v>5.0451737995606978</v>
      </c>
      <c r="N91" s="105">
        <f>SUM(SUM(Popn!N$7:N$11)*Tracks!$C$33,SUM(Popn!N$101:N$105)*Tracks!$B$33,SUM(Popn!N$12:N$16)*Tracks!$C$34,SUM(Popn!N$106:N$110)*Tracks!$B$34,SUM(Popn!N$17:N$21)*Tracks!$C$35,SUM(Popn!N$111:N$115)*Tracks!$B$35,SUM(Popn!N$22:N$26)*Tracks!$C$36,SUM(Popn!N$116:N$120)*Tracks!$B$36,SUM(Popn!N$27:N$36)*Tracks!$C$37,SUM(Popn!N$121:N$130)*Tracks!$B$37,SUM(Popn!N$37:N$46)*Tracks!$C$38,SUM(Popn!N$131:N$140)*Tracks!$B$38,SUM(Popn!N$47:N$56)*Tracks!$C$39,SUM(Popn!N$141:N$150)*Tracks!$B$39,SUM(Popn!N$57:N$66)*Tracks!$C$40,SUM(Popn!N$151:N$160)*Tracks!$B$40,SUM(Popn!N$67:N$71)*Tracks!$C$41,SUM(Popn!N$161:N$165)*Tracks!$B$41,SUM(Popn!N$72:N$97)*Tracks!$C$42,SUM(Popn!N$166:N$191)*Tracks!$B$42)/1000000000</f>
        <v>5.0907578039356975</v>
      </c>
      <c r="O91" s="73">
        <f>SUM(SUM(Popn!O$7:O$11)*Tracks!$C$33,SUM(Popn!O$101:O$105)*Tracks!$B$33,SUM(Popn!O$12:O$16)*Tracks!$C$34,SUM(Popn!O$106:O$110)*Tracks!$B$34,SUM(Popn!O$17:O$21)*Tracks!$C$35,SUM(Popn!O$111:O$115)*Tracks!$B$35,SUM(Popn!O$22:O$26)*Tracks!$C$36,SUM(Popn!O$116:O$120)*Tracks!$B$36,SUM(Popn!O$27:O$36)*Tracks!$C$37,SUM(Popn!O$121:O$130)*Tracks!$B$37,SUM(Popn!O$37:O$46)*Tracks!$C$38,SUM(Popn!O$131:O$140)*Tracks!$B$38,SUM(Popn!O$47:O$56)*Tracks!$C$39,SUM(Popn!O$141:O$150)*Tracks!$B$39,SUM(Popn!O$57:O$66)*Tracks!$C$40,SUM(Popn!O$151:O$160)*Tracks!$B$40,SUM(Popn!O$67:O$71)*Tracks!$C$41,SUM(Popn!O$161:O$165)*Tracks!$B$41,SUM(Popn!O$72:O$97)*Tracks!$C$42,SUM(Popn!O$166:O$191)*Tracks!$B$42)/1000000000</f>
        <v>5.1369136030481961</v>
      </c>
      <c r="P91" s="73">
        <f>SUM(SUM(Popn!P$7:P$11)*Tracks!$C$33,SUM(Popn!P$101:P$105)*Tracks!$B$33,SUM(Popn!P$12:P$16)*Tracks!$C$34,SUM(Popn!P$106:P$110)*Tracks!$B$34,SUM(Popn!P$17:P$21)*Tracks!$C$35,SUM(Popn!P$111:P$115)*Tracks!$B$35,SUM(Popn!P$22:P$26)*Tracks!$C$36,SUM(Popn!P$116:P$120)*Tracks!$B$36,SUM(Popn!P$27:P$36)*Tracks!$C$37,SUM(Popn!P$121:P$130)*Tracks!$B$37,SUM(Popn!P$37:P$46)*Tracks!$C$38,SUM(Popn!P$131:P$140)*Tracks!$B$38,SUM(Popn!P$47:P$56)*Tracks!$C$39,SUM(Popn!P$141:P$150)*Tracks!$B$39,SUM(Popn!P$57:P$66)*Tracks!$C$40,SUM(Popn!P$151:P$160)*Tracks!$B$40,SUM(Popn!P$67:P$71)*Tracks!$C$41,SUM(Popn!P$161:P$165)*Tracks!$B$41,SUM(Popn!P$72:P$97)*Tracks!$C$42,SUM(Popn!P$166:P$191)*Tracks!$B$42)/1000000000</f>
        <v>5.1833388910048335</v>
      </c>
      <c r="Q91" s="73">
        <f>SUM(SUM(Popn!Q$7:Q$11)*Tracks!$C$33,SUM(Popn!Q$101:Q$105)*Tracks!$B$33,SUM(Popn!Q$12:Q$16)*Tracks!$C$34,SUM(Popn!Q$106:Q$110)*Tracks!$B$34,SUM(Popn!Q$17:Q$21)*Tracks!$C$35,SUM(Popn!Q$111:Q$115)*Tracks!$B$35,SUM(Popn!Q$22:Q$26)*Tracks!$C$36,SUM(Popn!Q$116:Q$120)*Tracks!$B$36,SUM(Popn!Q$27:Q$36)*Tracks!$C$37,SUM(Popn!Q$121:Q$130)*Tracks!$B$37,SUM(Popn!Q$37:Q$46)*Tracks!$C$38,SUM(Popn!Q$131:Q$140)*Tracks!$B$38,SUM(Popn!Q$47:Q$56)*Tracks!$C$39,SUM(Popn!Q$141:Q$150)*Tracks!$B$39,SUM(Popn!Q$57:Q$66)*Tracks!$C$40,SUM(Popn!Q$151:Q$160)*Tracks!$B$40,SUM(Popn!Q$67:Q$71)*Tracks!$C$41,SUM(Popn!Q$161:Q$165)*Tracks!$B$41,SUM(Popn!Q$72:Q$97)*Tracks!$C$42,SUM(Popn!Q$166:Q$191)*Tracks!$B$42)/1000000000</f>
        <v>5.2301521335989749</v>
      </c>
      <c r="R91" s="73">
        <f>SUM(SUM(Popn!R$7:R$11)*Tracks!$C$33,SUM(Popn!R$101:R$105)*Tracks!$B$33,SUM(Popn!R$12:R$16)*Tracks!$C$34,SUM(Popn!R$106:R$110)*Tracks!$B$34,SUM(Popn!R$17:R$21)*Tracks!$C$35,SUM(Popn!R$111:R$115)*Tracks!$B$35,SUM(Popn!R$22:R$26)*Tracks!$C$36,SUM(Popn!R$116:R$120)*Tracks!$B$36,SUM(Popn!R$27:R$36)*Tracks!$C$37,SUM(Popn!R$121:R$130)*Tracks!$B$37,SUM(Popn!R$37:R$46)*Tracks!$C$38,SUM(Popn!R$131:R$140)*Tracks!$B$38,SUM(Popn!R$47:R$56)*Tracks!$C$39,SUM(Popn!R$141:R$150)*Tracks!$B$39,SUM(Popn!R$57:R$66)*Tracks!$C$40,SUM(Popn!R$151:R$160)*Tracks!$B$40,SUM(Popn!R$67:R$71)*Tracks!$C$41,SUM(Popn!R$161:R$165)*Tracks!$B$41,SUM(Popn!R$72:R$97)*Tracks!$C$42,SUM(Popn!R$166:R$191)*Tracks!$B$42)/1000000000</f>
        <v>5.27643153972571</v>
      </c>
      <c r="S91" s="73">
        <f>SUM(SUM(Popn!S$7:S$11)*Tracks!$C$33,SUM(Popn!S$101:S$105)*Tracks!$B$33,SUM(Popn!S$12:S$16)*Tracks!$C$34,SUM(Popn!S$106:S$110)*Tracks!$B$34,SUM(Popn!S$17:S$21)*Tracks!$C$35,SUM(Popn!S$111:S$115)*Tracks!$B$35,SUM(Popn!S$22:S$26)*Tracks!$C$36,SUM(Popn!S$116:S$120)*Tracks!$B$36,SUM(Popn!S$27:S$36)*Tracks!$C$37,SUM(Popn!S$121:S$130)*Tracks!$B$37,SUM(Popn!S$37:S$46)*Tracks!$C$38,SUM(Popn!S$131:S$140)*Tracks!$B$38,SUM(Popn!S$47:S$56)*Tracks!$C$39,SUM(Popn!S$141:S$150)*Tracks!$B$39,SUM(Popn!S$57:S$66)*Tracks!$C$40,SUM(Popn!S$151:S$160)*Tracks!$B$40,SUM(Popn!S$67:S$71)*Tracks!$C$41,SUM(Popn!S$161:S$165)*Tracks!$B$41,SUM(Popn!S$72:S$97)*Tracks!$C$42,SUM(Popn!S$166:S$191)*Tracks!$B$42)/1000000000</f>
        <v>5.3211525649221132</v>
      </c>
      <c r="T91" s="73">
        <f>SUM(SUM(Popn!T$7:T$11)*Tracks!$C$33,SUM(Popn!T$101:T$105)*Tracks!$B$33,SUM(Popn!T$12:T$16)*Tracks!$C$34,SUM(Popn!T$106:T$110)*Tracks!$B$34,SUM(Popn!T$17:T$21)*Tracks!$C$35,SUM(Popn!T$111:T$115)*Tracks!$B$35,SUM(Popn!T$22:T$26)*Tracks!$C$36,SUM(Popn!T$116:T$120)*Tracks!$B$36,SUM(Popn!T$27:T$36)*Tracks!$C$37,SUM(Popn!T$121:T$130)*Tracks!$B$37,SUM(Popn!T$37:T$46)*Tracks!$C$38,SUM(Popn!T$131:T$140)*Tracks!$B$38,SUM(Popn!T$47:T$56)*Tracks!$C$39,SUM(Popn!T$141:T$150)*Tracks!$B$39,SUM(Popn!T$57:T$66)*Tracks!$C$40,SUM(Popn!T$151:T$160)*Tracks!$B$40,SUM(Popn!T$67:T$71)*Tracks!$C$41,SUM(Popn!T$161:T$165)*Tracks!$B$41,SUM(Popn!T$72:T$97)*Tracks!$C$42,SUM(Popn!T$166:T$191)*Tracks!$B$42)/1000000000</f>
        <v>5.3655558031420405</v>
      </c>
      <c r="U91" s="73">
        <f>SUM(SUM(Popn!U$7:U$11)*Tracks!$C$33,SUM(Popn!U$101:U$105)*Tracks!$B$33,SUM(Popn!U$12:U$16)*Tracks!$C$34,SUM(Popn!U$106:U$110)*Tracks!$B$34,SUM(Popn!U$17:U$21)*Tracks!$C$35,SUM(Popn!U$111:U$115)*Tracks!$B$35,SUM(Popn!U$22:U$26)*Tracks!$C$36,SUM(Popn!U$116:U$120)*Tracks!$B$36,SUM(Popn!U$27:U$36)*Tracks!$C$37,SUM(Popn!U$121:U$130)*Tracks!$B$37,SUM(Popn!U$37:U$46)*Tracks!$C$38,SUM(Popn!U$131:U$140)*Tracks!$B$38,SUM(Popn!U$47:U$56)*Tracks!$C$39,SUM(Popn!U$141:U$150)*Tracks!$B$39,SUM(Popn!U$57:U$66)*Tracks!$C$40,SUM(Popn!U$151:U$160)*Tracks!$B$40,SUM(Popn!U$67:U$71)*Tracks!$C$41,SUM(Popn!U$161:U$165)*Tracks!$B$41,SUM(Popn!U$72:U$97)*Tracks!$C$42,SUM(Popn!U$166:U$191)*Tracks!$B$42)/1000000000</f>
        <v>5.4062958383110615</v>
      </c>
      <c r="V91" s="73">
        <f>SUM(SUM(Popn!V$7:V$11)*Tracks!$C$33,SUM(Popn!V$101:V$105)*Tracks!$B$33,SUM(Popn!V$12:V$16)*Tracks!$C$34,SUM(Popn!V$106:V$110)*Tracks!$B$34,SUM(Popn!V$17:V$21)*Tracks!$C$35,SUM(Popn!V$111:V$115)*Tracks!$B$35,SUM(Popn!V$22:V$26)*Tracks!$C$36,SUM(Popn!V$116:V$120)*Tracks!$B$36,SUM(Popn!V$27:V$36)*Tracks!$C$37,SUM(Popn!V$121:V$130)*Tracks!$B$37,SUM(Popn!V$37:V$46)*Tracks!$C$38,SUM(Popn!V$131:V$140)*Tracks!$B$38,SUM(Popn!V$47:V$56)*Tracks!$C$39,SUM(Popn!V$141:V$150)*Tracks!$B$39,SUM(Popn!V$57:V$66)*Tracks!$C$40,SUM(Popn!V$151:V$160)*Tracks!$B$40,SUM(Popn!V$67:V$71)*Tracks!$C$41,SUM(Popn!V$161:V$165)*Tracks!$B$41,SUM(Popn!V$72:V$97)*Tracks!$C$42,SUM(Popn!V$166:V$191)*Tracks!$B$42)/1000000000</f>
        <v>5.4450980153963835</v>
      </c>
      <c r="W91" s="73">
        <f>SUM(SUM(Popn!W$7:W$11)*Tracks!$C$33,SUM(Popn!W$101:W$105)*Tracks!$B$33,SUM(Popn!W$12:W$16)*Tracks!$C$34,SUM(Popn!W$106:W$110)*Tracks!$B$34,SUM(Popn!W$17:W$21)*Tracks!$C$35,SUM(Popn!W$111:W$115)*Tracks!$B$35,SUM(Popn!W$22:W$26)*Tracks!$C$36,SUM(Popn!W$116:W$120)*Tracks!$B$36,SUM(Popn!W$27:W$36)*Tracks!$C$37,SUM(Popn!W$121:W$130)*Tracks!$B$37,SUM(Popn!W$37:W$46)*Tracks!$C$38,SUM(Popn!W$131:W$140)*Tracks!$B$38,SUM(Popn!W$47:W$56)*Tracks!$C$39,SUM(Popn!W$141:W$150)*Tracks!$B$39,SUM(Popn!W$57:W$66)*Tracks!$C$40,SUM(Popn!W$151:W$160)*Tracks!$B$40,SUM(Popn!W$67:W$71)*Tracks!$C$41,SUM(Popn!W$161:W$165)*Tracks!$B$41,SUM(Popn!W$72:W$97)*Tracks!$C$42,SUM(Popn!W$166:W$191)*Tracks!$B$42)/1000000000</f>
        <v>5.4809985389859168</v>
      </c>
      <c r="X91" s="73">
        <f>SUM(SUM(Popn!X$7:X$11)*Tracks!$C$33,SUM(Popn!X$101:X$105)*Tracks!$B$33,SUM(Popn!X$12:X$16)*Tracks!$C$34,SUM(Popn!X$106:X$110)*Tracks!$B$34,SUM(Popn!X$17:X$21)*Tracks!$C$35,SUM(Popn!X$111:X$115)*Tracks!$B$35,SUM(Popn!X$22:X$26)*Tracks!$C$36,SUM(Popn!X$116:X$120)*Tracks!$B$36,SUM(Popn!X$27:X$36)*Tracks!$C$37,SUM(Popn!X$121:X$130)*Tracks!$B$37,SUM(Popn!X$37:X$46)*Tracks!$C$38,SUM(Popn!X$131:X$140)*Tracks!$B$38,SUM(Popn!X$47:X$56)*Tracks!$C$39,SUM(Popn!X$141:X$150)*Tracks!$B$39,SUM(Popn!X$57:X$66)*Tracks!$C$40,SUM(Popn!X$151:X$160)*Tracks!$B$40,SUM(Popn!X$67:X$71)*Tracks!$C$41,SUM(Popn!X$161:X$165)*Tracks!$B$41,SUM(Popn!X$72:X$97)*Tracks!$C$42,SUM(Popn!X$166:X$191)*Tracks!$B$42)/1000000000</f>
        <v>5.5153266659892219</v>
      </c>
    </row>
    <row r="92" spans="1:24" x14ac:dyDescent="0.2">
      <c r="A92" s="108"/>
      <c r="B92" s="36"/>
      <c r="C92" s="69"/>
      <c r="D92" s="69"/>
      <c r="E92" s="69"/>
      <c r="F92" s="69"/>
      <c r="G92" s="69"/>
      <c r="H92" s="69"/>
      <c r="I92" s="105"/>
      <c r="J92" s="105"/>
      <c r="K92" s="105"/>
      <c r="L92" s="105"/>
      <c r="M92" s="105"/>
    </row>
    <row r="93" spans="1:24" x14ac:dyDescent="0.2">
      <c r="A93" s="108" t="s">
        <v>926</v>
      </c>
      <c r="B93" s="36"/>
      <c r="C93" s="69"/>
      <c r="D93" s="69"/>
      <c r="E93" s="69"/>
      <c r="F93" s="69"/>
      <c r="G93" s="69"/>
      <c r="H93" s="69"/>
      <c r="I93" s="105"/>
      <c r="J93" s="105"/>
      <c r="K93" s="105"/>
      <c r="L93" s="105"/>
      <c r="M93" s="105"/>
    </row>
    <row r="94" spans="1:24" x14ac:dyDescent="0.2">
      <c r="A94" s="27" t="s">
        <v>927</v>
      </c>
      <c r="B94" s="233"/>
      <c r="C94" s="69"/>
      <c r="D94" s="71">
        <f>Data!C$40</f>
        <v>0.64500000000000002</v>
      </c>
      <c r="E94" s="71">
        <f>Data!D$40</f>
        <v>0.69</v>
      </c>
      <c r="F94" s="71">
        <f>Data!E$40</f>
        <v>0.65500000000000003</v>
      </c>
      <c r="G94" s="71">
        <f>Data!F$40</f>
        <v>0.32800000000000001</v>
      </c>
      <c r="H94" s="71">
        <f>Data!G$40</f>
        <v>0.30499999999999999</v>
      </c>
      <c r="I94" s="71">
        <f>Data!H$40</f>
        <v>0.192</v>
      </c>
      <c r="J94" s="131">
        <f>Data!I$40</f>
        <v>0.27800000000000002</v>
      </c>
      <c r="K94" s="131">
        <f>Data!J$40</f>
        <v>0.25800000000000001</v>
      </c>
      <c r="L94" s="131">
        <f>Data!K$40</f>
        <v>0.28000000000000003</v>
      </c>
      <c r="M94" s="131">
        <f>Data!L$40</f>
        <v>0.315</v>
      </c>
      <c r="N94" s="131">
        <f>Data!M$40</f>
        <v>0.34899999999999998</v>
      </c>
      <c r="O94" s="75">
        <f>N$94*Tracks!S$12/Tracks!R$12</f>
        <v>0.36109006928406467</v>
      </c>
      <c r="P94" s="75">
        <f>O$94*Tracks!T$12/Tracks!S$12</f>
        <v>0.36270207852193997</v>
      </c>
      <c r="Q94" s="75">
        <f>P$94*Tracks!U$12/Tracks!T$12</f>
        <v>0.35464203233256353</v>
      </c>
      <c r="R94" s="75">
        <f>Q$94*Tracks!V$12/Tracks!U$12</f>
        <v>0.34496997690531178</v>
      </c>
      <c r="S94" s="75">
        <f>R$94*Tracks!W$12/Tracks!V$12</f>
        <v>0.33287990762124708</v>
      </c>
      <c r="T94" s="75">
        <f>S$94*Tracks!X$12/Tracks!W$12</f>
        <v>0.32723787528868364</v>
      </c>
      <c r="U94" s="75">
        <f>T$94*Tracks!Y$12/Tracks!X$12</f>
        <v>0.32965588914549654</v>
      </c>
      <c r="V94" s="75">
        <f>U$94*Tracks!Z$12/Tracks!Y$12</f>
        <v>0.33126789838337184</v>
      </c>
      <c r="W94" s="75">
        <f>V$94*Tracks!AA$12/Tracks!Z$12</f>
        <v>0.33287990762124714</v>
      </c>
      <c r="X94" s="75">
        <f>W$94*Tracks!AB$12/Tracks!AA$12</f>
        <v>0.33368591224018479</v>
      </c>
    </row>
    <row r="95" spans="1:24" x14ac:dyDescent="0.2">
      <c r="A95" s="27" t="s">
        <v>928</v>
      </c>
      <c r="B95" s="233"/>
      <c r="C95" s="69"/>
      <c r="D95" s="71">
        <f>Data!C$21</f>
        <v>0.64500000000000002</v>
      </c>
      <c r="E95" s="71">
        <f>Data!D$21</f>
        <v>0.69</v>
      </c>
      <c r="F95" s="71">
        <f>Data!E$21</f>
        <v>0.65500000000000003</v>
      </c>
      <c r="G95" s="71">
        <f>Data!F$21</f>
        <v>0.33300000000000002</v>
      </c>
      <c r="H95" s="71">
        <f>Data!G$21</f>
        <v>0.311</v>
      </c>
      <c r="I95" s="71">
        <f>Data!H$21</f>
        <v>0.19700000000000001</v>
      </c>
      <c r="J95" s="131">
        <f>Data!I$21</f>
        <v>0.28699999999999998</v>
      </c>
      <c r="K95" s="131">
        <f>Data!J$21</f>
        <v>0.26700000000000002</v>
      </c>
      <c r="L95" s="131">
        <f>Data!K$21</f>
        <v>0.29799999999999999</v>
      </c>
      <c r="M95" s="131">
        <f>Data!L$21</f>
        <v>0.33300000000000002</v>
      </c>
      <c r="N95" s="131">
        <f>Data!M$21</f>
        <v>0.36699999999999999</v>
      </c>
      <c r="O95" s="75">
        <f t="shared" ref="O95:X95" si="45">N$95*O$94/N$94</f>
        <v>0.37971362586605084</v>
      </c>
      <c r="P95" s="75">
        <f t="shared" si="45"/>
        <v>0.38140877598152434</v>
      </c>
      <c r="Q95" s="75">
        <f t="shared" si="45"/>
        <v>0.37293302540415713</v>
      </c>
      <c r="R95" s="75">
        <f t="shared" si="45"/>
        <v>0.36276212471131647</v>
      </c>
      <c r="S95" s="75">
        <f t="shared" si="45"/>
        <v>0.35004849884526562</v>
      </c>
      <c r="T95" s="75">
        <f t="shared" si="45"/>
        <v>0.34411547344110865</v>
      </c>
      <c r="U95" s="75">
        <f t="shared" si="45"/>
        <v>0.34665819861431879</v>
      </c>
      <c r="V95" s="75">
        <f t="shared" si="45"/>
        <v>0.34835334872979223</v>
      </c>
      <c r="W95" s="75">
        <f t="shared" si="45"/>
        <v>0.35004849884526573</v>
      </c>
      <c r="X95" s="75">
        <f t="shared" si="45"/>
        <v>0.35089607390300248</v>
      </c>
    </row>
    <row r="96" spans="1:24" x14ac:dyDescent="0.2">
      <c r="A96" s="28"/>
      <c r="B96" s="40"/>
      <c r="C96" s="69"/>
      <c r="D96" s="73"/>
      <c r="E96" s="73"/>
      <c r="F96" s="73"/>
      <c r="G96" s="73"/>
      <c r="H96" s="73"/>
      <c r="I96" s="73"/>
      <c r="J96" s="73"/>
    </row>
    <row r="97" spans="1:24" x14ac:dyDescent="0.2">
      <c r="A97" s="108" t="s">
        <v>929</v>
      </c>
      <c r="B97" s="77"/>
      <c r="C97" s="69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x14ac:dyDescent="0.2">
      <c r="A98" s="27" t="s">
        <v>140</v>
      </c>
      <c r="B98" s="233"/>
      <c r="C98" s="69"/>
      <c r="D98" s="71">
        <f>Data!C$41</f>
        <v>10.355</v>
      </c>
      <c r="E98" s="71">
        <f>Data!D$41</f>
        <v>11.297000000000001</v>
      </c>
      <c r="F98" s="71">
        <f>Data!E$41</f>
        <v>12.368</v>
      </c>
      <c r="G98" s="71">
        <f>Data!F$41</f>
        <v>13.128</v>
      </c>
      <c r="H98" s="71">
        <f>Data!G$41</f>
        <v>13.753</v>
      </c>
      <c r="I98" s="71">
        <f>Data!H$41</f>
        <v>14.16</v>
      </c>
      <c r="J98" s="131">
        <f ca="1">Data!I$41 + IF(OFFSET(Scenarios!$A$63,0,$C$1)="Yes",OFFSET(Scenarios!$A$64,0,$C$1)*J$141,0)</f>
        <v>14.741</v>
      </c>
      <c r="K98" s="131">
        <f ca="1">Data!J$41 + IF(OFFSET(Scenarios!$A$63,0,$C$1)="Yes",OFFSET(Scenarios!$A$64,0,$C$1)*K$141,0)</f>
        <v>14.629</v>
      </c>
      <c r="L98" s="131">
        <f ca="1">Data!K$41 + IF(OFFSET(Scenarios!$A$63,0,$C$1)="Yes",OFFSET(Scenarios!$A$64,0,$C$1)*L$141,0)</f>
        <v>14.596</v>
      </c>
      <c r="M98" s="131">
        <f ca="1">Data!L$41 + IF(OFFSET(Scenarios!$A$63,0,$C$1)="Yes",OFFSET(Scenarios!$A$64,0,$C$1)*M$141,0)</f>
        <v>14.573</v>
      </c>
      <c r="N98" s="131">
        <f ca="1">Data!M$41 + IF(OFFSET(Scenarios!$A$63,0,$C$1)="Yes",OFFSET(Scenarios!$A$64,0,$C$1)*N$141,0)</f>
        <v>14.542</v>
      </c>
      <c r="O98" s="75">
        <f ca="1">N$98 +IF(OFFSET(Scenarios!$A$63,0,$C$1)="Yes",(O$141-N$141)*OFFSET(Scenarios!$A$64,0,$C$1),0)</f>
        <v>14.542</v>
      </c>
      <c r="P98" s="75">
        <f ca="1">O$98 +IF(OFFSET(Scenarios!$A$63,0,$C$1)="Yes",(P$141-O$141)*OFFSET(Scenarios!$A$64,0,$C$1),0)</f>
        <v>14.542</v>
      </c>
      <c r="Q98" s="75">
        <f ca="1">P$98 +IF(OFFSET(Scenarios!$A$63,0,$C$1)="Yes",(Q$141-P$141)*OFFSET(Scenarios!$A$64,0,$C$1),0)</f>
        <v>14.542</v>
      </c>
      <c r="R98" s="75">
        <f ca="1">Q$98 +IF(OFFSET(Scenarios!$A$63,0,$C$1)="Yes",(R$141-Q$141)*OFFSET(Scenarios!$A$64,0,$C$1),0)</f>
        <v>14.542</v>
      </c>
      <c r="S98" s="75">
        <f ca="1">R$98 +IF(OFFSET(Scenarios!$A$63,0,$C$1)="Yes",(S$141-R$141)*OFFSET(Scenarios!$A$64,0,$C$1),0)</f>
        <v>14.542</v>
      </c>
      <c r="T98" s="75">
        <f ca="1">S$98 +IF(OFFSET(Scenarios!$A$63,0,$C$1)="Yes",(T$141-S$141)*OFFSET(Scenarios!$A$64,0,$C$1),0)</f>
        <v>14.542</v>
      </c>
      <c r="U98" s="75">
        <f ca="1">T$98 +IF(OFFSET(Scenarios!$A$63,0,$C$1)="Yes",(U$141-T$141)*OFFSET(Scenarios!$A$64,0,$C$1),0)</f>
        <v>14.542</v>
      </c>
      <c r="V98" s="75">
        <f ca="1">U$98 +IF(OFFSET(Scenarios!$A$63,0,$C$1)="Yes",(V$141-U$141)*OFFSET(Scenarios!$A$64,0,$C$1),0)</f>
        <v>14.542</v>
      </c>
      <c r="W98" s="75">
        <f ca="1">V$98 +IF(OFFSET(Scenarios!$A$63,0,$C$1)="Yes",(W$141-V$141)*OFFSET(Scenarios!$A$64,0,$C$1),0)</f>
        <v>14.542</v>
      </c>
      <c r="X98" s="75">
        <f ca="1">W$98 +IF(OFFSET(Scenarios!$A$63,0,$C$1)="Yes",(X$141-W$141)*OFFSET(Scenarios!$A$64,0,$C$1),0)</f>
        <v>14.542</v>
      </c>
    </row>
    <row r="99" spans="1:24" x14ac:dyDescent="0.2">
      <c r="A99" s="27" t="s">
        <v>141</v>
      </c>
      <c r="B99" s="233"/>
      <c r="C99" s="69"/>
      <c r="D99" s="71">
        <f>Data!C$22</f>
        <v>10.661</v>
      </c>
      <c r="E99" s="71">
        <f>Data!D$22</f>
        <v>10.808999999999999</v>
      </c>
      <c r="F99" s="71">
        <f>Data!E$22</f>
        <v>12.042</v>
      </c>
      <c r="G99" s="71">
        <f>Data!F$22</f>
        <v>12.673</v>
      </c>
      <c r="H99" s="71">
        <f>Data!G$22</f>
        <v>13.068</v>
      </c>
      <c r="I99" s="71">
        <f>Data!H$22</f>
        <v>13.65</v>
      </c>
      <c r="J99" s="131">
        <f ca="1">Data!I$22 + IF(OFFSET(Scenarios!$A$63,0,$C$1)="Yes",OFFSET(Scenarios!$A$64,0,$C$1)*J$141,0)</f>
        <v>14.108000000000001</v>
      </c>
      <c r="K99" s="131">
        <f ca="1">Data!J$22 + IF(OFFSET(Scenarios!$A$63,0,$C$1)="Yes",OFFSET(Scenarios!$A$64,0,$C$1)*K$141,0)</f>
        <v>13.815</v>
      </c>
      <c r="L99" s="131">
        <f ca="1">Data!K$22 + IF(OFFSET(Scenarios!$A$63,0,$C$1)="Yes",OFFSET(Scenarios!$A$64,0,$C$1)*L$141,0)</f>
        <v>13.776</v>
      </c>
      <c r="M99" s="131">
        <f ca="1">Data!L$22 + IF(OFFSET(Scenarios!$A$63,0,$C$1)="Yes",OFFSET(Scenarios!$A$64,0,$C$1)*M$141,0)</f>
        <v>13.743</v>
      </c>
      <c r="N99" s="131">
        <f ca="1">Data!M$22 + IF(OFFSET(Scenarios!$A$63,0,$C$1)="Yes",OFFSET(Scenarios!$A$64,0,$C$1)*N$141,0)</f>
        <v>13.709</v>
      </c>
      <c r="O99" s="75">
        <f t="shared" ref="O99:X99" ca="1" si="46">SUM(O$98,(N$99-N$98)*SUM(O$100,O$101)/SUM(N$100,N$101))</f>
        <v>13.695495350561366</v>
      </c>
      <c r="P99" s="75">
        <f t="shared" ca="1" si="46"/>
        <v>13.681581354389902</v>
      </c>
      <c r="Q99" s="75">
        <f t="shared" ca="1" si="46"/>
        <v>13.667303500892579</v>
      </c>
      <c r="R99" s="75">
        <f t="shared" ca="1" si="46"/>
        <v>13.652451720053593</v>
      </c>
      <c r="S99" s="75">
        <f t="shared" ca="1" si="46"/>
        <v>13.636835814462907</v>
      </c>
      <c r="T99" s="75">
        <f t="shared" ca="1" si="46"/>
        <v>13.621773279337862</v>
      </c>
      <c r="U99" s="75">
        <f t="shared" ca="1" si="46"/>
        <v>13.606361455080361</v>
      </c>
      <c r="V99" s="75">
        <f t="shared" ca="1" si="46"/>
        <v>13.590648958757747</v>
      </c>
      <c r="W99" s="75">
        <f t="shared" ca="1" si="46"/>
        <v>13.574546040913775</v>
      </c>
      <c r="X99" s="75">
        <f t="shared" ca="1" si="46"/>
        <v>13.557932228081851</v>
      </c>
    </row>
    <row r="100" spans="1:24" x14ac:dyDescent="0.2">
      <c r="A100" s="108" t="s">
        <v>930</v>
      </c>
      <c r="B100" s="77"/>
      <c r="C100" s="69"/>
      <c r="D100" s="69">
        <f>SUM(SUM(Popn!D$7:D$11)*Tracks!$M$47,SUM(Popn!D$12:D$16)*Tracks!$M$48,SUM(Popn!D$17:D$21)*Tracks!$M$49,SUM(Popn!D$22:D$26)*Tracks!$M$50,SUM(Popn!D$27:D$31)*Tracks!$M$51,SUM(Popn!D$32:D$36)*Tracks!$M$52,SUM(Popn!D$37:D$41)*Tracks!$M$53,SUM(Popn!D$42:D$46)*Tracks!$M$54,SUM(Popn!D$47:D$51)*Tracks!$M$55,SUM(Popn!D$52:D$56)*Tracks!$M$56,SUM(Popn!D$57:D$61)*Tracks!$M$57,SUM(Popn!D$62:D$66)*Tracks!$M$58,SUM(Popn!D$67:D$71)*Tracks!$M$59,SUM(Popn!D$72:D$76)*Tracks!$M$60,SUM(Popn!D$77:D$81)*Tracks!$M$61,SUM(Popn!D$82:D$86)*Tracks!$M$62,SUM(Popn!D$87:D$91)*Tracks!$M$63,SUM(Popn!D$92:D$97)*Tracks!$M$64)/1000000000</f>
        <v>5.3512811944888492</v>
      </c>
      <c r="E100" s="69">
        <f>SUM(SUM(Popn!E$7:E$11)*Tracks!$M$47,SUM(Popn!E$12:E$16)*Tracks!$M$48,SUM(Popn!E$17:E$21)*Tracks!$M$49,SUM(Popn!E$22:E$26)*Tracks!$M$50,SUM(Popn!E$27:E$31)*Tracks!$M$51,SUM(Popn!E$32:E$36)*Tracks!$M$52,SUM(Popn!E$37:E$41)*Tracks!$M$53,SUM(Popn!E$42:E$46)*Tracks!$M$54,SUM(Popn!E$47:E$51)*Tracks!$M$55,SUM(Popn!E$52:E$56)*Tracks!$M$56,SUM(Popn!E$57:E$61)*Tracks!$M$57,SUM(Popn!E$62:E$66)*Tracks!$M$58,SUM(Popn!E$67:E$71)*Tracks!$M$59,SUM(Popn!E$72:E$76)*Tracks!$M$60,SUM(Popn!E$77:E$81)*Tracks!$M$61,SUM(Popn!E$82:E$86)*Tracks!$M$62,SUM(Popn!E$87:E$91)*Tracks!$M$63,SUM(Popn!E$92:E$97)*Tracks!$M$64)/1000000000</f>
        <v>5.4502066558101818</v>
      </c>
      <c r="F100" s="69">
        <f>SUM(SUM(Popn!F$7:F$11)*Tracks!$M$47,SUM(Popn!F$12:F$16)*Tracks!$M$48,SUM(Popn!F$17:F$21)*Tracks!$M$49,SUM(Popn!F$22:F$26)*Tracks!$M$50,SUM(Popn!F$27:F$31)*Tracks!$M$51,SUM(Popn!F$32:F$36)*Tracks!$M$52,SUM(Popn!F$37:F$41)*Tracks!$M$53,SUM(Popn!F$42:F$46)*Tracks!$M$54,SUM(Popn!F$47:F$51)*Tracks!$M$55,SUM(Popn!F$52:F$56)*Tracks!$M$56,SUM(Popn!F$57:F$61)*Tracks!$M$57,SUM(Popn!F$62:F$66)*Tracks!$M$58,SUM(Popn!F$67:F$71)*Tracks!$M$59,SUM(Popn!F$72:F$76)*Tracks!$M$60,SUM(Popn!F$77:F$81)*Tracks!$M$61,SUM(Popn!F$82:F$86)*Tracks!$M$62,SUM(Popn!F$87:F$91)*Tracks!$M$63,SUM(Popn!F$92:F$97)*Tracks!$M$64)/1000000000</f>
        <v>5.5566730000704831</v>
      </c>
      <c r="G100" s="69">
        <f>SUM(SUM(Popn!G$7:G$11)*Tracks!$M$47,SUM(Popn!G$12:G$16)*Tracks!$M$48,SUM(Popn!G$17:G$21)*Tracks!$M$49,SUM(Popn!G$22:G$26)*Tracks!$M$50,SUM(Popn!G$27:G$31)*Tracks!$M$51,SUM(Popn!G$32:G$36)*Tracks!$M$52,SUM(Popn!G$37:G$41)*Tracks!$M$53,SUM(Popn!G$42:G$46)*Tracks!$M$54,SUM(Popn!G$47:G$51)*Tracks!$M$55,SUM(Popn!G$52:G$56)*Tracks!$M$56,SUM(Popn!G$57:G$61)*Tracks!$M$57,SUM(Popn!G$62:G$66)*Tracks!$M$58,SUM(Popn!G$67:G$71)*Tracks!$M$59,SUM(Popn!G$72:G$76)*Tracks!$M$60,SUM(Popn!G$77:G$81)*Tracks!$M$61,SUM(Popn!G$82:G$86)*Tracks!$M$62,SUM(Popn!G$87:G$91)*Tracks!$M$63,SUM(Popn!G$92:G$97)*Tracks!$M$64)/1000000000</f>
        <v>5.6705807791341387</v>
      </c>
      <c r="H100" s="69">
        <f>SUM(SUM(Popn!H$7:H$11)*Tracks!$M$47,SUM(Popn!H$12:H$16)*Tracks!$M$48,SUM(Popn!H$17:H$21)*Tracks!$M$49,SUM(Popn!H$22:H$26)*Tracks!$M$50,SUM(Popn!H$27:H$31)*Tracks!$M$51,SUM(Popn!H$32:H$36)*Tracks!$M$52,SUM(Popn!H$37:H$41)*Tracks!$M$53,SUM(Popn!H$42:H$46)*Tracks!$M$54,SUM(Popn!H$47:H$51)*Tracks!$M$55,SUM(Popn!H$52:H$56)*Tracks!$M$56,SUM(Popn!H$57:H$61)*Tracks!$M$57,SUM(Popn!H$62:H$66)*Tracks!$M$58,SUM(Popn!H$67:H$71)*Tracks!$M$59,SUM(Popn!H$72:H$76)*Tracks!$M$60,SUM(Popn!H$77:H$81)*Tracks!$M$61,SUM(Popn!H$82:H$86)*Tracks!$M$62,SUM(Popn!H$87:H$91)*Tracks!$M$63,SUM(Popn!H$92:H$97)*Tracks!$M$64)/1000000000</f>
        <v>5.7730808470554829</v>
      </c>
      <c r="I100" s="69">
        <f>SUM(SUM(Popn!I$7:I$11)*Tracks!$M$47,SUM(Popn!I$12:I$16)*Tracks!$M$48,SUM(Popn!I$17:I$21)*Tracks!$M$49,SUM(Popn!I$22:I$26)*Tracks!$M$50,SUM(Popn!I$27:I$31)*Tracks!$M$51,SUM(Popn!I$32:I$36)*Tracks!$M$52,SUM(Popn!I$37:I$41)*Tracks!$M$53,SUM(Popn!I$42:I$46)*Tracks!$M$54,SUM(Popn!I$47:I$51)*Tracks!$M$55,SUM(Popn!I$52:I$56)*Tracks!$M$56,SUM(Popn!I$57:I$61)*Tracks!$M$57,SUM(Popn!I$62:I$66)*Tracks!$M$58,SUM(Popn!I$67:I$71)*Tracks!$M$59,SUM(Popn!I$72:I$76)*Tracks!$M$60,SUM(Popn!I$77:I$81)*Tracks!$M$61,SUM(Popn!I$82:I$86)*Tracks!$M$62,SUM(Popn!I$87:I$91)*Tracks!$M$63,SUM(Popn!I$92:I$97)*Tracks!$M$64)/1000000000</f>
        <v>5.862708853456077</v>
      </c>
      <c r="J100" s="125">
        <f>SUM(SUM(Popn!J$7:J$11)*Tracks!$M$47,SUM(Popn!J$12:J$16)*Tracks!$M$48,SUM(Popn!J$17:J$21)*Tracks!$M$49,SUM(Popn!J$22:J$26)*Tracks!$M$50,SUM(Popn!J$27:J$31)*Tracks!$M$51,SUM(Popn!J$32:J$36)*Tracks!$M$52,SUM(Popn!J$37:J$41)*Tracks!$M$53,SUM(Popn!J$42:J$46)*Tracks!$M$54,SUM(Popn!J$47:J$51)*Tracks!$M$55,SUM(Popn!J$52:J$56)*Tracks!$M$56,SUM(Popn!J$57:J$61)*Tracks!$M$57,SUM(Popn!J$62:J$66)*Tracks!$M$58,SUM(Popn!J$67:J$71)*Tracks!$M$59,SUM(Popn!J$72:J$76)*Tracks!$M$60,SUM(Popn!J$77:J$81)*Tracks!$M$61,SUM(Popn!J$82:J$86)*Tracks!$M$62,SUM(Popn!J$87:J$91)*Tracks!$M$63,SUM(Popn!J$92:J$97)*Tracks!$M$64)/1000000000</f>
        <v>5.9482735755428484</v>
      </c>
      <c r="K100" s="125">
        <f>SUM(SUM(Popn!K$7:K$11)*Tracks!$M$47,SUM(Popn!K$12:K$16)*Tracks!$M$48,SUM(Popn!K$17:K$21)*Tracks!$M$49,SUM(Popn!K$22:K$26)*Tracks!$M$50,SUM(Popn!K$27:K$31)*Tracks!$M$51,SUM(Popn!K$32:K$36)*Tracks!$M$52,SUM(Popn!K$37:K$41)*Tracks!$M$53,SUM(Popn!K$42:K$46)*Tracks!$M$54,SUM(Popn!K$47:K$51)*Tracks!$M$55,SUM(Popn!K$52:K$56)*Tracks!$M$56,SUM(Popn!K$57:K$61)*Tracks!$M$57,SUM(Popn!K$62:K$66)*Tracks!$M$58,SUM(Popn!K$67:K$71)*Tracks!$M$59,SUM(Popn!K$72:K$76)*Tracks!$M$60,SUM(Popn!K$77:K$81)*Tracks!$M$61,SUM(Popn!K$82:K$86)*Tracks!$M$62,SUM(Popn!K$87:K$91)*Tracks!$M$63,SUM(Popn!K$92:K$97)*Tracks!$M$64)/1000000000</f>
        <v>6.0439881977269927</v>
      </c>
      <c r="L100" s="125">
        <f>SUM(SUM(Popn!L$7:L$11)*Tracks!$M$47,SUM(Popn!L$12:L$16)*Tracks!$M$48,SUM(Popn!L$17:L$21)*Tracks!$M$49,SUM(Popn!L$22:L$26)*Tracks!$M$50,SUM(Popn!L$27:L$31)*Tracks!$M$51,SUM(Popn!L$32:L$36)*Tracks!$M$52,SUM(Popn!L$37:L$41)*Tracks!$M$53,SUM(Popn!L$42:L$46)*Tracks!$M$54,SUM(Popn!L$47:L$51)*Tracks!$M$55,SUM(Popn!L$52:L$56)*Tracks!$M$56,SUM(Popn!L$57:L$61)*Tracks!$M$57,SUM(Popn!L$62:L$66)*Tracks!$M$58,SUM(Popn!L$67:L$71)*Tracks!$M$59,SUM(Popn!L$72:L$76)*Tracks!$M$60,SUM(Popn!L$77:L$81)*Tracks!$M$61,SUM(Popn!L$82:L$86)*Tracks!$M$62,SUM(Popn!L$87:L$91)*Tracks!$M$63,SUM(Popn!L$92:L$97)*Tracks!$M$64)/1000000000</f>
        <v>6.147319006912296</v>
      </c>
      <c r="M100" s="125">
        <f>SUM(SUM(Popn!M$7:M$11)*Tracks!$M$47,SUM(Popn!M$12:M$16)*Tracks!$M$48,SUM(Popn!M$17:M$21)*Tracks!$M$49,SUM(Popn!M$22:M$26)*Tracks!$M$50,SUM(Popn!M$27:M$31)*Tracks!$M$51,SUM(Popn!M$32:M$36)*Tracks!$M$52,SUM(Popn!M$37:M$41)*Tracks!$M$53,SUM(Popn!M$42:M$46)*Tracks!$M$54,SUM(Popn!M$47:M$51)*Tracks!$M$55,SUM(Popn!M$52:M$56)*Tracks!$M$56,SUM(Popn!M$57:M$61)*Tracks!$M$57,SUM(Popn!M$62:M$66)*Tracks!$M$58,SUM(Popn!M$67:M$71)*Tracks!$M$59,SUM(Popn!M$72:M$76)*Tracks!$M$60,SUM(Popn!M$77:M$81)*Tracks!$M$61,SUM(Popn!M$82:M$86)*Tracks!$M$62,SUM(Popn!M$87:M$91)*Tracks!$M$63,SUM(Popn!M$92:M$97)*Tracks!$M$64)/1000000000</f>
        <v>6.2553434505376835</v>
      </c>
      <c r="N100" s="125">
        <f>SUM(SUM(Popn!N$7:N$11)*Tracks!$M$47,SUM(Popn!N$12:N$16)*Tracks!$M$48,SUM(Popn!N$17:N$21)*Tracks!$M$49,SUM(Popn!N$22:N$26)*Tracks!$M$50,SUM(Popn!N$27:N$31)*Tracks!$M$51,SUM(Popn!N$32:N$36)*Tracks!$M$52,SUM(Popn!N$37:N$41)*Tracks!$M$53,SUM(Popn!N$42:N$46)*Tracks!$M$54,SUM(Popn!N$47:N$51)*Tracks!$M$55,SUM(Popn!N$52:N$56)*Tracks!$M$56,SUM(Popn!N$57:N$61)*Tracks!$M$57,SUM(Popn!N$62:N$66)*Tracks!$M$58,SUM(Popn!N$67:N$71)*Tracks!$M$59,SUM(Popn!N$72:N$76)*Tracks!$M$60,SUM(Popn!N$77:N$81)*Tracks!$M$61,SUM(Popn!N$82:N$86)*Tracks!$M$62,SUM(Popn!N$87:N$91)*Tracks!$M$63,SUM(Popn!N$92:N$97)*Tracks!$M$64)/1000000000</f>
        <v>6.3686053296043381</v>
      </c>
      <c r="O100" s="73">
        <f>SUM(SUM(Popn!O$7:O$11)*Tracks!$M$47,SUM(Popn!O$12:O$16)*Tracks!$M$48,SUM(Popn!O$17:O$21)*Tracks!$M$49,SUM(Popn!O$22:O$26)*Tracks!$M$50,SUM(Popn!O$27:O$31)*Tracks!$M$51,SUM(Popn!O$32:O$36)*Tracks!$M$52,SUM(Popn!O$37:O$41)*Tracks!$M$53,SUM(Popn!O$42:O$46)*Tracks!$M$54,SUM(Popn!O$47:O$51)*Tracks!$M$55,SUM(Popn!O$52:O$56)*Tracks!$M$56,SUM(Popn!O$57:O$61)*Tracks!$M$57,SUM(Popn!O$62:O$66)*Tracks!$M$58,SUM(Popn!O$67:O$71)*Tracks!$M$59,SUM(Popn!O$72:O$76)*Tracks!$M$60,SUM(Popn!O$77:O$81)*Tracks!$M$61,SUM(Popn!O$82:O$86)*Tracks!$M$62,SUM(Popn!O$87:O$91)*Tracks!$M$63,SUM(Popn!O$92:O$97)*Tracks!$M$64)/1000000000</f>
        <v>6.4774838947864852</v>
      </c>
      <c r="P100" s="73">
        <f>SUM(SUM(Popn!P$7:P$11)*Tracks!$M$47,SUM(Popn!P$12:P$16)*Tracks!$M$48,SUM(Popn!P$17:P$21)*Tracks!$M$49,SUM(Popn!P$22:P$26)*Tracks!$M$50,SUM(Popn!P$27:P$31)*Tracks!$M$51,SUM(Popn!P$32:P$36)*Tracks!$M$52,SUM(Popn!P$37:P$41)*Tracks!$M$53,SUM(Popn!P$42:P$46)*Tracks!$M$54,SUM(Popn!P$47:P$51)*Tracks!$M$55,SUM(Popn!P$52:P$56)*Tracks!$M$56,SUM(Popn!P$57:P$61)*Tracks!$M$57,SUM(Popn!P$62:P$66)*Tracks!$M$58,SUM(Popn!P$67:P$71)*Tracks!$M$59,SUM(Popn!P$72:P$76)*Tracks!$M$60,SUM(Popn!P$77:P$81)*Tracks!$M$61,SUM(Popn!P$82:P$86)*Tracks!$M$62,SUM(Popn!P$87:P$91)*Tracks!$M$63,SUM(Popn!P$92:P$97)*Tracks!$M$64)/1000000000</f>
        <v>6.5898776576918232</v>
      </c>
      <c r="Q100" s="73">
        <f>SUM(SUM(Popn!Q$7:Q$11)*Tracks!$M$47,SUM(Popn!Q$12:Q$16)*Tracks!$M$48,SUM(Popn!Q$17:Q$21)*Tracks!$M$49,SUM(Popn!Q$22:Q$26)*Tracks!$M$50,SUM(Popn!Q$27:Q$31)*Tracks!$M$51,SUM(Popn!Q$32:Q$36)*Tracks!$M$52,SUM(Popn!Q$37:Q$41)*Tracks!$M$53,SUM(Popn!Q$42:Q$46)*Tracks!$M$54,SUM(Popn!Q$47:Q$51)*Tracks!$M$55,SUM(Popn!Q$52:Q$56)*Tracks!$M$56,SUM(Popn!Q$57:Q$61)*Tracks!$M$57,SUM(Popn!Q$62:Q$66)*Tracks!$M$58,SUM(Popn!Q$67:Q$71)*Tracks!$M$59,SUM(Popn!Q$72:Q$76)*Tracks!$M$60,SUM(Popn!Q$77:Q$81)*Tracks!$M$61,SUM(Popn!Q$82:Q$86)*Tracks!$M$62,SUM(Popn!Q$87:Q$91)*Tracks!$M$63,SUM(Popn!Q$92:Q$97)*Tracks!$M$64)/1000000000</f>
        <v>6.7041134371777504</v>
      </c>
      <c r="R100" s="73">
        <f>SUM(SUM(Popn!R$7:R$11)*Tracks!$M$47,SUM(Popn!R$12:R$16)*Tracks!$M$48,SUM(Popn!R$17:R$21)*Tracks!$M$49,SUM(Popn!R$22:R$26)*Tracks!$M$50,SUM(Popn!R$27:R$31)*Tracks!$M$51,SUM(Popn!R$32:R$36)*Tracks!$M$52,SUM(Popn!R$37:R$41)*Tracks!$M$53,SUM(Popn!R$42:R$46)*Tracks!$M$54,SUM(Popn!R$47:R$51)*Tracks!$M$55,SUM(Popn!R$52:R$56)*Tracks!$M$56,SUM(Popn!R$57:R$61)*Tracks!$M$57,SUM(Popn!R$62:R$66)*Tracks!$M$58,SUM(Popn!R$67:R$71)*Tracks!$M$59,SUM(Popn!R$72:R$76)*Tracks!$M$60,SUM(Popn!R$77:R$81)*Tracks!$M$61,SUM(Popn!R$82:R$86)*Tracks!$M$62,SUM(Popn!R$87:R$91)*Tracks!$M$63,SUM(Popn!R$92:R$97)*Tracks!$M$64)/1000000000</f>
        <v>6.8209835367241407</v>
      </c>
      <c r="S100" s="73">
        <f>SUM(SUM(Popn!S$7:S$11)*Tracks!$M$47,SUM(Popn!S$12:S$16)*Tracks!$M$48,SUM(Popn!S$17:S$21)*Tracks!$M$49,SUM(Popn!S$22:S$26)*Tracks!$M$50,SUM(Popn!S$27:S$31)*Tracks!$M$51,SUM(Popn!S$32:S$36)*Tracks!$M$52,SUM(Popn!S$37:S$41)*Tracks!$M$53,SUM(Popn!S$42:S$46)*Tracks!$M$54,SUM(Popn!S$47:S$51)*Tracks!$M$55,SUM(Popn!S$52:S$56)*Tracks!$M$56,SUM(Popn!S$57:S$61)*Tracks!$M$57,SUM(Popn!S$62:S$66)*Tracks!$M$58,SUM(Popn!S$67:S$71)*Tracks!$M$59,SUM(Popn!S$72:S$76)*Tracks!$M$60,SUM(Popn!S$77:S$81)*Tracks!$M$61,SUM(Popn!S$82:S$86)*Tracks!$M$62,SUM(Popn!S$87:S$91)*Tracks!$M$63,SUM(Popn!S$92:S$97)*Tracks!$M$64)/1000000000</f>
        <v>6.9428410084229615</v>
      </c>
      <c r="T100" s="73">
        <f>SUM(SUM(Popn!T$7:T$11)*Tracks!$M$47,SUM(Popn!T$12:T$16)*Tracks!$M$48,SUM(Popn!T$17:T$21)*Tracks!$M$49,SUM(Popn!T$22:T$26)*Tracks!$M$50,SUM(Popn!T$27:T$31)*Tracks!$M$51,SUM(Popn!T$32:T$36)*Tracks!$M$52,SUM(Popn!T$37:T$41)*Tracks!$M$53,SUM(Popn!T$42:T$46)*Tracks!$M$54,SUM(Popn!T$47:T$51)*Tracks!$M$55,SUM(Popn!T$52:T$56)*Tracks!$M$56,SUM(Popn!T$57:T$61)*Tracks!$M$57,SUM(Popn!T$62:T$66)*Tracks!$M$58,SUM(Popn!T$67:T$71)*Tracks!$M$59,SUM(Popn!T$72:T$76)*Tracks!$M$60,SUM(Popn!T$77:T$81)*Tracks!$M$61,SUM(Popn!T$82:T$86)*Tracks!$M$62,SUM(Popn!T$87:T$91)*Tracks!$M$63,SUM(Popn!T$92:T$97)*Tracks!$M$64)/1000000000</f>
        <v>7.0601842833039088</v>
      </c>
      <c r="U100" s="73">
        <f>SUM(SUM(Popn!U$7:U$11)*Tracks!$M$47,SUM(Popn!U$12:U$16)*Tracks!$M$48,SUM(Popn!U$17:U$21)*Tracks!$M$49,SUM(Popn!U$22:U$26)*Tracks!$M$50,SUM(Popn!U$27:U$31)*Tracks!$M$51,SUM(Popn!U$32:U$36)*Tracks!$M$52,SUM(Popn!U$37:U$41)*Tracks!$M$53,SUM(Popn!U$42:U$46)*Tracks!$M$54,SUM(Popn!U$47:U$51)*Tracks!$M$55,SUM(Popn!U$52:U$56)*Tracks!$M$56,SUM(Popn!U$57:U$61)*Tracks!$M$57,SUM(Popn!U$62:U$66)*Tracks!$M$58,SUM(Popn!U$67:U$71)*Tracks!$M$59,SUM(Popn!U$72:U$76)*Tracks!$M$60,SUM(Popn!U$77:U$81)*Tracks!$M$61,SUM(Popn!U$82:U$86)*Tracks!$M$62,SUM(Popn!U$87:U$91)*Tracks!$M$63,SUM(Popn!U$92:U$97)*Tracks!$M$64)/1000000000</f>
        <v>7.1792427383463329</v>
      </c>
      <c r="V100" s="73">
        <f>SUM(SUM(Popn!V$7:V$11)*Tracks!$M$47,SUM(Popn!V$12:V$16)*Tracks!$M$48,SUM(Popn!V$17:V$21)*Tracks!$M$49,SUM(Popn!V$22:V$26)*Tracks!$M$50,SUM(Popn!V$27:V$31)*Tracks!$M$51,SUM(Popn!V$32:V$36)*Tracks!$M$52,SUM(Popn!V$37:V$41)*Tracks!$M$53,SUM(Popn!V$42:V$46)*Tracks!$M$54,SUM(Popn!V$47:V$51)*Tracks!$M$55,SUM(Popn!V$52:V$56)*Tracks!$M$56,SUM(Popn!V$57:V$61)*Tracks!$M$57,SUM(Popn!V$62:V$66)*Tracks!$M$58,SUM(Popn!V$67:V$71)*Tracks!$M$59,SUM(Popn!V$72:V$76)*Tracks!$M$60,SUM(Popn!V$77:V$81)*Tracks!$M$61,SUM(Popn!V$82:V$86)*Tracks!$M$62,SUM(Popn!V$87:V$91)*Tracks!$M$63,SUM(Popn!V$92:V$97)*Tracks!$M$64)/1000000000</f>
        <v>7.2988385743542823</v>
      </c>
      <c r="W100" s="73">
        <f>SUM(SUM(Popn!W$7:W$11)*Tracks!$M$47,SUM(Popn!W$12:W$16)*Tracks!$M$48,SUM(Popn!W$17:W$21)*Tracks!$M$49,SUM(Popn!W$22:W$26)*Tracks!$M$50,SUM(Popn!W$27:W$31)*Tracks!$M$51,SUM(Popn!W$32:W$36)*Tracks!$M$52,SUM(Popn!W$37:W$41)*Tracks!$M$53,SUM(Popn!W$42:W$46)*Tracks!$M$54,SUM(Popn!W$47:W$51)*Tracks!$M$55,SUM(Popn!W$52:W$56)*Tracks!$M$56,SUM(Popn!W$57:W$61)*Tracks!$M$57,SUM(Popn!W$62:W$66)*Tracks!$M$58,SUM(Popn!W$67:W$71)*Tracks!$M$59,SUM(Popn!W$72:W$76)*Tracks!$M$60,SUM(Popn!W$77:W$81)*Tracks!$M$61,SUM(Popn!W$82:W$86)*Tracks!$M$62,SUM(Popn!W$87:W$91)*Tracks!$M$63,SUM(Popn!W$92:W$97)*Tracks!$M$64)/1000000000</f>
        <v>7.419781360596521</v>
      </c>
      <c r="X100" s="73">
        <f>SUM(SUM(Popn!X$7:X$11)*Tracks!$M$47,SUM(Popn!X$12:X$16)*Tracks!$M$48,SUM(Popn!X$17:X$21)*Tracks!$M$49,SUM(Popn!X$22:X$26)*Tracks!$M$50,SUM(Popn!X$27:X$31)*Tracks!$M$51,SUM(Popn!X$32:X$36)*Tracks!$M$52,SUM(Popn!X$37:X$41)*Tracks!$M$53,SUM(Popn!X$42:X$46)*Tracks!$M$54,SUM(Popn!X$47:X$51)*Tracks!$M$55,SUM(Popn!X$52:X$56)*Tracks!$M$56,SUM(Popn!X$57:X$61)*Tracks!$M$57,SUM(Popn!X$62:X$66)*Tracks!$M$58,SUM(Popn!X$67:X$71)*Tracks!$M$59,SUM(Popn!X$72:X$76)*Tracks!$M$60,SUM(Popn!X$77:X$81)*Tracks!$M$61,SUM(Popn!X$82:X$86)*Tracks!$M$62,SUM(Popn!X$87:X$91)*Tracks!$M$63,SUM(Popn!X$92:X$97)*Tracks!$M$64)/1000000000</f>
        <v>7.5433253379933749</v>
      </c>
    </row>
    <row r="101" spans="1:24" x14ac:dyDescent="0.2">
      <c r="A101" s="108" t="s">
        <v>931</v>
      </c>
      <c r="B101" s="77"/>
      <c r="C101" s="69"/>
      <c r="D101" s="86">
        <f>SUM(SUM(Popn!D$101:D$105)*Tracks!$L$47,SUM(Popn!D$106:D$110)*Tracks!$L$48,SUM(Popn!D$111:D$115)*Tracks!$L$49,SUM(Popn!D$116:D$120)*Tracks!$L$50,SUM(Popn!D$121:D$125)*Tracks!$L$51,SUM(Popn!D$126:D$130)*Tracks!$L$52,SUM(Popn!D$131:D$135)*Tracks!$L$53,SUM(Popn!D$136:D$140)*Tracks!$L$54,SUM(Popn!D$141:D$145)*Tracks!$L$55,SUM(Popn!D$146:D$150)*Tracks!$L$56,SUM(Popn!D$151:D$155)*Tracks!$L$57,SUM(Popn!D$156:D$160)*Tracks!$L$58,SUM(Popn!D$161:D$165)*Tracks!$L$59,SUM(Popn!D$166:D$170)*Tracks!$L$60,SUM(Popn!D$171:D$175)*Tracks!$L$61,SUM(Popn!D$176:D$180)*Tracks!$L$62,SUM(Popn!D$181:D$185)*Tracks!$L$63,SUM(Popn!D$186:D$191)*Tracks!$L$64)/1000000000</f>
        <v>6.3158688215335683</v>
      </c>
      <c r="E101" s="86">
        <f>SUM(SUM(Popn!E$101:E$105)*Tracks!$L$47,SUM(Popn!E$106:E$110)*Tracks!$L$48,SUM(Popn!E$111:E$115)*Tracks!$L$49,SUM(Popn!E$116:E$120)*Tracks!$L$50,SUM(Popn!E$121:E$125)*Tracks!$L$51,SUM(Popn!E$126:E$130)*Tracks!$L$52,SUM(Popn!E$131:E$135)*Tracks!$L$53,SUM(Popn!E$136:E$140)*Tracks!$L$54,SUM(Popn!E$141:E$145)*Tracks!$L$55,SUM(Popn!E$146:E$150)*Tracks!$L$56,SUM(Popn!E$151:E$155)*Tracks!$L$57,SUM(Popn!E$156:E$160)*Tracks!$L$58,SUM(Popn!E$161:E$165)*Tracks!$L$59,SUM(Popn!E$166:E$170)*Tracks!$L$60,SUM(Popn!E$171:E$175)*Tracks!$L$61,SUM(Popn!E$176:E$180)*Tracks!$L$62,SUM(Popn!E$181:E$185)*Tracks!$L$63,SUM(Popn!E$186:E$191)*Tracks!$L$64)/1000000000</f>
        <v>6.4082597726025421</v>
      </c>
      <c r="F101" s="86">
        <f>SUM(SUM(Popn!F$101:F$105)*Tracks!$L$47,SUM(Popn!F$106:F$110)*Tracks!$L$48,SUM(Popn!F$111:F$115)*Tracks!$L$49,SUM(Popn!F$116:F$120)*Tracks!$L$50,SUM(Popn!F$121:F$125)*Tracks!$L$51,SUM(Popn!F$126:F$130)*Tracks!$L$52,SUM(Popn!F$131:F$135)*Tracks!$L$53,SUM(Popn!F$136:F$140)*Tracks!$L$54,SUM(Popn!F$141:F$145)*Tracks!$L$55,SUM(Popn!F$146:F$150)*Tracks!$L$56,SUM(Popn!F$151:F$155)*Tracks!$L$57,SUM(Popn!F$156:F$160)*Tracks!$L$58,SUM(Popn!F$161:F$165)*Tracks!$L$59,SUM(Popn!F$166:F$170)*Tracks!$L$60,SUM(Popn!F$171:F$175)*Tracks!$L$61,SUM(Popn!F$176:F$180)*Tracks!$L$62,SUM(Popn!F$181:F$185)*Tracks!$L$63,SUM(Popn!F$186:F$191)*Tracks!$L$64)/1000000000</f>
        <v>6.5047757118957161</v>
      </c>
      <c r="G101" s="86">
        <f>SUM(SUM(Popn!G$101:G$105)*Tracks!$L$47,SUM(Popn!G$106:G$110)*Tracks!$L$48,SUM(Popn!G$111:G$115)*Tracks!$L$49,SUM(Popn!G$116:G$120)*Tracks!$L$50,SUM(Popn!G$121:G$125)*Tracks!$L$51,SUM(Popn!G$126:G$130)*Tracks!$L$52,SUM(Popn!G$131:G$135)*Tracks!$L$53,SUM(Popn!G$136:G$140)*Tracks!$L$54,SUM(Popn!G$141:G$145)*Tracks!$L$55,SUM(Popn!G$146:G$150)*Tracks!$L$56,SUM(Popn!G$151:G$155)*Tracks!$L$57,SUM(Popn!G$156:G$160)*Tracks!$L$58,SUM(Popn!G$161:G$165)*Tracks!$L$59,SUM(Popn!G$166:G$170)*Tracks!$L$60,SUM(Popn!G$171:G$175)*Tracks!$L$61,SUM(Popn!G$176:G$180)*Tracks!$L$62,SUM(Popn!G$181:G$185)*Tracks!$L$63,SUM(Popn!G$186:G$191)*Tracks!$L$64)/1000000000</f>
        <v>6.616916150555415</v>
      </c>
      <c r="H101" s="86">
        <f>SUM(SUM(Popn!H$101:H$105)*Tracks!$L$47,SUM(Popn!H$106:H$110)*Tracks!$L$48,SUM(Popn!H$111:H$115)*Tracks!$L$49,SUM(Popn!H$116:H$120)*Tracks!$L$50,SUM(Popn!H$121:H$125)*Tracks!$L$51,SUM(Popn!H$126:H$130)*Tracks!$L$52,SUM(Popn!H$131:H$135)*Tracks!$L$53,SUM(Popn!H$136:H$140)*Tracks!$L$54,SUM(Popn!H$141:H$145)*Tracks!$L$55,SUM(Popn!H$146:H$150)*Tracks!$L$56,SUM(Popn!H$151:H$155)*Tracks!$L$57,SUM(Popn!H$156:H$160)*Tracks!$L$58,SUM(Popn!H$161:H$165)*Tracks!$L$59,SUM(Popn!H$166:H$170)*Tracks!$L$60,SUM(Popn!H$171:H$175)*Tracks!$L$61,SUM(Popn!H$176:H$180)*Tracks!$L$62,SUM(Popn!H$181:H$185)*Tracks!$L$63,SUM(Popn!H$186:H$191)*Tracks!$L$64)/1000000000</f>
        <v>6.7096638322406195</v>
      </c>
      <c r="I101" s="86">
        <f>SUM(SUM(Popn!I$101:I$105)*Tracks!$L$47,SUM(Popn!I$106:I$110)*Tracks!$L$48,SUM(Popn!I$111:I$115)*Tracks!$L$49,SUM(Popn!I$116:I$120)*Tracks!$L$50,SUM(Popn!I$121:I$125)*Tracks!$L$51,SUM(Popn!I$126:I$130)*Tracks!$L$52,SUM(Popn!I$131:I$135)*Tracks!$L$53,SUM(Popn!I$136:I$140)*Tracks!$L$54,SUM(Popn!I$141:I$145)*Tracks!$L$55,SUM(Popn!I$146:I$150)*Tracks!$L$56,SUM(Popn!I$151:I$155)*Tracks!$L$57,SUM(Popn!I$156:I$160)*Tracks!$L$58,SUM(Popn!I$161:I$165)*Tracks!$L$59,SUM(Popn!I$166:I$170)*Tracks!$L$60,SUM(Popn!I$171:I$175)*Tracks!$L$61,SUM(Popn!I$176:I$180)*Tracks!$L$62,SUM(Popn!I$181:I$185)*Tracks!$L$63,SUM(Popn!I$186:I$191)*Tracks!$L$64)/1000000000</f>
        <v>6.7907833884660826</v>
      </c>
      <c r="J101" s="129">
        <f>SUM(SUM(Popn!J$101:J$105)*Tracks!$L$47,SUM(Popn!J$106:J$110)*Tracks!$L$48,SUM(Popn!J$111:J$115)*Tracks!$L$49,SUM(Popn!J$116:J$120)*Tracks!$L$50,SUM(Popn!J$121:J$125)*Tracks!$L$51,SUM(Popn!J$126:J$130)*Tracks!$L$52,SUM(Popn!J$131:J$135)*Tracks!$L$53,SUM(Popn!J$136:J$140)*Tracks!$L$54,SUM(Popn!J$141:J$145)*Tracks!$L$55,SUM(Popn!J$146:J$150)*Tracks!$L$56,SUM(Popn!J$151:J$155)*Tracks!$L$57,SUM(Popn!J$156:J$160)*Tracks!$L$58,SUM(Popn!J$161:J$165)*Tracks!$L$59,SUM(Popn!J$166:J$170)*Tracks!$L$60,SUM(Popn!J$171:J$175)*Tracks!$L$61,SUM(Popn!J$176:J$180)*Tracks!$L$62,SUM(Popn!J$181:J$185)*Tracks!$L$63,SUM(Popn!J$186:J$191)*Tracks!$L$64)/1000000000</f>
        <v>6.8733049444812835</v>
      </c>
      <c r="K101" s="129">
        <f>SUM(SUM(Popn!K$101:K$105)*Tracks!$L$47,SUM(Popn!K$106:K$110)*Tracks!$L$48,SUM(Popn!K$111:K$115)*Tracks!$L$49,SUM(Popn!K$116:K$120)*Tracks!$L$50,SUM(Popn!K$121:K$125)*Tracks!$L$51,SUM(Popn!K$126:K$130)*Tracks!$L$52,SUM(Popn!K$131:K$135)*Tracks!$L$53,SUM(Popn!K$136:K$140)*Tracks!$L$54,SUM(Popn!K$141:K$145)*Tracks!$L$55,SUM(Popn!K$146:K$150)*Tracks!$L$56,SUM(Popn!K$151:K$155)*Tracks!$L$57,SUM(Popn!K$156:K$160)*Tracks!$L$58,SUM(Popn!K$161:K$165)*Tracks!$L$59,SUM(Popn!K$166:K$170)*Tracks!$L$60,SUM(Popn!K$171:K$175)*Tracks!$L$61,SUM(Popn!K$176:K$180)*Tracks!$L$62,SUM(Popn!K$181:K$185)*Tracks!$L$63,SUM(Popn!K$186:K$191)*Tracks!$L$64)/1000000000</f>
        <v>6.9659323654276983</v>
      </c>
      <c r="L101" s="129">
        <f>SUM(SUM(Popn!L$101:L$105)*Tracks!$L$47,SUM(Popn!L$106:L$110)*Tracks!$L$48,SUM(Popn!L$111:L$115)*Tracks!$L$49,SUM(Popn!L$116:L$120)*Tracks!$L$50,SUM(Popn!L$121:L$125)*Tracks!$L$51,SUM(Popn!L$126:L$130)*Tracks!$L$52,SUM(Popn!L$131:L$135)*Tracks!$L$53,SUM(Popn!L$136:L$140)*Tracks!$L$54,SUM(Popn!L$141:L$145)*Tracks!$L$55,SUM(Popn!L$146:L$150)*Tracks!$L$56,SUM(Popn!L$151:L$155)*Tracks!$L$57,SUM(Popn!L$156:L$160)*Tracks!$L$58,SUM(Popn!L$161:L$165)*Tracks!$L$59,SUM(Popn!L$166:L$170)*Tracks!$L$60,SUM(Popn!L$171:L$175)*Tracks!$L$61,SUM(Popn!L$176:L$180)*Tracks!$L$62,SUM(Popn!L$181:L$185)*Tracks!$L$63,SUM(Popn!L$186:L$191)*Tracks!$L$64)/1000000000</f>
        <v>7.0694358262752059</v>
      </c>
      <c r="M101" s="129">
        <f>SUM(SUM(Popn!M$101:M$105)*Tracks!$L$47,SUM(Popn!M$106:M$110)*Tracks!$L$48,SUM(Popn!M$111:M$115)*Tracks!$L$49,SUM(Popn!M$116:M$120)*Tracks!$L$50,SUM(Popn!M$121:M$125)*Tracks!$L$51,SUM(Popn!M$126:M$130)*Tracks!$L$52,SUM(Popn!M$131:M$135)*Tracks!$L$53,SUM(Popn!M$136:M$140)*Tracks!$L$54,SUM(Popn!M$141:M$145)*Tracks!$L$55,SUM(Popn!M$146:M$150)*Tracks!$L$56,SUM(Popn!M$151:M$155)*Tracks!$L$57,SUM(Popn!M$156:M$160)*Tracks!$L$58,SUM(Popn!M$161:M$165)*Tracks!$L$59,SUM(Popn!M$166:M$170)*Tracks!$L$60,SUM(Popn!M$171:M$175)*Tracks!$L$61,SUM(Popn!M$176:M$180)*Tracks!$L$62,SUM(Popn!M$181:M$185)*Tracks!$L$63,SUM(Popn!M$186:M$191)*Tracks!$L$64)/1000000000</f>
        <v>7.1791809094054129</v>
      </c>
      <c r="N101" s="129">
        <f>SUM(SUM(Popn!N$101:N$105)*Tracks!$L$47,SUM(Popn!N$106:N$110)*Tracks!$L$48,SUM(Popn!N$111:N$115)*Tracks!$L$49,SUM(Popn!N$116:N$120)*Tracks!$L$50,SUM(Popn!N$121:N$125)*Tracks!$L$51,SUM(Popn!N$126:N$130)*Tracks!$L$52,SUM(Popn!N$131:N$135)*Tracks!$L$53,SUM(Popn!N$136:N$140)*Tracks!$L$54,SUM(Popn!N$141:N$145)*Tracks!$L$55,SUM(Popn!N$146:N$150)*Tracks!$L$56,SUM(Popn!N$151:N$155)*Tracks!$L$57,SUM(Popn!N$156:N$160)*Tracks!$L$58,SUM(Popn!N$161:N$165)*Tracks!$L$59,SUM(Popn!N$166:N$170)*Tracks!$L$60,SUM(Popn!N$171:N$175)*Tracks!$L$61,SUM(Popn!N$176:N$180)*Tracks!$L$62,SUM(Popn!N$181:N$185)*Tracks!$L$63,SUM(Popn!N$186:N$191)*Tracks!$L$64)/1000000000</f>
        <v>7.2938678968936808</v>
      </c>
      <c r="O101" s="100">
        <f>SUM(SUM(Popn!O$101:O$105)*Tracks!$L$47,SUM(Popn!O$106:O$110)*Tracks!$L$48,SUM(Popn!O$111:O$115)*Tracks!$L$49,SUM(Popn!O$116:O$120)*Tracks!$L$50,SUM(Popn!O$121:O$125)*Tracks!$L$51,SUM(Popn!O$126:O$130)*Tracks!$L$52,SUM(Popn!O$131:O$135)*Tracks!$L$53,SUM(Popn!O$136:O$140)*Tracks!$L$54,SUM(Popn!O$141:O$145)*Tracks!$L$55,SUM(Popn!O$146:O$150)*Tracks!$L$56,SUM(Popn!O$151:O$155)*Tracks!$L$57,SUM(Popn!O$156:O$160)*Tracks!$L$58,SUM(Popn!O$161:O$165)*Tracks!$L$59,SUM(Popn!O$166:O$170)*Tracks!$L$60,SUM(Popn!O$171:O$175)*Tracks!$L$61,SUM(Popn!O$176:O$180)*Tracks!$L$62,SUM(Popn!O$181:O$185)*Tracks!$L$63,SUM(Popn!O$186:O$191)*Tracks!$L$64)/1000000000</f>
        <v>7.4064862241347926</v>
      </c>
      <c r="P101" s="100">
        <f>SUM(SUM(Popn!P$101:P$105)*Tracks!$L$47,SUM(Popn!P$106:P$110)*Tracks!$L$48,SUM(Popn!P$111:P$115)*Tracks!$L$49,SUM(Popn!P$116:P$120)*Tracks!$L$50,SUM(Popn!P$121:P$125)*Tracks!$L$51,SUM(Popn!P$126:P$130)*Tracks!$L$52,SUM(Popn!P$131:P$135)*Tracks!$L$53,SUM(Popn!P$136:P$140)*Tracks!$L$54,SUM(Popn!P$141:P$145)*Tracks!$L$55,SUM(Popn!P$146:P$150)*Tracks!$L$56,SUM(Popn!P$151:P$155)*Tracks!$L$57,SUM(Popn!P$156:P$160)*Tracks!$L$58,SUM(Popn!P$161:P$165)*Tracks!$L$59,SUM(Popn!P$166:P$170)*Tracks!$L$60,SUM(Popn!P$171:P$175)*Tracks!$L$61,SUM(Popn!P$176:P$180)*Tracks!$L$62,SUM(Popn!P$181:P$185)*Tracks!$L$63,SUM(Popn!P$186:P$191)*Tracks!$L$64)/1000000000</f>
        <v>7.5223032657507192</v>
      </c>
      <c r="Q101" s="100">
        <f>SUM(SUM(Popn!Q$101:Q$105)*Tracks!$L$47,SUM(Popn!Q$106:Q$110)*Tracks!$L$48,SUM(Popn!Q$111:Q$115)*Tracks!$L$49,SUM(Popn!Q$116:Q$120)*Tracks!$L$50,SUM(Popn!Q$121:Q$125)*Tracks!$L$51,SUM(Popn!Q$126:Q$130)*Tracks!$L$52,SUM(Popn!Q$131:Q$135)*Tracks!$L$53,SUM(Popn!Q$136:Q$140)*Tracks!$L$54,SUM(Popn!Q$141:Q$145)*Tracks!$L$55,SUM(Popn!Q$146:Q$150)*Tracks!$L$56,SUM(Popn!Q$151:Q$155)*Tracks!$L$57,SUM(Popn!Q$156:Q$160)*Tracks!$L$58,SUM(Popn!Q$161:Q$165)*Tracks!$L$59,SUM(Popn!Q$166:Q$170)*Tracks!$L$60,SUM(Popn!Q$171:Q$175)*Tracks!$L$61,SUM(Popn!Q$176:Q$180)*Tracks!$L$62,SUM(Popn!Q$181:Q$185)*Tracks!$L$63,SUM(Popn!Q$186:Q$191)*Tracks!$L$64)/1000000000</f>
        <v>7.642246107079969</v>
      </c>
      <c r="R101" s="100">
        <f>SUM(SUM(Popn!R$101:R$105)*Tracks!$L$47,SUM(Popn!R$106:R$110)*Tracks!$L$48,SUM(Popn!R$111:R$115)*Tracks!$L$49,SUM(Popn!R$116:R$120)*Tracks!$L$50,SUM(Popn!R$121:R$125)*Tracks!$L$51,SUM(Popn!R$126:R$130)*Tracks!$L$52,SUM(Popn!R$131:R$135)*Tracks!$L$53,SUM(Popn!R$136:R$140)*Tracks!$L$54,SUM(Popn!R$141:R$145)*Tracks!$L$55,SUM(Popn!R$146:R$150)*Tracks!$L$56,SUM(Popn!R$151:R$155)*Tracks!$L$57,SUM(Popn!R$156:R$160)*Tracks!$L$58,SUM(Popn!R$161:R$165)*Tracks!$L$59,SUM(Popn!R$166:R$170)*Tracks!$L$60,SUM(Popn!R$171:R$175)*Tracks!$L$61,SUM(Popn!R$176:R$180)*Tracks!$L$62,SUM(Popn!R$181:R$185)*Tracks!$L$63,SUM(Popn!R$186:R$191)*Tracks!$L$64)/1000000000</f>
        <v>7.7689679139903305</v>
      </c>
      <c r="S101" s="100">
        <f>SUM(SUM(Popn!S$101:S$105)*Tracks!$L$47,SUM(Popn!S$106:S$110)*Tracks!$L$48,SUM(Popn!S$111:S$115)*Tracks!$L$49,SUM(Popn!S$116:S$120)*Tracks!$L$50,SUM(Popn!S$121:S$125)*Tracks!$L$51,SUM(Popn!S$126:S$130)*Tracks!$L$52,SUM(Popn!S$131:S$135)*Tracks!$L$53,SUM(Popn!S$136:S$140)*Tracks!$L$54,SUM(Popn!S$141:S$145)*Tracks!$L$55,SUM(Popn!S$146:S$150)*Tracks!$L$56,SUM(Popn!S$151:S$155)*Tracks!$L$57,SUM(Popn!S$156:S$160)*Tracks!$L$58,SUM(Popn!S$161:S$165)*Tracks!$L$59,SUM(Popn!S$166:S$170)*Tracks!$L$60,SUM(Popn!S$171:S$175)*Tracks!$L$61,SUM(Popn!S$176:S$180)*Tracks!$L$62,SUM(Popn!S$181:S$185)*Tracks!$L$63,SUM(Popn!S$186:S$191)*Tracks!$L$64)/1000000000</f>
        <v>7.903235162627956</v>
      </c>
      <c r="T101" s="100">
        <f>SUM(SUM(Popn!T$101:T$105)*Tracks!$L$47,SUM(Popn!T$106:T$110)*Tracks!$L$48,SUM(Popn!T$111:T$115)*Tracks!$L$49,SUM(Popn!T$116:T$120)*Tracks!$L$50,SUM(Popn!T$121:T$125)*Tracks!$L$51,SUM(Popn!T$126:T$130)*Tracks!$L$52,SUM(Popn!T$131:T$135)*Tracks!$L$53,SUM(Popn!T$136:T$140)*Tracks!$L$54,SUM(Popn!T$141:T$145)*Tracks!$L$55,SUM(Popn!T$146:T$150)*Tracks!$L$56,SUM(Popn!T$151:T$155)*Tracks!$L$57,SUM(Popn!T$156:T$160)*Tracks!$L$58,SUM(Popn!T$161:T$165)*Tracks!$L$59,SUM(Popn!T$166:T$170)*Tracks!$L$60,SUM(Popn!T$171:T$175)*Tracks!$L$61,SUM(Popn!T$176:T$180)*Tracks!$L$62,SUM(Popn!T$181:T$185)*Tracks!$L$63,SUM(Popn!T$186:T$191)*Tracks!$L$64)/1000000000</f>
        <v>8.0329404866295047</v>
      </c>
      <c r="U101" s="100">
        <f>SUM(SUM(Popn!U$101:U$105)*Tracks!$L$47,SUM(Popn!U$106:U$110)*Tracks!$L$48,SUM(Popn!U$111:U$115)*Tracks!$L$49,SUM(Popn!U$116:U$120)*Tracks!$L$50,SUM(Popn!U$121:U$125)*Tracks!$L$51,SUM(Popn!U$126:U$130)*Tracks!$L$52,SUM(Popn!U$131:U$135)*Tracks!$L$53,SUM(Popn!U$136:U$140)*Tracks!$L$54,SUM(Popn!U$141:U$145)*Tracks!$L$55,SUM(Popn!U$146:U$150)*Tracks!$L$56,SUM(Popn!U$151:U$155)*Tracks!$L$57,SUM(Popn!U$156:U$160)*Tracks!$L$58,SUM(Popn!U$161:U$165)*Tracks!$L$59,SUM(Popn!U$166:U$170)*Tracks!$L$60,SUM(Popn!U$171:U$175)*Tracks!$L$61,SUM(Popn!U$176:U$180)*Tracks!$L$62,SUM(Popn!U$181:U$185)*Tracks!$L$63,SUM(Popn!U$186:U$191)*Tracks!$L$64)/1000000000</f>
        <v>8.1666595061244411</v>
      </c>
      <c r="V101" s="100">
        <f>SUM(SUM(Popn!V$101:V$105)*Tracks!$L$47,SUM(Popn!V$106:V$110)*Tracks!$L$48,SUM(Popn!V$111:V$115)*Tracks!$L$49,SUM(Popn!V$116:V$120)*Tracks!$L$50,SUM(Popn!V$121:V$125)*Tracks!$L$51,SUM(Popn!V$126:V$130)*Tracks!$L$52,SUM(Popn!V$131:V$135)*Tracks!$L$53,SUM(Popn!V$136:V$140)*Tracks!$L$54,SUM(Popn!V$141:V$145)*Tracks!$L$55,SUM(Popn!V$146:V$150)*Tracks!$L$56,SUM(Popn!V$151:V$155)*Tracks!$L$57,SUM(Popn!V$156:V$160)*Tracks!$L$58,SUM(Popn!V$161:V$165)*Tracks!$L$59,SUM(Popn!V$166:V$170)*Tracks!$L$60,SUM(Popn!V$171:V$175)*Tracks!$L$61,SUM(Popn!V$176:V$180)*Tracks!$L$62,SUM(Popn!V$181:V$185)*Tracks!$L$63,SUM(Popn!V$186:V$191)*Tracks!$L$64)/1000000000</f>
        <v>8.3047726260938752</v>
      </c>
      <c r="W101" s="100">
        <f>SUM(SUM(Popn!W$101:W$105)*Tracks!$L$47,SUM(Popn!W$106:W$110)*Tracks!$L$48,SUM(Popn!W$111:W$115)*Tracks!$L$49,SUM(Popn!W$116:W$120)*Tracks!$L$50,SUM(Popn!W$121:W$125)*Tracks!$L$51,SUM(Popn!W$126:W$130)*Tracks!$L$52,SUM(Popn!W$131:W$135)*Tracks!$L$53,SUM(Popn!W$136:W$140)*Tracks!$L$54,SUM(Popn!W$141:W$145)*Tracks!$L$55,SUM(Popn!W$146:W$150)*Tracks!$L$56,SUM(Popn!W$151:W$155)*Tracks!$L$57,SUM(Popn!W$156:W$160)*Tracks!$L$58,SUM(Popn!W$161:W$165)*Tracks!$L$59,SUM(Popn!W$166:W$170)*Tracks!$L$60,SUM(Popn!W$171:W$175)*Tracks!$L$61,SUM(Popn!W$176:W$180)*Tracks!$L$62,SUM(Popn!W$181:W$185)*Tracks!$L$63,SUM(Popn!W$186:W$191)*Tracks!$L$64)/1000000000</f>
        <v>8.4479423055320204</v>
      </c>
      <c r="X101" s="100">
        <f>SUM(SUM(Popn!X$101:X$105)*Tracks!$L$47,SUM(Popn!X$106:X$110)*Tracks!$L$48,SUM(Popn!X$111:X$115)*Tracks!$L$49,SUM(Popn!X$116:X$120)*Tracks!$L$50,SUM(Popn!X$121:X$125)*Tracks!$L$51,SUM(Popn!X$126:X$130)*Tracks!$L$52,SUM(Popn!X$131:X$135)*Tracks!$L$53,SUM(Popn!X$136:X$140)*Tracks!$L$54,SUM(Popn!X$141:X$145)*Tracks!$L$55,SUM(Popn!X$146:X$150)*Tracks!$L$56,SUM(Popn!X$151:X$155)*Tracks!$L$57,SUM(Popn!X$156:X$160)*Tracks!$L$58,SUM(Popn!X$161:X$165)*Tracks!$L$59,SUM(Popn!X$166:X$170)*Tracks!$L$60,SUM(Popn!X$171:X$175)*Tracks!$L$61,SUM(Popn!X$176:X$180)*Tracks!$L$62,SUM(Popn!X$181:X$185)*Tracks!$L$63,SUM(Popn!X$186:X$191)*Tracks!$L$64)/1000000000</f>
        <v>8.5968902525123703</v>
      </c>
    </row>
    <row r="102" spans="1:24" x14ac:dyDescent="0.2">
      <c r="A102" s="108"/>
      <c r="B102" s="77"/>
      <c r="C102" s="69"/>
      <c r="D102" s="69"/>
      <c r="E102" s="69"/>
      <c r="F102" s="69"/>
      <c r="G102" s="69"/>
      <c r="H102" s="69"/>
      <c r="I102" s="73"/>
      <c r="J102" s="73"/>
    </row>
    <row r="103" spans="1:24" x14ac:dyDescent="0.2">
      <c r="A103" s="108" t="s">
        <v>933</v>
      </c>
      <c r="B103" s="77"/>
      <c r="C103" s="69"/>
      <c r="D103" s="69"/>
      <c r="E103" s="69"/>
      <c r="F103" s="69"/>
      <c r="G103" s="69"/>
      <c r="H103" s="69"/>
      <c r="I103" s="73"/>
      <c r="J103" s="73"/>
    </row>
    <row r="104" spans="1:24" x14ac:dyDescent="0.2">
      <c r="A104" s="31" t="s">
        <v>923</v>
      </c>
      <c r="B104" s="233"/>
      <c r="C104" s="69"/>
      <c r="D104" s="69">
        <f>Data!C$149</f>
        <v>0.38200000000000001</v>
      </c>
      <c r="E104" s="69">
        <f>Data!D$149</f>
        <v>0.38600000000000001</v>
      </c>
      <c r="F104" s="69">
        <f>Data!E$149</f>
        <v>0.44400000000000001</v>
      </c>
      <c r="G104" s="69">
        <f>Data!F$149</f>
        <v>0.56999999999999995</v>
      </c>
      <c r="H104" s="69">
        <f>Data!G$149</f>
        <v>0.62</v>
      </c>
      <c r="I104" s="69">
        <f>Data!H$149</f>
        <v>0.64400000000000002</v>
      </c>
      <c r="J104" s="125">
        <f>Data!I$149</f>
        <v>0.54100000000000004</v>
      </c>
      <c r="K104" s="125">
        <f>Data!J$149</f>
        <v>0.51100000000000001</v>
      </c>
      <c r="L104" s="125">
        <f>Data!K$149</f>
        <v>0.49299999999999999</v>
      </c>
      <c r="M104" s="125">
        <f>Data!L$149</f>
        <v>0.48299999999999998</v>
      </c>
      <c r="N104" s="125">
        <f>Data!M$149</f>
        <v>0.47899999999999998</v>
      </c>
      <c r="O104" s="73">
        <f ca="1">N$104*(1+O$236)*(1+Popn!O$198)</f>
        <v>0.4853826794782588</v>
      </c>
      <c r="P104" s="73">
        <f ca="1">O$104*(1+P$236)*(1+Popn!P$198)</f>
        <v>0.49127516680502692</v>
      </c>
      <c r="Q104" s="73">
        <f ca="1">P$104*(1+Q$236)*(1+Popn!Q$198)</f>
        <v>0.49442145187157449</v>
      </c>
      <c r="R104" s="73">
        <f ca="1">Q$104*(1+R$236)*(1+Popn!R$198)</f>
        <v>0.49899426999451812</v>
      </c>
      <c r="S104" s="73">
        <f ca="1">R$104*(1+S$236)*(1+Popn!S$198)</f>
        <v>0.50751804940023459</v>
      </c>
      <c r="T104" s="73">
        <f ca="1">S$104*(1+T$236)*(1+Popn!T$198)</f>
        <v>0.51582093151465569</v>
      </c>
      <c r="U104" s="73">
        <f ca="1">T$104*(1+U$236)*(1+Popn!U$198)</f>
        <v>0.52707340610756448</v>
      </c>
      <c r="V104" s="73">
        <f ca="1">U$104*(1+V$236)*(1+Popn!V$198)</f>
        <v>0.53953699124979215</v>
      </c>
      <c r="W104" s="73">
        <f ca="1">V$104*(1+W$236)*(1+Popn!W$198)</f>
        <v>0.55661946078717128</v>
      </c>
      <c r="X104" s="73">
        <f ca="1">W$104*(1+X$236)*(1+Popn!X$198)</f>
        <v>0.57581628417234698</v>
      </c>
    </row>
    <row r="105" spans="1:24" x14ac:dyDescent="0.2">
      <c r="A105" s="31" t="s">
        <v>924</v>
      </c>
      <c r="B105" s="77"/>
      <c r="C105" s="69"/>
      <c r="D105" s="69">
        <f t="shared" ref="D105:X105" si="47">SUM(D$182,D$185)</f>
        <v>0.63900000000000001</v>
      </c>
      <c r="E105" s="69">
        <f t="shared" si="47"/>
        <v>0.25600000000000001</v>
      </c>
      <c r="F105" s="69">
        <f t="shared" si="47"/>
        <v>1.3109999999999999</v>
      </c>
      <c r="G105" s="69">
        <f t="shared" si="47"/>
        <v>1.008</v>
      </c>
      <c r="H105" s="69">
        <f t="shared" si="47"/>
        <v>0.58799999999999997</v>
      </c>
      <c r="I105" s="69">
        <f t="shared" si="47"/>
        <v>0.41499999999999998</v>
      </c>
      <c r="J105" s="125">
        <f t="shared" si="47"/>
        <v>0.69599999999999995</v>
      </c>
      <c r="K105" s="125">
        <f t="shared" si="47"/>
        <v>0.72</v>
      </c>
      <c r="L105" s="125">
        <f t="shared" si="47"/>
        <v>0.72699999999999998</v>
      </c>
      <c r="M105" s="125">
        <f t="shared" si="47"/>
        <v>0.745</v>
      </c>
      <c r="N105" s="125">
        <f t="shared" si="47"/>
        <v>0.76300000000000001</v>
      </c>
      <c r="O105" s="73">
        <f t="shared" ca="1" si="47"/>
        <v>0.78497607485499588</v>
      </c>
      <c r="P105" s="73">
        <f t="shared" ca="1" si="47"/>
        <v>0.81827084130886807</v>
      </c>
      <c r="Q105" s="73">
        <f t="shared" ca="1" si="47"/>
        <v>0.85819694977769667</v>
      </c>
      <c r="R105" s="73">
        <f t="shared" ca="1" si="47"/>
        <v>0.89346423171273193</v>
      </c>
      <c r="S105" s="73">
        <f t="shared" ca="1" si="47"/>
        <v>0.9325419025141336</v>
      </c>
      <c r="T105" s="73">
        <f t="shared" ca="1" si="47"/>
        <v>0.97731274056441619</v>
      </c>
      <c r="U105" s="73">
        <f t="shared" ca="1" si="47"/>
        <v>1.0099001769319005</v>
      </c>
      <c r="V105" s="73">
        <f t="shared" ca="1" si="47"/>
        <v>1.0444190162054088</v>
      </c>
      <c r="W105" s="73">
        <f t="shared" ca="1" si="47"/>
        <v>1.0846339383162604</v>
      </c>
      <c r="X105" s="73">
        <f t="shared" ca="1" si="47"/>
        <v>1.1296050320681763</v>
      </c>
    </row>
    <row r="106" spans="1:24" x14ac:dyDescent="0.2">
      <c r="A106" s="31" t="s">
        <v>925</v>
      </c>
      <c r="B106" s="77"/>
      <c r="C106" s="69"/>
      <c r="D106" s="176">
        <f t="shared" ref="D106:N106" si="48">D$107-SUM(D$104:D$105)</f>
        <v>8.2480000000000011</v>
      </c>
      <c r="E106" s="176">
        <f t="shared" si="48"/>
        <v>8.9090000000000007</v>
      </c>
      <c r="F106" s="176">
        <f t="shared" si="48"/>
        <v>9.6999999999999993</v>
      </c>
      <c r="G106" s="176">
        <f t="shared" si="48"/>
        <v>10.146000000000001</v>
      </c>
      <c r="H106" s="176">
        <f t="shared" si="48"/>
        <v>10.442</v>
      </c>
      <c r="I106" s="176">
        <f t="shared" si="48"/>
        <v>10.595000000000001</v>
      </c>
      <c r="J106" s="130">
        <f t="shared" ca="1" si="48"/>
        <v>11.163</v>
      </c>
      <c r="K106" s="130">
        <f t="shared" ca="1" si="48"/>
        <v>10.984</v>
      </c>
      <c r="L106" s="130">
        <f t="shared" ca="1" si="48"/>
        <v>11.084</v>
      </c>
      <c r="M106" s="130">
        <f t="shared" ca="1" si="48"/>
        <v>11.167</v>
      </c>
      <c r="N106" s="130">
        <f t="shared" ca="1" si="48"/>
        <v>11.2</v>
      </c>
      <c r="O106" s="278">
        <f ca="1">N$106 +IF(OFFSET(Scenarios!$A$63,0,$C$1)="Yes",(O$141-N$141)*OFFSET(Scenarios!$A$65,0,$C$1),0)</f>
        <v>11.2</v>
      </c>
      <c r="P106" s="278">
        <f ca="1">O$106 +IF(OFFSET(Scenarios!$A$63,0,$C$1)="Yes",(P$141-O$141)*OFFSET(Scenarios!$A$65,0,$C$1),0)</f>
        <v>11.2</v>
      </c>
      <c r="Q106" s="278">
        <f ca="1">P$106 +IF(OFFSET(Scenarios!$A$63,0,$C$1)="Yes",(Q$141-P$141)*OFFSET(Scenarios!$A$65,0,$C$1),0)</f>
        <v>11.2</v>
      </c>
      <c r="R106" s="278">
        <f ca="1">Q$106 +IF(OFFSET(Scenarios!$A$63,0,$C$1)="Yes",(R$141-Q$141)*OFFSET(Scenarios!$A$65,0,$C$1),0)</f>
        <v>11.2</v>
      </c>
      <c r="S106" s="278">
        <f ca="1">R$106 +IF(OFFSET(Scenarios!$A$63,0,$C$1)="Yes",(S$141-R$141)*OFFSET(Scenarios!$A$65,0,$C$1),0)</f>
        <v>11.2</v>
      </c>
      <c r="T106" s="278">
        <f ca="1">S$106 +IF(OFFSET(Scenarios!$A$63,0,$C$1)="Yes",(T$141-S$141)*OFFSET(Scenarios!$A$65,0,$C$1),0)</f>
        <v>11.2</v>
      </c>
      <c r="U106" s="278">
        <f ca="1">T$106 +IF(OFFSET(Scenarios!$A$63,0,$C$1)="Yes",(U$141-T$141)*OFFSET(Scenarios!$A$65,0,$C$1),0)</f>
        <v>11.2</v>
      </c>
      <c r="V106" s="278">
        <f ca="1">U$106 +IF(OFFSET(Scenarios!$A$63,0,$C$1)="Yes",(V$141-U$141)*OFFSET(Scenarios!$A$65,0,$C$1),0)</f>
        <v>11.2</v>
      </c>
      <c r="W106" s="278">
        <f ca="1">V$106 +IF(OFFSET(Scenarios!$A$63,0,$C$1)="Yes",(W$141-V$141)*OFFSET(Scenarios!$A$65,0,$C$1),0)</f>
        <v>11.2</v>
      </c>
      <c r="X106" s="278">
        <f ca="1">W$106 +IF(OFFSET(Scenarios!$A$63,0,$C$1)="Yes",(X$141-W$141)*OFFSET(Scenarios!$A$65,0,$C$1),0)</f>
        <v>11.2</v>
      </c>
    </row>
    <row r="107" spans="1:24" x14ac:dyDescent="0.2">
      <c r="A107" s="27" t="s">
        <v>142</v>
      </c>
      <c r="B107" s="233"/>
      <c r="C107" s="69"/>
      <c r="D107" s="71">
        <f>Data!C$42</f>
        <v>9.2690000000000001</v>
      </c>
      <c r="E107" s="71">
        <f>Data!D$42</f>
        <v>9.5510000000000002</v>
      </c>
      <c r="F107" s="71">
        <f>Data!E$42</f>
        <v>11.455</v>
      </c>
      <c r="G107" s="71">
        <f>Data!F$42</f>
        <v>11.724</v>
      </c>
      <c r="H107" s="71">
        <f>Data!G$42</f>
        <v>11.65</v>
      </c>
      <c r="I107" s="71">
        <f>Data!H$42</f>
        <v>11.654</v>
      </c>
      <c r="J107" s="131">
        <f ca="1">Data!I$42 + IF(OFFSET(Scenarios!$A$63,0,$C$1)="Yes",OFFSET(Scenarios!$A$65,0,$C$1)*J$141,0)</f>
        <v>12.4</v>
      </c>
      <c r="K107" s="131">
        <f ca="1">Data!J$42 + IF(OFFSET(Scenarios!$A$63,0,$C$1)="Yes",OFFSET(Scenarios!$A$65,0,$C$1)*K$141,0)</f>
        <v>12.215</v>
      </c>
      <c r="L107" s="131">
        <f ca="1">Data!K$42 + IF(OFFSET(Scenarios!$A$63,0,$C$1)="Yes",OFFSET(Scenarios!$A$65,0,$C$1)*L$141,0)</f>
        <v>12.304</v>
      </c>
      <c r="M107" s="131">
        <f ca="1">Data!L$42 + IF(OFFSET(Scenarios!$A$63,0,$C$1)="Yes",OFFSET(Scenarios!$A$65,0,$C$1)*M$141,0)</f>
        <v>12.395</v>
      </c>
      <c r="N107" s="131">
        <f ca="1">Data!M$42 + IF(OFFSET(Scenarios!$A$63,0,$C$1)="Yes",OFFSET(Scenarios!$A$65,0,$C$1)*N$141,0)</f>
        <v>12.442</v>
      </c>
      <c r="O107" s="75">
        <f t="shared" ref="O107:X107" ca="1" si="49">SUM(O$104:O$106)</f>
        <v>12.470358754333255</v>
      </c>
      <c r="P107" s="75">
        <f t="shared" ca="1" si="49"/>
        <v>12.509546008113894</v>
      </c>
      <c r="Q107" s="75">
        <f t="shared" ca="1" si="49"/>
        <v>12.552618401649271</v>
      </c>
      <c r="R107" s="75">
        <f t="shared" ca="1" si="49"/>
        <v>12.592458501707249</v>
      </c>
      <c r="S107" s="75">
        <f t="shared" ca="1" si="49"/>
        <v>12.640059951914367</v>
      </c>
      <c r="T107" s="75">
        <f t="shared" ca="1" si="49"/>
        <v>12.693133672079071</v>
      </c>
      <c r="U107" s="75">
        <f t="shared" ca="1" si="49"/>
        <v>12.736973583039465</v>
      </c>
      <c r="V107" s="75">
        <f t="shared" ca="1" si="49"/>
        <v>12.783956007455201</v>
      </c>
      <c r="W107" s="75">
        <f t="shared" ca="1" si="49"/>
        <v>12.841253399103431</v>
      </c>
      <c r="X107" s="75">
        <f t="shared" ca="1" si="49"/>
        <v>12.905421316240522</v>
      </c>
    </row>
    <row r="108" spans="1:24" x14ac:dyDescent="0.2">
      <c r="A108" s="27" t="s">
        <v>143</v>
      </c>
      <c r="B108" s="233"/>
      <c r="C108" s="69"/>
      <c r="D108" s="71">
        <f>Data!C$23</f>
        <v>9.8529999999999998</v>
      </c>
      <c r="E108" s="71">
        <f>Data!D$23</f>
        <v>10.397</v>
      </c>
      <c r="F108" s="71">
        <f>Data!E$23</f>
        <v>12.465</v>
      </c>
      <c r="G108" s="71">
        <f>Data!F$23</f>
        <v>12.44</v>
      </c>
      <c r="H108" s="71">
        <f>Data!G$23</f>
        <v>12.406000000000001</v>
      </c>
      <c r="I108" s="71">
        <f>Data!H$23</f>
        <v>12.407</v>
      </c>
      <c r="J108" s="131">
        <f ca="1">Data!I$23 + IF(OFFSET(Scenarios!$A$63,0,$C$1)="Yes",OFFSET(Scenarios!$A$65,0,$C$1)*J$141,0)</f>
        <v>13.262</v>
      </c>
      <c r="K108" s="131">
        <f ca="1">Data!J$23 + IF(OFFSET(Scenarios!$A$63,0,$C$1)="Yes",OFFSET(Scenarios!$A$65,0,$C$1)*K$141,0)</f>
        <v>13.055</v>
      </c>
      <c r="L108" s="131">
        <f ca="1">Data!K$23 + IF(OFFSET(Scenarios!$A$63,0,$C$1)="Yes",OFFSET(Scenarios!$A$65,0,$C$1)*L$141,0)</f>
        <v>13.172000000000001</v>
      </c>
      <c r="M108" s="131">
        <f ca="1">Data!L$23 + IF(OFFSET(Scenarios!$A$63,0,$C$1)="Yes",OFFSET(Scenarios!$A$65,0,$C$1)*M$141,0)</f>
        <v>13.302</v>
      </c>
      <c r="N108" s="131">
        <f ca="1">Data!M$23 + IF(OFFSET(Scenarios!$A$63,0,$C$1)="Yes",OFFSET(Scenarios!$A$65,0,$C$1)*N$141,0)</f>
        <v>13.349</v>
      </c>
      <c r="O108" s="75">
        <f ca="1">SUM(O$107,(N$108-N$107)*(1+AVERAGE(Popn!O$196:O$198)))</f>
        <v>13.37689623713753</v>
      </c>
      <c r="P108" s="75">
        <f ca="1">SUM(P$107,(O$108-O$107)*(1+AVERAGE(Popn!P$196:P$198)))</f>
        <v>13.416150720542987</v>
      </c>
      <c r="Q108" s="75">
        <f ca="1">SUM(Q$107,(P$108-P$107)*(1+AVERAGE(Popn!Q$196:Q$198)))</f>
        <v>13.458704366170938</v>
      </c>
      <c r="R108" s="75">
        <f ca="1">SUM(R$107,(Q$108-Q$107)*(1+AVERAGE(Popn!R$196:R$198)))</f>
        <v>13.49887004994649</v>
      </c>
      <c r="S108" s="75">
        <f ca="1">SUM(S$107,(R$108-R$107)*(1+AVERAGE(Popn!S$196:S$198)))</f>
        <v>13.548501206561712</v>
      </c>
      <c r="T108" s="75">
        <f ca="1">SUM(T$107,(S$108-S$107)*(1+AVERAGE(Popn!T$196:T$198)))</f>
        <v>13.60352905326123</v>
      </c>
      <c r="U108" s="75">
        <f ca="1">SUM(U$107,(T$108-T$107)*(1+AVERAGE(Popn!U$196:U$198)))</f>
        <v>13.650366727643686</v>
      </c>
      <c r="V108" s="75">
        <f ca="1">SUM(V$107,(U$108-U$107)*(1+AVERAGE(Popn!V$196:V$198)))</f>
        <v>13.699763900876334</v>
      </c>
      <c r="W108" s="75">
        <f ca="1">SUM(W$107,(V$108-V$107)*(1+AVERAGE(Popn!W$196:W$198)))</f>
        <v>13.760926151154749</v>
      </c>
      <c r="X108" s="75">
        <f ca="1">SUM(X$107,(W$108-W$107)*(1+AVERAGE(Popn!X$196:X$198)))</f>
        <v>13.830062490498158</v>
      </c>
    </row>
    <row r="109" spans="1:24" x14ac:dyDescent="0.2">
      <c r="A109" s="27"/>
      <c r="B109" s="69"/>
      <c r="C109" s="69"/>
      <c r="D109" s="71"/>
      <c r="E109" s="71"/>
      <c r="F109" s="71"/>
      <c r="G109" s="71"/>
      <c r="H109" s="71"/>
      <c r="I109" s="131"/>
      <c r="J109" s="131"/>
      <c r="K109" s="131"/>
      <c r="L109" s="131"/>
      <c r="M109" s="131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</row>
    <row r="110" spans="1:24" x14ac:dyDescent="0.2">
      <c r="A110" s="108" t="s">
        <v>934</v>
      </c>
      <c r="B110" s="69"/>
      <c r="C110" s="69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x14ac:dyDescent="0.2">
      <c r="A111" s="27" t="s">
        <v>935</v>
      </c>
      <c r="B111" s="233"/>
      <c r="C111" s="69"/>
      <c r="D111" s="71">
        <f>Data!C$46</f>
        <v>2.4049999999999998</v>
      </c>
      <c r="E111" s="71">
        <f>Data!D$46</f>
        <v>2.2440000000000002</v>
      </c>
      <c r="F111" s="71">
        <f>Data!E$46</f>
        <v>2.6629999999999998</v>
      </c>
      <c r="G111" s="71">
        <f>Data!F$46</f>
        <v>2.3450000000000002</v>
      </c>
      <c r="H111" s="71">
        <f>Data!G$46</f>
        <v>2.2810000000000001</v>
      </c>
      <c r="I111" s="71">
        <f>Data!H$46</f>
        <v>2.2320000000000002</v>
      </c>
      <c r="J111" s="131">
        <f>Data!I$46</f>
        <v>2.4350000000000001</v>
      </c>
      <c r="K111" s="131">
        <f>Data!J$46</f>
        <v>2.073</v>
      </c>
      <c r="L111" s="131">
        <f>Data!K$46</f>
        <v>2.2120000000000002</v>
      </c>
      <c r="M111" s="131">
        <f>Data!L$46</f>
        <v>2.145</v>
      </c>
      <c r="N111" s="131">
        <f>Data!M$46</f>
        <v>2.2170000000000001</v>
      </c>
      <c r="O111" s="75">
        <f t="shared" ref="O111:X111" ca="1" si="50">N$111*O$50/N$50</f>
        <v>2.3111949938553984</v>
      </c>
      <c r="P111" s="75">
        <f t="shared" ca="1" si="50"/>
        <v>2.4151817665857349</v>
      </c>
      <c r="Q111" s="75">
        <f t="shared" ca="1" si="50"/>
        <v>2.5266212943160449</v>
      </c>
      <c r="R111" s="75">
        <f t="shared" ca="1" si="50"/>
        <v>2.6419202887184445</v>
      </c>
      <c r="S111" s="75">
        <f t="shared" ca="1" si="50"/>
        <v>2.7634136631635133</v>
      </c>
      <c r="T111" s="75">
        <f t="shared" ca="1" si="50"/>
        <v>2.8903005756369069</v>
      </c>
      <c r="U111" s="75">
        <f t="shared" ca="1" si="50"/>
        <v>3.0203085468329847</v>
      </c>
      <c r="V111" s="75">
        <f t="shared" ca="1" si="50"/>
        <v>3.1537581793929643</v>
      </c>
      <c r="W111" s="75">
        <f t="shared" ca="1" si="50"/>
        <v>3.2913683043740529</v>
      </c>
      <c r="X111" s="75">
        <f t="shared" ca="1" si="50"/>
        <v>3.4328594876210641</v>
      </c>
    </row>
    <row r="112" spans="1:24" x14ac:dyDescent="0.2">
      <c r="A112" s="27" t="s">
        <v>936</v>
      </c>
      <c r="B112" s="233"/>
      <c r="C112" s="69"/>
      <c r="D112" s="71">
        <f>Data!C$27</f>
        <v>6.99</v>
      </c>
      <c r="E112" s="71">
        <f>Data!D$27</f>
        <v>7.4240000000000004</v>
      </c>
      <c r="F112" s="71">
        <f>Data!E$27</f>
        <v>9.0229999999999997</v>
      </c>
      <c r="G112" s="71">
        <f>Data!F$27</f>
        <v>7.9909999999999997</v>
      </c>
      <c r="H112" s="71">
        <f>Data!G$27</f>
        <v>8.4019999999999992</v>
      </c>
      <c r="I112" s="71">
        <f>Data!H$27</f>
        <v>10.259</v>
      </c>
      <c r="J112" s="131">
        <f>Data!I$27</f>
        <v>8.952</v>
      </c>
      <c r="K112" s="131">
        <f>Data!J$27</f>
        <v>8.8580000000000005</v>
      </c>
      <c r="L112" s="131">
        <f>Data!K$27</f>
        <v>9.1240000000000006</v>
      </c>
      <c r="M112" s="131">
        <f>Data!L$27</f>
        <v>9.2669999999999995</v>
      </c>
      <c r="N112" s="131">
        <f>Data!M$27</f>
        <v>9.5030000000000001</v>
      </c>
      <c r="O112" s="75">
        <f t="shared" ref="O112:X112" ca="1" si="51">SUM(O$111,(N$112-N$111)*(1+O$234))</f>
        <v>9.9223887798507988</v>
      </c>
      <c r="P112" s="75">
        <f t="shared" ca="1" si="51"/>
        <v>10.368823282234002</v>
      </c>
      <c r="Q112" s="75">
        <f t="shared" ca="1" si="51"/>
        <v>10.847253844139363</v>
      </c>
      <c r="R112" s="75">
        <f t="shared" ca="1" si="51"/>
        <v>11.342253812306492</v>
      </c>
      <c r="S112" s="75">
        <f t="shared" ca="1" si="51"/>
        <v>11.863847402905705</v>
      </c>
      <c r="T112" s="75">
        <f t="shared" ca="1" si="51"/>
        <v>12.408596452632437</v>
      </c>
      <c r="U112" s="75">
        <f t="shared" ca="1" si="51"/>
        <v>12.966744786337179</v>
      </c>
      <c r="V112" s="75">
        <f t="shared" ca="1" si="51"/>
        <v>13.539668810622773</v>
      </c>
      <c r="W112" s="75">
        <f t="shared" ca="1" si="51"/>
        <v>14.130454600543731</v>
      </c>
      <c r="X112" s="75">
        <f t="shared" ca="1" si="51"/>
        <v>14.737902493443501</v>
      </c>
    </row>
    <row r="113" spans="1:24" x14ac:dyDescent="0.2">
      <c r="A113" s="27"/>
      <c r="B113" s="102"/>
      <c r="C113" s="69"/>
      <c r="D113" s="71"/>
      <c r="E113" s="71"/>
      <c r="F113" s="71"/>
      <c r="G113" s="71"/>
      <c r="H113" s="71"/>
      <c r="I113" s="71"/>
      <c r="J113" s="131"/>
      <c r="K113" s="131"/>
      <c r="L113" s="131"/>
      <c r="M113" s="131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</row>
    <row r="114" spans="1:24" x14ac:dyDescent="0.2">
      <c r="A114" s="108" t="s">
        <v>937</v>
      </c>
      <c r="B114" s="102"/>
      <c r="C114" s="69"/>
      <c r="D114" s="71"/>
      <c r="E114" s="71"/>
      <c r="F114" s="71"/>
      <c r="G114" s="71"/>
      <c r="H114" s="71"/>
      <c r="I114" s="71"/>
      <c r="J114" s="131"/>
      <c r="K114" s="131"/>
      <c r="L114" s="131"/>
      <c r="M114" s="131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24" x14ac:dyDescent="0.2">
      <c r="A115" s="31" t="s">
        <v>165</v>
      </c>
      <c r="B115" s="233"/>
      <c r="C115" s="69"/>
      <c r="D115" s="69">
        <f>Data!C$150</f>
        <v>0</v>
      </c>
      <c r="E115" s="69">
        <f>Data!D$150</f>
        <v>1.1020000000000001</v>
      </c>
      <c r="F115" s="69">
        <f>Data!E$150</f>
        <v>1.2809999999999999</v>
      </c>
      <c r="G115" s="69">
        <f>Data!F$150</f>
        <v>1.024</v>
      </c>
      <c r="H115" s="69">
        <f>Data!G$150</f>
        <v>1.042</v>
      </c>
      <c r="I115" s="69">
        <f>Data!H$150</f>
        <v>0.68799999999999994</v>
      </c>
      <c r="J115" s="272">
        <f>Data!I$150</f>
        <v>0.71</v>
      </c>
      <c r="K115" s="272">
        <f>Data!J$150</f>
        <v>0.70199999999999996</v>
      </c>
      <c r="L115" s="272">
        <f>Data!K$150</f>
        <v>0.69599999999999995</v>
      </c>
      <c r="M115" s="272">
        <f>Data!L$150</f>
        <v>0.72099999999999997</v>
      </c>
      <c r="N115" s="272">
        <f>Data!M$150</f>
        <v>0.748</v>
      </c>
      <c r="O115" s="73">
        <f>Tracks!S$27/1000</f>
        <v>0.78058211357815976</v>
      </c>
      <c r="P115" s="73">
        <f>Tracks!T$27/1000</f>
        <v>0.81461871042507827</v>
      </c>
      <c r="Q115" s="73">
        <f>Tracks!U$27/1000</f>
        <v>0.84690176664149852</v>
      </c>
      <c r="R115" s="73">
        <f>Tracks!V$27/1000</f>
        <v>0.88167881642733703</v>
      </c>
      <c r="S115" s="73">
        <f>Tracks!W$27/1000</f>
        <v>0.91621507380922096</v>
      </c>
      <c r="T115" s="73">
        <f ca="1">S$115*(1+T$234)</f>
        <v>0.95828467179483223</v>
      </c>
      <c r="U115" s="100">
        <f ca="1">T$115*(1+U$234)</f>
        <v>1.0013890627562783</v>
      </c>
      <c r="V115" s="100">
        <f ca="1">U$115*(1+V$234)</f>
        <v>1.0456345431111029</v>
      </c>
      <c r="W115" s="100">
        <f ca="1">V$115*(1+W$234)</f>
        <v>1.0912594426681637</v>
      </c>
      <c r="X115" s="100">
        <f ca="1">W$115*(1+X$234)</f>
        <v>1.1381711145000273</v>
      </c>
    </row>
    <row r="116" spans="1:24" x14ac:dyDescent="0.2">
      <c r="A116" s="31" t="s">
        <v>938</v>
      </c>
      <c r="B116" s="102"/>
      <c r="C116" s="69"/>
      <c r="D116" s="176">
        <f>D$117-D$115</f>
        <v>1.595</v>
      </c>
      <c r="E116" s="176">
        <f t="shared" ref="E116:N116" si="52">E$117-E$115</f>
        <v>1.7869999999999997</v>
      </c>
      <c r="F116" s="176">
        <f t="shared" si="52"/>
        <v>1.679</v>
      </c>
      <c r="G116" s="176">
        <f t="shared" si="52"/>
        <v>1.8149999999999999</v>
      </c>
      <c r="H116" s="176">
        <f t="shared" si="52"/>
        <v>1.5669999999999999</v>
      </c>
      <c r="I116" s="176">
        <f t="shared" si="52"/>
        <v>1.4690000000000001</v>
      </c>
      <c r="J116" s="130">
        <f t="shared" ca="1" si="52"/>
        <v>1.3719999999999999</v>
      </c>
      <c r="K116" s="130">
        <f t="shared" ca="1" si="52"/>
        <v>1.26</v>
      </c>
      <c r="L116" s="130">
        <f t="shared" ca="1" si="52"/>
        <v>1.1990000000000001</v>
      </c>
      <c r="M116" s="130">
        <f t="shared" ca="1" si="52"/>
        <v>1.2029999999999998</v>
      </c>
      <c r="N116" s="130">
        <f t="shared" ca="1" si="52"/>
        <v>1.196</v>
      </c>
      <c r="O116" s="278">
        <f ca="1">N$116 +IF(OFFSET(Scenarios!$A$63,0,$C$1)="Yes",(O$141-N$141)*OFFSET(Scenarios!$A$70,0,$C$1),0)</f>
        <v>1.196</v>
      </c>
      <c r="P116" s="278">
        <f ca="1">O$116 +IF(OFFSET(Scenarios!$A$63,0,$C$1)="Yes",(P$141-O$141)*OFFSET(Scenarios!$A$70,0,$C$1),0)</f>
        <v>1.196</v>
      </c>
      <c r="Q116" s="278">
        <f ca="1">P$116 +IF(OFFSET(Scenarios!$A$63,0,$C$1)="Yes",(Q$141-P$141)*OFFSET(Scenarios!$A$70,0,$C$1),0)</f>
        <v>1.196</v>
      </c>
      <c r="R116" s="278">
        <f ca="1">Q$116 +IF(OFFSET(Scenarios!$A$63,0,$C$1)="Yes",(R$141-Q$141)*OFFSET(Scenarios!$A$70,0,$C$1),0)</f>
        <v>1.196</v>
      </c>
      <c r="S116" s="278">
        <f ca="1">R$116 +IF(OFFSET(Scenarios!$A$63,0,$C$1)="Yes",(S$141-R$141)*OFFSET(Scenarios!$A$70,0,$C$1),0)</f>
        <v>1.196</v>
      </c>
      <c r="T116" s="278">
        <f ca="1">S$116 +IF(OFFSET(Scenarios!$A$63,0,$C$1)="Yes",(T$141-S$141)*OFFSET(Scenarios!$A$70,0,$C$1),0)</f>
        <v>1.196</v>
      </c>
      <c r="U116" s="278">
        <f ca="1">T$116 +IF(OFFSET(Scenarios!$A$63,0,$C$1)="Yes",(U$141-T$141)*OFFSET(Scenarios!$A$70,0,$C$1),0)</f>
        <v>1.196</v>
      </c>
      <c r="V116" s="278">
        <f ca="1">U$116 +IF(OFFSET(Scenarios!$A$63,0,$C$1)="Yes",(V$141-U$141)*OFFSET(Scenarios!$A$70,0,$C$1),0)</f>
        <v>1.196</v>
      </c>
      <c r="W116" s="278">
        <f ca="1">V$116 +IF(OFFSET(Scenarios!$A$63,0,$C$1)="Yes",(W$141-V$141)*OFFSET(Scenarios!$A$70,0,$C$1),0)</f>
        <v>1.196</v>
      </c>
      <c r="X116" s="278">
        <f ca="1">W$116 +IF(OFFSET(Scenarios!$A$63,0,$C$1)="Yes",(X$141-W$141)*OFFSET(Scenarios!$A$70,0,$C$1),0)</f>
        <v>1.196</v>
      </c>
    </row>
    <row r="117" spans="1:24" x14ac:dyDescent="0.2">
      <c r="A117" s="27" t="s">
        <v>939</v>
      </c>
      <c r="B117" s="233"/>
      <c r="C117" s="69"/>
      <c r="D117" s="71">
        <f>Data!C$47</f>
        <v>1.595</v>
      </c>
      <c r="E117" s="71">
        <f>Data!D$47</f>
        <v>2.8889999999999998</v>
      </c>
      <c r="F117" s="71">
        <f>Data!E$47</f>
        <v>2.96</v>
      </c>
      <c r="G117" s="71">
        <f>Data!F$47</f>
        <v>2.839</v>
      </c>
      <c r="H117" s="71">
        <f>Data!G$47</f>
        <v>2.609</v>
      </c>
      <c r="I117" s="71">
        <f>Data!H$47</f>
        <v>2.157</v>
      </c>
      <c r="J117" s="131">
        <f ca="1">Data!I$47 + IF(OFFSET(Scenarios!$A$63,0,$C$1)="Yes",OFFSET(Scenarios!$A$70,0,$C$1)*J$141,0)</f>
        <v>2.0819999999999999</v>
      </c>
      <c r="K117" s="131">
        <f ca="1">Data!J$47 + IF(OFFSET(Scenarios!$A$63,0,$C$1)="Yes",OFFSET(Scenarios!$A$70,0,$C$1)*K$141,0)</f>
        <v>1.962</v>
      </c>
      <c r="L117" s="131">
        <f ca="1">Data!K$47 + IF(OFFSET(Scenarios!$A$63,0,$C$1)="Yes",OFFSET(Scenarios!$A$70,0,$C$1)*L$141,0)</f>
        <v>1.895</v>
      </c>
      <c r="M117" s="131">
        <f ca="1">Data!L$47 + IF(OFFSET(Scenarios!$A$63,0,$C$1)="Yes",OFFSET(Scenarios!$A$70,0,$C$1)*M$141,0)</f>
        <v>1.9239999999999999</v>
      </c>
      <c r="N117" s="131">
        <f ca="1">Data!M$47 + IF(OFFSET(Scenarios!$A$63,0,$C$1)="Yes",OFFSET(Scenarios!$A$70,0,$C$1)*N$141,0)</f>
        <v>1.944</v>
      </c>
      <c r="O117" s="75">
        <f t="shared" ref="O117:X117" ca="1" si="53">SUM(O$115:O$116)</f>
        <v>1.9765821135781598</v>
      </c>
      <c r="P117" s="75">
        <f t="shared" ca="1" si="53"/>
        <v>2.0106187104250783</v>
      </c>
      <c r="Q117" s="75">
        <f t="shared" ca="1" si="53"/>
        <v>2.0429017666414984</v>
      </c>
      <c r="R117" s="75">
        <f t="shared" ca="1" si="53"/>
        <v>2.077678816427337</v>
      </c>
      <c r="S117" s="75">
        <f t="shared" ca="1" si="53"/>
        <v>2.1122150738092209</v>
      </c>
      <c r="T117" s="75">
        <f t="shared" ca="1" si="53"/>
        <v>2.1542846717948323</v>
      </c>
      <c r="U117" s="75">
        <f t="shared" ca="1" si="53"/>
        <v>2.1973890627562782</v>
      </c>
      <c r="V117" s="75">
        <f t="shared" ca="1" si="53"/>
        <v>2.2416345431111031</v>
      </c>
      <c r="W117" s="75">
        <f t="shared" ca="1" si="53"/>
        <v>2.2872594426681636</v>
      </c>
      <c r="X117" s="75">
        <f t="shared" ca="1" si="53"/>
        <v>2.3341711145000272</v>
      </c>
    </row>
    <row r="118" spans="1:24" x14ac:dyDescent="0.2">
      <c r="A118" s="27" t="s">
        <v>940</v>
      </c>
      <c r="B118" s="233"/>
      <c r="C118" s="69"/>
      <c r="D118" s="71">
        <f>Data!C$28</f>
        <v>4.7229999999999999</v>
      </c>
      <c r="E118" s="71">
        <f>Data!D$28</f>
        <v>9.0380000000000003</v>
      </c>
      <c r="F118" s="71">
        <f>Data!E$28</f>
        <v>7.6950000000000003</v>
      </c>
      <c r="G118" s="71">
        <f>Data!F$28</f>
        <v>7.5410000000000004</v>
      </c>
      <c r="H118" s="71">
        <f>Data!G$28</f>
        <v>18.818000000000001</v>
      </c>
      <c r="I118" s="71">
        <f>Data!H$28</f>
        <v>10.018000000000001</v>
      </c>
      <c r="J118" s="131">
        <f ca="1">Data!I$28 + IF(OFFSET(Scenarios!$A$63,0,$C$1)="Yes",OFFSET(Scenarios!$A$70,0,$C$1)*J$141,0)</f>
        <v>7.4790000000000001</v>
      </c>
      <c r="K118" s="131">
        <f ca="1">Data!J$28 + IF(OFFSET(Scenarios!$A$63,0,$C$1)="Yes",OFFSET(Scenarios!$A$70,0,$C$1)*K$141,0)</f>
        <v>7.15</v>
      </c>
      <c r="L118" s="131">
        <f ca="1">Data!K$28 + IF(OFFSET(Scenarios!$A$63,0,$C$1)="Yes",OFFSET(Scenarios!$A$70,0,$C$1)*L$141,0)</f>
        <v>7.7030000000000003</v>
      </c>
      <c r="M118" s="131">
        <f ca="1">Data!L$28 + IF(OFFSET(Scenarios!$A$63,0,$C$1)="Yes",OFFSET(Scenarios!$A$70,0,$C$1)*M$141,0)</f>
        <v>7.9390000000000001</v>
      </c>
      <c r="N118" s="131">
        <f ca="1">Data!M$28 + IF(OFFSET(Scenarios!$A$63,0,$C$1)="Yes",OFFSET(Scenarios!$A$70,0,$C$1)*N$141,0)</f>
        <v>8.4450000000000003</v>
      </c>
      <c r="O118" s="75">
        <f t="shared" ref="O118:X118" ca="1" si="54">SUM(O$117,(N$118-N$117)*(1+O$234))</f>
        <v>8.7677392372065022</v>
      </c>
      <c r="P118" s="75">
        <f t="shared" ca="1" si="54"/>
        <v>9.1073279463884855</v>
      </c>
      <c r="Q118" s="75">
        <f t="shared" ca="1" si="54"/>
        <v>9.4670621024089137</v>
      </c>
      <c r="R118" s="75">
        <f t="shared" ca="1" si="54"/>
        <v>9.8406308116024519</v>
      </c>
      <c r="S118" s="75">
        <f t="shared" ca="1" si="54"/>
        <v>10.232160138599776</v>
      </c>
      <c r="T118" s="75">
        <f t="shared" ca="1" si="54"/>
        <v>10.64707104241629</v>
      </c>
      <c r="U118" s="75">
        <f t="shared" ca="1" si="54"/>
        <v>11.072187579503019</v>
      </c>
      <c r="V118" s="75">
        <f t="shared" ca="1" si="54"/>
        <v>11.508558096998694</v>
      </c>
      <c r="W118" s="75">
        <f t="shared" ca="1" si="54"/>
        <v>11.958533119774817</v>
      </c>
      <c r="X118" s="75">
        <f t="shared" ca="1" si="54"/>
        <v>12.421198918624603</v>
      </c>
    </row>
    <row r="119" spans="1:24" x14ac:dyDescent="0.2">
      <c r="A119" s="27"/>
      <c r="B119" s="69"/>
      <c r="C119" s="69"/>
      <c r="D119" s="71"/>
      <c r="E119" s="71"/>
      <c r="F119" s="71"/>
      <c r="G119" s="71"/>
      <c r="H119" s="71"/>
      <c r="I119" s="131"/>
      <c r="J119" s="131"/>
      <c r="K119" s="131"/>
      <c r="L119" s="131"/>
      <c r="M119" s="131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x14ac:dyDescent="0.2">
      <c r="A120" s="108" t="s">
        <v>1033</v>
      </c>
      <c r="B120" s="69"/>
      <c r="C120" s="69"/>
      <c r="D120" s="71"/>
      <c r="E120" s="71"/>
      <c r="F120" s="71"/>
      <c r="G120" s="71"/>
      <c r="H120" s="71"/>
      <c r="I120" s="131"/>
      <c r="J120" s="131"/>
      <c r="K120" s="131"/>
      <c r="L120" s="131"/>
      <c r="M120" s="131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</row>
    <row r="121" spans="1:24" x14ac:dyDescent="0.2">
      <c r="A121" s="31" t="s">
        <v>942</v>
      </c>
      <c r="B121" s="233"/>
      <c r="C121" s="69"/>
      <c r="D121" s="69">
        <f>D$209</f>
        <v>0</v>
      </c>
      <c r="E121" s="69">
        <f t="shared" ref="E121:X121" si="55">E$209</f>
        <v>0</v>
      </c>
      <c r="F121" s="69">
        <f t="shared" si="55"/>
        <v>1.7000000000000001E-2</v>
      </c>
      <c r="G121" s="69">
        <f t="shared" si="55"/>
        <v>0.08</v>
      </c>
      <c r="H121" s="69">
        <f t="shared" si="55"/>
        <v>0.86</v>
      </c>
      <c r="I121" s="69">
        <f t="shared" si="55"/>
        <v>0.33400000000000002</v>
      </c>
      <c r="J121" s="125">
        <f t="shared" si="55"/>
        <v>5.8999999999999997E-2</v>
      </c>
      <c r="K121" s="125">
        <f t="shared" si="55"/>
        <v>6.0999999999999999E-2</v>
      </c>
      <c r="L121" s="125">
        <f t="shared" si="55"/>
        <v>6.3E-2</v>
      </c>
      <c r="M121" s="125">
        <f t="shared" si="55"/>
        <v>6.5000000000000002E-2</v>
      </c>
      <c r="N121" s="125">
        <f t="shared" si="55"/>
        <v>6.6000000000000003E-2</v>
      </c>
      <c r="O121" s="73">
        <f t="shared" ca="1" si="55"/>
        <v>6.7330025316455697E-2</v>
      </c>
      <c r="P121" s="73">
        <f t="shared" ca="1" si="55"/>
        <v>6.8676625822784818E-2</v>
      </c>
      <c r="Q121" s="73">
        <f t="shared" ca="1" si="55"/>
        <v>7.0050158339240512E-2</v>
      </c>
      <c r="R121" s="73">
        <f t="shared" ca="1" si="55"/>
        <v>7.1451161506025318E-2</v>
      </c>
      <c r="S121" s="73">
        <f t="shared" ca="1" si="55"/>
        <v>7.2880184736145825E-2</v>
      </c>
      <c r="T121" s="73">
        <f t="shared" ca="1" si="55"/>
        <v>7.4337788430868745E-2</v>
      </c>
      <c r="U121" s="73">
        <f t="shared" ca="1" si="55"/>
        <v>7.5824544199486116E-2</v>
      </c>
      <c r="V121" s="73">
        <f t="shared" ca="1" si="55"/>
        <v>7.734103508347584E-2</v>
      </c>
      <c r="W121" s="73">
        <f t="shared" ca="1" si="55"/>
        <v>7.8887855785145358E-2</v>
      </c>
      <c r="X121" s="73">
        <f t="shared" ca="1" si="55"/>
        <v>8.0465612900848263E-2</v>
      </c>
    </row>
    <row r="122" spans="1:24" x14ac:dyDescent="0.2">
      <c r="A122" s="31" t="s">
        <v>1037</v>
      </c>
      <c r="B122" s="69"/>
      <c r="C122" s="69"/>
      <c r="D122" s="176">
        <f>D$123-D$121</f>
        <v>0.32100000000000001</v>
      </c>
      <c r="E122" s="176">
        <f>E$123-E$121</f>
        <v>0.54600000000000004</v>
      </c>
      <c r="F122" s="176">
        <f t="shared" ref="F122:N122" si="56">F$123-F$121</f>
        <v>0.39899999999999997</v>
      </c>
      <c r="G122" s="176">
        <f t="shared" si="56"/>
        <v>0.57100000000000006</v>
      </c>
      <c r="H122" s="176">
        <f t="shared" si="56"/>
        <v>0.3650000000000001</v>
      </c>
      <c r="I122" s="176">
        <f t="shared" si="56"/>
        <v>0.435</v>
      </c>
      <c r="J122" s="130">
        <f t="shared" ca="1" si="56"/>
        <v>0.52600000000000002</v>
      </c>
      <c r="K122" s="130">
        <f t="shared" ca="1" si="56"/>
        <v>0.42499999999999999</v>
      </c>
      <c r="L122" s="130">
        <f t="shared" ca="1" si="56"/>
        <v>0.41399999999999998</v>
      </c>
      <c r="M122" s="130">
        <f t="shared" ca="1" si="56"/>
        <v>0.42699999999999999</v>
      </c>
      <c r="N122" s="130">
        <f t="shared" ca="1" si="56"/>
        <v>0.41699999999999998</v>
      </c>
      <c r="O122" s="278">
        <f ca="1">N$122 +IF(OFFSET(Scenarios!$A$63,0,$C$1)="Yes",(O$141-N$141)*OFFSET(Scenarios!$A$72,0,$C$1),0)</f>
        <v>0.41699999999999998</v>
      </c>
      <c r="P122" s="278">
        <f ca="1">O$122 +IF(OFFSET(Scenarios!$A$63,0,$C$1)="Yes",(P$141-O$141)*OFFSET(Scenarios!$A$72,0,$C$1),0)</f>
        <v>0.41699999999999998</v>
      </c>
      <c r="Q122" s="278">
        <f ca="1">P$122 +IF(OFFSET(Scenarios!$A$63,0,$C$1)="Yes",(Q$141-P$141)*OFFSET(Scenarios!$A$72,0,$C$1),0)</f>
        <v>0.41699999999999998</v>
      </c>
      <c r="R122" s="278">
        <f ca="1">Q$122 +IF(OFFSET(Scenarios!$A$63,0,$C$1)="Yes",(R$141-Q$141)*OFFSET(Scenarios!$A$72,0,$C$1),0)</f>
        <v>0.41699999999999998</v>
      </c>
      <c r="S122" s="278">
        <f ca="1">R$122 +IF(OFFSET(Scenarios!$A$63,0,$C$1)="Yes",(S$141-R$141)*OFFSET(Scenarios!$A$72,0,$C$1),0)</f>
        <v>0.41699999999999998</v>
      </c>
      <c r="T122" s="278">
        <f ca="1">S$122 +IF(OFFSET(Scenarios!$A$63,0,$C$1)="Yes",(T$141-S$141)*OFFSET(Scenarios!$A$72,0,$C$1),0)</f>
        <v>0.41699999999999998</v>
      </c>
      <c r="U122" s="278">
        <f ca="1">T$122 +IF(OFFSET(Scenarios!$A$63,0,$C$1)="Yes",(U$141-T$141)*OFFSET(Scenarios!$A$72,0,$C$1),0)</f>
        <v>0.41699999999999998</v>
      </c>
      <c r="V122" s="278">
        <f ca="1">U$122 +IF(OFFSET(Scenarios!$A$63,0,$C$1)="Yes",(V$141-U$141)*OFFSET(Scenarios!$A$72,0,$C$1),0)</f>
        <v>0.41699999999999998</v>
      </c>
      <c r="W122" s="278">
        <f ca="1">V$122 +IF(OFFSET(Scenarios!$A$63,0,$C$1)="Yes",(W$141-V$141)*OFFSET(Scenarios!$A$72,0,$C$1),0)</f>
        <v>0.41699999999999998</v>
      </c>
      <c r="X122" s="278">
        <f ca="1">W$122 +IF(OFFSET(Scenarios!$A$63,0,$C$1)="Yes",(X$141-W$141)*OFFSET(Scenarios!$A$72,0,$C$1),0)</f>
        <v>0.41699999999999998</v>
      </c>
    </row>
    <row r="123" spans="1:24" x14ac:dyDescent="0.2">
      <c r="A123" s="27" t="s">
        <v>1035</v>
      </c>
      <c r="B123" s="233"/>
      <c r="C123" s="69"/>
      <c r="D123" s="71">
        <f>Data!C$50</f>
        <v>0.32100000000000001</v>
      </c>
      <c r="E123" s="71">
        <f>Data!D$50</f>
        <v>0.54600000000000004</v>
      </c>
      <c r="F123" s="71">
        <f>Data!E$50</f>
        <v>0.41599999999999998</v>
      </c>
      <c r="G123" s="71">
        <f>Data!F$50</f>
        <v>0.65100000000000002</v>
      </c>
      <c r="H123" s="71">
        <f>Data!G$50</f>
        <v>1.2250000000000001</v>
      </c>
      <c r="I123" s="71">
        <f>Data!H$50</f>
        <v>0.76900000000000002</v>
      </c>
      <c r="J123" s="131">
        <f ca="1">Data!I$50 + IF(OFFSET(Scenarios!$A$63,0,$C$1)="Yes",OFFSET(Scenarios!$A$72,0,$C$1)*J$141,0)</f>
        <v>0.58499999999999996</v>
      </c>
      <c r="K123" s="131">
        <f ca="1">Data!J$50 + IF(OFFSET(Scenarios!$A$63,0,$C$1)="Yes",OFFSET(Scenarios!$A$72,0,$C$1)*K$141,0)</f>
        <v>0.48599999999999999</v>
      </c>
      <c r="L123" s="131">
        <f ca="1">Data!K$50 + IF(OFFSET(Scenarios!$A$63,0,$C$1)="Yes",OFFSET(Scenarios!$A$72,0,$C$1)*L$141,0)</f>
        <v>0.47699999999999998</v>
      </c>
      <c r="M123" s="131">
        <f ca="1">Data!L$50 + IF(OFFSET(Scenarios!$A$63,0,$C$1)="Yes",OFFSET(Scenarios!$A$72,0,$C$1)*M$141,0)</f>
        <v>0.49199999999999999</v>
      </c>
      <c r="N123" s="131">
        <f ca="1">Data!M$50 + IF(OFFSET(Scenarios!$A$63,0,$C$1)="Yes",OFFSET(Scenarios!$A$72,0,$C$1)*N$141,0)</f>
        <v>0.48299999999999998</v>
      </c>
      <c r="O123" s="75">
        <f t="shared" ref="O123:X123" ca="1" si="57">SUM(O$121:O$122)</f>
        <v>0.48433002531645569</v>
      </c>
      <c r="P123" s="75">
        <f t="shared" ca="1" si="57"/>
        <v>0.48567662582278481</v>
      </c>
      <c r="Q123" s="75">
        <f t="shared" ca="1" si="57"/>
        <v>0.48705015833924048</v>
      </c>
      <c r="R123" s="75">
        <f t="shared" ca="1" si="57"/>
        <v>0.4884511615060253</v>
      </c>
      <c r="S123" s="75">
        <f t="shared" ca="1" si="57"/>
        <v>0.48988018473614581</v>
      </c>
      <c r="T123" s="75">
        <f t="shared" ca="1" si="57"/>
        <v>0.49133778843086873</v>
      </c>
      <c r="U123" s="75">
        <f t="shared" ca="1" si="57"/>
        <v>0.49282454419948607</v>
      </c>
      <c r="V123" s="75">
        <f t="shared" ca="1" si="57"/>
        <v>0.49434103508347582</v>
      </c>
      <c r="W123" s="75">
        <f t="shared" ca="1" si="57"/>
        <v>0.49588785578514533</v>
      </c>
      <c r="X123" s="75">
        <f t="shared" ca="1" si="57"/>
        <v>0.49746561290084823</v>
      </c>
    </row>
    <row r="124" spans="1:24" x14ac:dyDescent="0.2">
      <c r="A124" s="27" t="s">
        <v>1036</v>
      </c>
      <c r="B124" s="233"/>
      <c r="C124" s="69"/>
      <c r="D124" s="71">
        <f>Data!C$31</f>
        <v>0.32100000000000001</v>
      </c>
      <c r="E124" s="71">
        <f>Data!D$31</f>
        <v>0.54600000000000004</v>
      </c>
      <c r="F124" s="71">
        <f>Data!E$31</f>
        <v>0.41599999999999998</v>
      </c>
      <c r="G124" s="71">
        <f>Data!F$31</f>
        <v>0.65100000000000002</v>
      </c>
      <c r="H124" s="71">
        <f>Data!G$31</f>
        <v>1.2250000000000001</v>
      </c>
      <c r="I124" s="71">
        <f>Data!H$31</f>
        <v>0.76900000000000002</v>
      </c>
      <c r="J124" s="131">
        <f ca="1">Data!I$31 + IF(OFFSET(Scenarios!$A$63,0,$C$1)="Yes",OFFSET(Scenarios!$A$72,0,$C$1)*J$141,0)</f>
        <v>0.56100000000000005</v>
      </c>
      <c r="K124" s="131">
        <f ca="1">Data!J$31 + IF(OFFSET(Scenarios!$A$63,0,$C$1)="Yes",OFFSET(Scenarios!$A$72,0,$C$1)*K$141,0)</f>
        <v>0.46200000000000002</v>
      </c>
      <c r="L124" s="131">
        <f ca="1">Data!K$31 + IF(OFFSET(Scenarios!$A$63,0,$C$1)="Yes",OFFSET(Scenarios!$A$72,0,$C$1)*L$141,0)</f>
        <v>0.45300000000000001</v>
      </c>
      <c r="M124" s="131">
        <f ca="1">Data!L$31 + IF(OFFSET(Scenarios!$A$63,0,$C$1)="Yes",OFFSET(Scenarios!$A$72,0,$C$1)*M$141,0)</f>
        <v>0.46899999999999997</v>
      </c>
      <c r="N124" s="131">
        <f ca="1">Data!M$31 + IF(OFFSET(Scenarios!$A$63,0,$C$1)="Yes",OFFSET(Scenarios!$A$72,0,$C$1)*N$141,0)</f>
        <v>0.45900000000000002</v>
      </c>
      <c r="O124" s="75">
        <f t="shared" ref="O124:X124" ca="1" si="58">SUM(O$123,(N$124-N$123)*(1+O$234))</f>
        <v>0.45925884073453294</v>
      </c>
      <c r="P124" s="75">
        <f t="shared" ca="1" si="58"/>
        <v>0.45947742236745159</v>
      </c>
      <c r="Q124" s="75">
        <f t="shared" ca="1" si="58"/>
        <v>0.45964209064835948</v>
      </c>
      <c r="R124" s="75">
        <f t="shared" ca="1" si="58"/>
        <v>0.45979236318512051</v>
      </c>
      <c r="S124" s="75">
        <f t="shared" ca="1" si="58"/>
        <v>0.45990346091596851</v>
      </c>
      <c r="T124" s="75">
        <f t="shared" ca="1" si="58"/>
        <v>0.45998463154809466</v>
      </c>
      <c r="U124" s="75">
        <f t="shared" ca="1" si="58"/>
        <v>0.46006109789862143</v>
      </c>
      <c r="V124" s="75">
        <f t="shared" ca="1" si="58"/>
        <v>0.46012996520294952</v>
      </c>
      <c r="W124" s="75">
        <f t="shared" ca="1" si="58"/>
        <v>0.46018403048895107</v>
      </c>
      <c r="X124" s="75">
        <f t="shared" ca="1" si="58"/>
        <v>0.4602269315750539</v>
      </c>
    </row>
    <row r="125" spans="1:24" x14ac:dyDescent="0.2">
      <c r="A125" s="27"/>
      <c r="B125" s="102"/>
      <c r="C125" s="69"/>
      <c r="D125" s="119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x14ac:dyDescent="0.2">
      <c r="A126" s="108" t="s">
        <v>943</v>
      </c>
      <c r="C126" s="69"/>
      <c r="D126" s="69"/>
      <c r="E126" s="69"/>
      <c r="F126" s="69"/>
      <c r="G126" s="73"/>
      <c r="H126" s="73"/>
      <c r="I126" s="73"/>
      <c r="J126" s="73"/>
    </row>
    <row r="127" spans="1:24" x14ac:dyDescent="0.2">
      <c r="A127" s="160" t="s">
        <v>944</v>
      </c>
      <c r="B127" s="233"/>
      <c r="C127" s="69"/>
      <c r="D127" s="69">
        <f>Data!C$43</f>
        <v>4.8159999999999998</v>
      </c>
      <c r="E127" s="69">
        <f>Data!D$43</f>
        <v>3.371</v>
      </c>
      <c r="F127" s="69">
        <f>Data!E$43</f>
        <v>5.2930000000000001</v>
      </c>
      <c r="G127" s="69">
        <f>Data!F$43</f>
        <v>2.9740000000000002</v>
      </c>
      <c r="H127" s="69">
        <f>Data!G$43</f>
        <v>5.5629999999999997</v>
      </c>
      <c r="I127" s="69">
        <f>Data!H$43</f>
        <v>5.4279999999999999</v>
      </c>
      <c r="J127" s="125">
        <f ca="1">Data!I$43 + IF(OFFSET(Scenarios!$A$63,0,$C$1)="Yes",OFFSET(Scenarios!$A$67,0,$C$1)*J$141,0)</f>
        <v>5.64</v>
      </c>
      <c r="K127" s="125">
        <f ca="1">Data!J$43 + IF(OFFSET(Scenarios!$A$63,0,$C$1)="Yes",OFFSET(Scenarios!$A$67,0,$C$1)*K$141,0)</f>
        <v>4.3540000000000001</v>
      </c>
      <c r="L127" s="125">
        <f ca="1">Data!K$43 + IF(OFFSET(Scenarios!$A$63,0,$C$1)="Yes",OFFSET(Scenarios!$A$67,0,$C$1)*L$141,0)</f>
        <v>4.2229999999999999</v>
      </c>
      <c r="M127" s="125">
        <f ca="1">Data!L$43 + IF(OFFSET(Scenarios!$A$63,0,$C$1)="Yes",OFFSET(Scenarios!$A$67,0,$C$1)*M$141,0)</f>
        <v>4.266</v>
      </c>
      <c r="N127" s="125">
        <f ca="1">Data!M$43 + IF(OFFSET(Scenarios!$A$63,0,$C$1)="Yes",OFFSET(Scenarios!$A$67,0,$C$1)*N$141,0)</f>
        <v>4.2089999999999996</v>
      </c>
      <c r="O127" s="73">
        <f ca="1">N$127 +IF(OFFSET(Scenarios!$A$63,0,$C$1)="Yes",(O$141-N$141)*OFFSET(Scenarios!$A$67,0,$C$1),0)</f>
        <v>4.2089999999999996</v>
      </c>
      <c r="P127" s="73">
        <f ca="1">O$127 +IF(OFFSET(Scenarios!$A$63,0,$C$1)="Yes",(P$141-O$141)*OFFSET(Scenarios!$A$67,0,$C$1),0)</f>
        <v>4.2089999999999996</v>
      </c>
      <c r="Q127" s="73">
        <f ca="1">P$127 +IF(OFFSET(Scenarios!$A$63,0,$C$1)="Yes",(Q$141-P$141)*OFFSET(Scenarios!$A$67,0,$C$1),0)</f>
        <v>4.2089999999999996</v>
      </c>
      <c r="R127" s="73">
        <f ca="1">Q$127 +IF(OFFSET(Scenarios!$A$63,0,$C$1)="Yes",(R$141-Q$141)*OFFSET(Scenarios!$A$67,0,$C$1),0)</f>
        <v>4.2089999999999996</v>
      </c>
      <c r="S127" s="73">
        <f ca="1">R$127 +IF(OFFSET(Scenarios!$A$63,0,$C$1)="Yes",(S$141-R$141)*OFFSET(Scenarios!$A$67,0,$C$1),0)</f>
        <v>4.2089999999999996</v>
      </c>
      <c r="T127" s="73">
        <f ca="1">S$127 +IF(OFFSET(Scenarios!$A$63,0,$C$1)="Yes",(T$141-S$141)*OFFSET(Scenarios!$A$67,0,$C$1),0)</f>
        <v>4.2089999999999996</v>
      </c>
      <c r="U127" s="73">
        <f ca="1">T$127 +IF(OFFSET(Scenarios!$A$63,0,$C$1)="Yes",(U$141-T$141)*OFFSET(Scenarios!$A$67,0,$C$1),0)</f>
        <v>4.2089999999999996</v>
      </c>
      <c r="V127" s="73">
        <f ca="1">U$127 +IF(OFFSET(Scenarios!$A$63,0,$C$1)="Yes",(V$141-U$141)*OFFSET(Scenarios!$A$67,0,$C$1),0)</f>
        <v>4.2089999999999996</v>
      </c>
      <c r="W127" s="73">
        <f ca="1">V$127 +IF(OFFSET(Scenarios!$A$63,0,$C$1)="Yes",(W$141-V$141)*OFFSET(Scenarios!$A$67,0,$C$1),0)</f>
        <v>4.2089999999999996</v>
      </c>
      <c r="X127" s="73">
        <f ca="1">W$127 +IF(OFFSET(Scenarios!$A$63,0,$C$1)="Yes",(X$141-W$141)*OFFSET(Scenarios!$A$67,0,$C$1),0)</f>
        <v>4.2089999999999996</v>
      </c>
    </row>
    <row r="128" spans="1:24" x14ac:dyDescent="0.2">
      <c r="A128" s="68" t="s">
        <v>361</v>
      </c>
      <c r="B128" s="233"/>
      <c r="C128" s="69"/>
      <c r="D128" s="69">
        <f>Data!C$44</f>
        <v>2.6989999999999998</v>
      </c>
      <c r="E128" s="69">
        <f>Data!D$44</f>
        <v>2.8940000000000001</v>
      </c>
      <c r="F128" s="69">
        <f>Data!E$44</f>
        <v>3.089</v>
      </c>
      <c r="G128" s="69">
        <f>Data!F$44</f>
        <v>3.1909999999999998</v>
      </c>
      <c r="H128" s="69">
        <f>Data!G$44</f>
        <v>3.3820000000000001</v>
      </c>
      <c r="I128" s="69">
        <f>Data!H$44</f>
        <v>3.403</v>
      </c>
      <c r="J128" s="125">
        <f ca="1">Data!I$44 + IF(OFFSET(Scenarios!$A$63,0,$C$1)="Yes",OFFSET(Scenarios!$A$68,0,$C$1)*J$141,0)</f>
        <v>3.6419999999999999</v>
      </c>
      <c r="K128" s="125">
        <f ca="1">Data!J$44 + IF(OFFSET(Scenarios!$A$63,0,$C$1)="Yes",OFFSET(Scenarios!$A$68,0,$C$1)*K$141,0)</f>
        <v>3.468</v>
      </c>
      <c r="L128" s="125">
        <f ca="1">Data!K$44 + IF(OFFSET(Scenarios!$A$63,0,$C$1)="Yes",OFFSET(Scenarios!$A$68,0,$C$1)*L$141,0)</f>
        <v>3.4369999999999998</v>
      </c>
      <c r="M128" s="125">
        <f ca="1">Data!L$44 + IF(OFFSET(Scenarios!$A$63,0,$C$1)="Yes",OFFSET(Scenarios!$A$68,0,$C$1)*M$141,0)</f>
        <v>3.51</v>
      </c>
      <c r="N128" s="125">
        <f ca="1">Data!M$44 + IF(OFFSET(Scenarios!$A$63,0,$C$1)="Yes",OFFSET(Scenarios!$A$68,0,$C$1)*N$141,0)</f>
        <v>3.488</v>
      </c>
      <c r="O128" s="73">
        <f ca="1">N$128 +IF(OFFSET(Scenarios!$A$63,0,$C$1)="Yes",(O$141-N$141)*OFFSET(Scenarios!$A$68,0,$C$1),0)</f>
        <v>3.488</v>
      </c>
      <c r="P128" s="73">
        <f ca="1">O$128 +IF(OFFSET(Scenarios!$A$63,0,$C$1)="Yes",(P$141-O$141)*OFFSET(Scenarios!$A$68,0,$C$1),0)</f>
        <v>3.488</v>
      </c>
      <c r="Q128" s="73">
        <f ca="1">P$128 +IF(OFFSET(Scenarios!$A$63,0,$C$1)="Yes",(Q$141-P$141)*OFFSET(Scenarios!$A$68,0,$C$1),0)</f>
        <v>3.488</v>
      </c>
      <c r="R128" s="73">
        <f ca="1">Q$128 +IF(OFFSET(Scenarios!$A$63,0,$C$1)="Yes",(R$141-Q$141)*OFFSET(Scenarios!$A$68,0,$C$1),0)</f>
        <v>3.488</v>
      </c>
      <c r="S128" s="73">
        <f ca="1">R$128 +IF(OFFSET(Scenarios!$A$63,0,$C$1)="Yes",(S$141-R$141)*OFFSET(Scenarios!$A$68,0,$C$1),0)</f>
        <v>3.488</v>
      </c>
      <c r="T128" s="73">
        <f ca="1">S$128 +IF(OFFSET(Scenarios!$A$63,0,$C$1)="Yes",(T$141-S$141)*OFFSET(Scenarios!$A$68,0,$C$1),0)</f>
        <v>3.488</v>
      </c>
      <c r="U128" s="73">
        <f ca="1">T$128 +IF(OFFSET(Scenarios!$A$63,0,$C$1)="Yes",(U$141-T$141)*OFFSET(Scenarios!$A$68,0,$C$1),0)</f>
        <v>3.488</v>
      </c>
      <c r="V128" s="73">
        <f ca="1">U$128 +IF(OFFSET(Scenarios!$A$63,0,$C$1)="Yes",(V$141-U$141)*OFFSET(Scenarios!$A$68,0,$C$1),0)</f>
        <v>3.488</v>
      </c>
      <c r="W128" s="73">
        <f ca="1">V$128 +IF(OFFSET(Scenarios!$A$63,0,$C$1)="Yes",(W$141-V$141)*OFFSET(Scenarios!$A$68,0,$C$1),0)</f>
        <v>3.488</v>
      </c>
      <c r="X128" s="73">
        <f ca="1">W$128 +IF(OFFSET(Scenarios!$A$63,0,$C$1)="Yes",(X$141-W$141)*OFFSET(Scenarios!$A$68,0,$C$1),0)</f>
        <v>3.488</v>
      </c>
    </row>
    <row r="129" spans="1:24" x14ac:dyDescent="0.2">
      <c r="A129" s="68" t="s">
        <v>436</v>
      </c>
      <c r="B129" s="233"/>
      <c r="C129" s="69"/>
      <c r="D129" s="69">
        <f>Data!C$45</f>
        <v>1.5169999999999999</v>
      </c>
      <c r="E129" s="69">
        <f>Data!D$45</f>
        <v>1.5620000000000001</v>
      </c>
      <c r="F129" s="69">
        <f>Data!E$45</f>
        <v>1.7569999999999999</v>
      </c>
      <c r="G129" s="69">
        <f>Data!F$45</f>
        <v>1.8140000000000001</v>
      </c>
      <c r="H129" s="69">
        <f>Data!G$45</f>
        <v>1.8089999999999999</v>
      </c>
      <c r="I129" s="69">
        <f>Data!H$45</f>
        <v>1.736</v>
      </c>
      <c r="J129" s="125">
        <f ca="1">Data!I$45 + IF(OFFSET(Scenarios!$A$63,0,$C$1)="Yes",OFFSET(Scenarios!$A$69,0,$C$1)*J$141,0)</f>
        <v>1.8640000000000001</v>
      </c>
      <c r="K129" s="125">
        <f ca="1">Data!J$45 + IF(OFFSET(Scenarios!$A$63,0,$C$1)="Yes",OFFSET(Scenarios!$A$69,0,$C$1)*K$141,0)</f>
        <v>1.8280000000000001</v>
      </c>
      <c r="L129" s="125">
        <f ca="1">Data!K$45 + IF(OFFSET(Scenarios!$A$63,0,$C$1)="Yes",OFFSET(Scenarios!$A$69,0,$C$1)*L$141,0)</f>
        <v>1.835</v>
      </c>
      <c r="M129" s="125">
        <f ca="1">Data!L$45 + IF(OFFSET(Scenarios!$A$63,0,$C$1)="Yes",OFFSET(Scenarios!$A$69,0,$C$1)*M$141,0)</f>
        <v>1.879</v>
      </c>
      <c r="N129" s="125">
        <f ca="1">Data!M$45 + IF(OFFSET(Scenarios!$A$63,0,$C$1)="Yes",OFFSET(Scenarios!$A$69,0,$C$1)*N$141,0)</f>
        <v>2.149</v>
      </c>
      <c r="O129" s="73">
        <f ca="1">N$129 +IF(OFFSET(Scenarios!$A$63,0,$C$1)="Yes",(O$141-N$141)*OFFSET(Scenarios!$A$69,0,$C$1),0) -0.2</f>
        <v>1.9490000000000001</v>
      </c>
      <c r="P129" s="73">
        <f ca="1">O$129 +IF(OFFSET(Scenarios!$A$63,0,$C$1)="Yes",(P$141-O$141)*OFFSET(Scenarios!$A$69,0,$C$1),0)</f>
        <v>1.9490000000000001</v>
      </c>
      <c r="Q129" s="73">
        <f ca="1">P$129 +IF(OFFSET(Scenarios!$A$63,0,$C$1)="Yes",(Q$141-P$141)*OFFSET(Scenarios!$A$69,0,$C$1),0)</f>
        <v>1.9490000000000001</v>
      </c>
      <c r="R129" s="73">
        <f ca="1">Q$129 +IF(OFFSET(Scenarios!$A$63,0,$C$1)="Yes",(R$141-Q$141)*OFFSET(Scenarios!$A$69,0,$C$1),0)</f>
        <v>1.9490000000000001</v>
      </c>
      <c r="S129" s="73">
        <f ca="1">R$129 +IF(OFFSET(Scenarios!$A$63,0,$C$1)="Yes",(S$141-R$141)*OFFSET(Scenarios!$A$69,0,$C$1),0)</f>
        <v>1.9490000000000001</v>
      </c>
      <c r="T129" s="73">
        <f ca="1">S$129 +IF(OFFSET(Scenarios!$A$63,0,$C$1)="Yes",(T$141-S$141)*OFFSET(Scenarios!$A$69,0,$C$1),0)</f>
        <v>1.9490000000000001</v>
      </c>
      <c r="U129" s="73">
        <f ca="1">T$129 +IF(OFFSET(Scenarios!$A$63,0,$C$1)="Yes",(U$141-T$141)*OFFSET(Scenarios!$A$69,0,$C$1),0)</f>
        <v>1.9490000000000001</v>
      </c>
      <c r="V129" s="73">
        <f ca="1">U$129 +IF(OFFSET(Scenarios!$A$63,0,$C$1)="Yes",(V$141-U$141)*OFFSET(Scenarios!$A$69,0,$C$1),0)</f>
        <v>1.9490000000000001</v>
      </c>
      <c r="W129" s="73">
        <f ca="1">V$129 +IF(OFFSET(Scenarios!$A$63,0,$C$1)="Yes",(W$141-V$141)*OFFSET(Scenarios!$A$69,0,$C$1),0)</f>
        <v>1.9490000000000001</v>
      </c>
      <c r="X129" s="73">
        <f ca="1">W$129 +IF(OFFSET(Scenarios!$A$63,0,$C$1)="Yes",(X$141-W$141)*OFFSET(Scenarios!$A$69,0,$C$1),0)</f>
        <v>1.9490000000000001</v>
      </c>
    </row>
    <row r="130" spans="1:24" x14ac:dyDescent="0.2">
      <c r="A130" s="68" t="s">
        <v>945</v>
      </c>
      <c r="B130" s="233"/>
      <c r="C130" s="69"/>
      <c r="D130" s="69">
        <f>Data!C$48</f>
        <v>0.438</v>
      </c>
      <c r="E130" s="69">
        <f>Data!D$48</f>
        <v>0.54100000000000004</v>
      </c>
      <c r="F130" s="69">
        <f>Data!E$48</f>
        <v>0.53400000000000003</v>
      </c>
      <c r="G130" s="69">
        <f>Data!F$48</f>
        <v>0.50700000000000001</v>
      </c>
      <c r="H130" s="69">
        <f>Data!G$48</f>
        <v>0.70599999999999996</v>
      </c>
      <c r="I130" s="69">
        <f>Data!H$48</f>
        <v>0.64800000000000002</v>
      </c>
      <c r="J130" s="125">
        <f ca="1">Data!I$48 + IF(OFFSET(Scenarios!$A$63,0,$C$1)="Yes",OFFSET(Scenarios!$A$71,0,$C$1)*J$141,0)</f>
        <v>0.84599999999999997</v>
      </c>
      <c r="K130" s="125">
        <f ca="1">Data!J$48 + IF(OFFSET(Scenarios!$A$63,0,$C$1)="Yes",OFFSET(Scenarios!$A$71,0,$C$1)*K$141,0)</f>
        <v>0.72599999999999998</v>
      </c>
      <c r="L130" s="125">
        <f ca="1">Data!K$48 + IF(OFFSET(Scenarios!$A$63,0,$C$1)="Yes",OFFSET(Scenarios!$A$71,0,$C$1)*L$141,0)</f>
        <v>0.71899999999999997</v>
      </c>
      <c r="M130" s="125">
        <f ca="1">Data!L$48 + IF(OFFSET(Scenarios!$A$63,0,$C$1)="Yes",OFFSET(Scenarios!$A$71,0,$C$1)*M$141,0)</f>
        <v>0.68100000000000005</v>
      </c>
      <c r="N130" s="125">
        <f ca="1">Data!M$48 + IF(OFFSET(Scenarios!$A$63,0,$C$1)="Yes",OFFSET(Scenarios!$A$71,0,$C$1)*N$141,0)</f>
        <v>0.65800000000000003</v>
      </c>
      <c r="O130" s="73">
        <f ca="1">N$130 +IF(OFFSET(Scenarios!$A$63,0,$C$1)="Yes",(O$141-N$141)*OFFSET(Scenarios!$A$71,0,$C$1),0)</f>
        <v>0.65800000000000003</v>
      </c>
      <c r="P130" s="73">
        <f ca="1">O$130 +IF(OFFSET(Scenarios!$A$63,0,$C$1)="Yes",(P$141-O$141)*OFFSET(Scenarios!$A$71,0,$C$1),0)</f>
        <v>0.65800000000000003</v>
      </c>
      <c r="Q130" s="73">
        <f ca="1">P$130 +IF(OFFSET(Scenarios!$A$63,0,$C$1)="Yes",(Q$141-P$141)*OFFSET(Scenarios!$A$71,0,$C$1),0)</f>
        <v>0.65800000000000003</v>
      </c>
      <c r="R130" s="73">
        <f ca="1">Q$130 +IF(OFFSET(Scenarios!$A$63,0,$C$1)="Yes",(R$141-Q$141)*OFFSET(Scenarios!$A$71,0,$C$1),0)</f>
        <v>0.65800000000000003</v>
      </c>
      <c r="S130" s="73">
        <f ca="1">R$130 +IF(OFFSET(Scenarios!$A$63,0,$C$1)="Yes",(S$141-R$141)*OFFSET(Scenarios!$A$71,0,$C$1),0)</f>
        <v>0.65800000000000003</v>
      </c>
      <c r="T130" s="73">
        <f ca="1">S$130 +IF(OFFSET(Scenarios!$A$63,0,$C$1)="Yes",(T$141-S$141)*OFFSET(Scenarios!$A$71,0,$C$1),0)</f>
        <v>0.65800000000000003</v>
      </c>
      <c r="U130" s="73">
        <f ca="1">T$130 +IF(OFFSET(Scenarios!$A$63,0,$C$1)="Yes",(U$141-T$141)*OFFSET(Scenarios!$A$71,0,$C$1),0)</f>
        <v>0.65800000000000003</v>
      </c>
      <c r="V130" s="73">
        <f ca="1">U$130 +IF(OFFSET(Scenarios!$A$63,0,$C$1)="Yes",(V$141-U$141)*OFFSET(Scenarios!$A$71,0,$C$1),0)</f>
        <v>0.65800000000000003</v>
      </c>
      <c r="W130" s="73">
        <f ca="1">V$130 +IF(OFFSET(Scenarios!$A$63,0,$C$1)="Yes",(W$141-V$141)*OFFSET(Scenarios!$A$71,0,$C$1),0)</f>
        <v>0.65800000000000003</v>
      </c>
      <c r="X130" s="73">
        <f ca="1">W$130 +IF(OFFSET(Scenarios!$A$63,0,$C$1)="Yes",(X$141-W$141)*OFFSET(Scenarios!$A$71,0,$C$1),0)</f>
        <v>0.65800000000000003</v>
      </c>
    </row>
    <row r="131" spans="1:24" x14ac:dyDescent="0.2">
      <c r="A131" s="68" t="s">
        <v>1034</v>
      </c>
      <c r="B131" s="233"/>
      <c r="C131" s="69"/>
      <c r="D131" s="69">
        <f>Data!C$49</f>
        <v>0.52300000000000002</v>
      </c>
      <c r="E131" s="69">
        <f>Data!D$49</f>
        <v>0.56100000000000005</v>
      </c>
      <c r="F131" s="69">
        <f>Data!E$49</f>
        <v>0.58599999999999997</v>
      </c>
      <c r="G131" s="69">
        <f>Data!F$49</f>
        <v>0.63</v>
      </c>
      <c r="H131" s="69">
        <f>Data!G$49</f>
        <v>0.74099999999999999</v>
      </c>
      <c r="I131" s="69">
        <f>Data!H$49</f>
        <v>0.86299999999999999</v>
      </c>
      <c r="J131" s="125">
        <f ca="1">Data!I$49 + IF(OFFSET(Scenarios!$A$63,0,$C$1)="Yes",OFFSET(Scenarios!$A$73,0,$C$1)*J$141,0)</f>
        <v>0.875</v>
      </c>
      <c r="K131" s="125">
        <f ca="1">Data!J$49 + IF(OFFSET(Scenarios!$A$63,0,$C$1)="Yes",OFFSET(Scenarios!$A$73,0,$C$1)*K$141,0)</f>
        <v>0.82099999999999995</v>
      </c>
      <c r="L131" s="125">
        <f ca="1">Data!K$49 + IF(OFFSET(Scenarios!$A$63,0,$C$1)="Yes",OFFSET(Scenarios!$A$73,0,$C$1)*L$141,0)</f>
        <v>0.80400000000000005</v>
      </c>
      <c r="M131" s="125">
        <f ca="1">Data!L$49 + IF(OFFSET(Scenarios!$A$63,0,$C$1)="Yes",OFFSET(Scenarios!$A$73,0,$C$1)*M$141,0)</f>
        <v>0.79600000000000004</v>
      </c>
      <c r="N131" s="125">
        <f ca="1">Data!M$49 + IF(OFFSET(Scenarios!$A$63,0,$C$1)="Yes",OFFSET(Scenarios!$A$73,0,$C$1)*N$141,0)</f>
        <v>0.79600000000000004</v>
      </c>
      <c r="O131" s="73">
        <f ca="1">N$131 +IF(OFFSET(Scenarios!$A$63,0,$C$1)="Yes",(O$141-N$141)*OFFSET(Scenarios!$A$73,0,$C$1),0)</f>
        <v>0.79600000000000004</v>
      </c>
      <c r="P131" s="73">
        <f ca="1">O$131 +IF(OFFSET(Scenarios!$A$63,0,$C$1)="Yes",(P$141-O$141)*OFFSET(Scenarios!$A$73,0,$C$1),0)</f>
        <v>0.79600000000000004</v>
      </c>
      <c r="Q131" s="73">
        <f ca="1">P$131 +IF(OFFSET(Scenarios!$A$63,0,$C$1)="Yes",(Q$141-P$141)*OFFSET(Scenarios!$A$73,0,$C$1),0)</f>
        <v>0.79600000000000004</v>
      </c>
      <c r="R131" s="73">
        <f ca="1">Q$131 +IF(OFFSET(Scenarios!$A$63,0,$C$1)="Yes",(R$141-Q$141)*OFFSET(Scenarios!$A$73,0,$C$1),0)</f>
        <v>0.79600000000000004</v>
      </c>
      <c r="S131" s="73">
        <f ca="1">R$131 +IF(OFFSET(Scenarios!$A$63,0,$C$1)="Yes",(S$141-R$141)*OFFSET(Scenarios!$A$73,0,$C$1),0)</f>
        <v>0.79600000000000004</v>
      </c>
      <c r="T131" s="73">
        <f ca="1">S$131 +IF(OFFSET(Scenarios!$A$63,0,$C$1)="Yes",(T$141-S$141)*OFFSET(Scenarios!$A$73,0,$C$1),0)</f>
        <v>0.79600000000000004</v>
      </c>
      <c r="U131" s="73">
        <f ca="1">T$131 +IF(OFFSET(Scenarios!$A$63,0,$C$1)="Yes",(U$141-T$141)*OFFSET(Scenarios!$A$73,0,$C$1),0)</f>
        <v>0.79600000000000004</v>
      </c>
      <c r="V131" s="73">
        <f ca="1">U$131 +IF(OFFSET(Scenarios!$A$63,0,$C$1)="Yes",(V$141-U$141)*OFFSET(Scenarios!$A$73,0,$C$1),0)</f>
        <v>0.79600000000000004</v>
      </c>
      <c r="W131" s="73">
        <f ca="1">V$131 +IF(OFFSET(Scenarios!$A$63,0,$C$1)="Yes",(W$141-V$141)*OFFSET(Scenarios!$A$73,0,$C$1),0)</f>
        <v>0.79600000000000004</v>
      </c>
      <c r="X131" s="73">
        <f ca="1">W$131 +IF(OFFSET(Scenarios!$A$63,0,$C$1)="Yes",(X$141-W$141)*OFFSET(Scenarios!$A$73,0,$C$1),0)</f>
        <v>0.79600000000000004</v>
      </c>
    </row>
    <row r="132" spans="1:24" x14ac:dyDescent="0.2">
      <c r="A132" s="160" t="s">
        <v>1021</v>
      </c>
      <c r="B132" s="233"/>
      <c r="C132" s="69"/>
      <c r="D132" s="176">
        <f>SUM(Data!C$51:C$52)</f>
        <v>0.32300000000000001</v>
      </c>
      <c r="E132" s="176">
        <f>SUM(Data!D$51:D$52)</f>
        <v>0.51400000000000001</v>
      </c>
      <c r="F132" s="176">
        <f>SUM(Data!E$51:E$52)</f>
        <v>0.41499999999999998</v>
      </c>
      <c r="G132" s="176">
        <f>SUM(Data!F$51:F$52)</f>
        <v>0.38600000000000001</v>
      </c>
      <c r="H132" s="176">
        <f>SUM(Data!G$51:G$52)</f>
        <v>1.355</v>
      </c>
      <c r="I132" s="176">
        <f>SUM(Data!H$51:H$52)</f>
        <v>0.29499999999999998</v>
      </c>
      <c r="J132" s="130">
        <f ca="1">SUM(Data!I$51:I$52) + IF(OFFSET(Scenarios!$A$63,0,$C$1)="Yes",(1-SUM(OFFSET(Scenarios!$A$64,0,$C$1,10,1)))*J$141,0)</f>
        <v>0.98599999999999999</v>
      </c>
      <c r="K132" s="130">
        <f ca="1">SUM(Data!J$51:J$52) + IF(OFFSET(Scenarios!$A$63,0,$C$1)="Yes",(1-SUM(OFFSET(Scenarios!$A$64,0,$C$1,10,1)))*K$141,0)</f>
        <v>0.83299999999999996</v>
      </c>
      <c r="L132" s="130">
        <f ca="1">SUM(Data!K$51:K$52) + IF(OFFSET(Scenarios!$A$63,0,$C$1)="Yes",(1-SUM(OFFSET(Scenarios!$A$64,0,$C$1,10,1)))*L$141,0)</f>
        <v>0.83099999999999996</v>
      </c>
      <c r="M132" s="130">
        <f ca="1">SUM(Data!L$51:L$52) + IF(OFFSET(Scenarios!$A$63,0,$C$1)="Yes",(1-SUM(OFFSET(Scenarios!$A$64,0,$C$1,10,1)))*M$141,0)</f>
        <v>0.77900000000000003</v>
      </c>
      <c r="N132" s="130">
        <f ca="1">SUM(Data!M$51:M$52) + IF(OFFSET(Scenarios!$A$63,0,$C$1)="Yes",(1-SUM(OFFSET(Scenarios!$A$64,0,$C$1,10,1)))*N$141,0)</f>
        <v>0.74500000000000011</v>
      </c>
      <c r="O132" s="81">
        <f ca="1">N$132 +IF(OFFSET(Scenarios!$A$63,0,$C$1)="Yes",(O$141-N$141)*(1-SUM(OFFSET(Scenarios!$A$64,0,$C$1,10,1))),0)</f>
        <v>0.74500000000000011</v>
      </c>
      <c r="P132" s="81">
        <f ca="1">O$132 +IF(OFFSET(Scenarios!$A$63,0,$C$1)="Yes",(P$141-O$141)*(1-SUM(OFFSET(Scenarios!$A$64,0,$C$1,10,1))),0)-0.545</f>
        <v>0.20000000000000007</v>
      </c>
      <c r="Q132" s="81">
        <f ca="1">P$132 +IF(OFFSET(Scenarios!$A$63,0,$C$1)="Yes",(Q$141-P$141)*(1-SUM(OFFSET(Scenarios!$A$64,0,$C$1,10,1))),0)</f>
        <v>0.20000000000000007</v>
      </c>
      <c r="R132" s="81">
        <f ca="1">Q$132 +IF(OFFSET(Scenarios!$A$63,0,$C$1)="Yes",(R$141-Q$141)*(1-SUM(OFFSET(Scenarios!$A$64,0,$C$1,10,1))),0)</f>
        <v>0.20000000000000007</v>
      </c>
      <c r="S132" s="81">
        <f ca="1">R$132 +IF(OFFSET(Scenarios!$A$63,0,$C$1)="Yes",(S$141-R$141)*(1-SUM(OFFSET(Scenarios!$A$64,0,$C$1,10,1))),0)</f>
        <v>0.20000000000000007</v>
      </c>
      <c r="T132" s="81">
        <f ca="1">S$132 +IF(OFFSET(Scenarios!$A$63,0,$C$1)="Yes",(T$141-S$141)*(1-SUM(OFFSET(Scenarios!$A$64,0,$C$1,10,1))),0)</f>
        <v>0.20000000000000007</v>
      </c>
      <c r="U132" s="81">
        <f ca="1">T$132 +IF(OFFSET(Scenarios!$A$63,0,$C$1)="Yes",(U$141-T$141)*(1-SUM(OFFSET(Scenarios!$A$64,0,$C$1,10,1))),0)</f>
        <v>0.20000000000000007</v>
      </c>
      <c r="V132" s="81">
        <f ca="1">U$132 +IF(OFFSET(Scenarios!$A$63,0,$C$1)="Yes",(V$141-U$141)*(1-SUM(OFFSET(Scenarios!$A$64,0,$C$1,10,1))),0)</f>
        <v>0.20000000000000007</v>
      </c>
      <c r="W132" s="81">
        <f ca="1">V$132 +IF(OFFSET(Scenarios!$A$63,0,$C$1)="Yes",(W$141-V$141)*(1-SUM(OFFSET(Scenarios!$A$64,0,$C$1,10,1))),0)</f>
        <v>0.20000000000000007</v>
      </c>
      <c r="X132" s="81">
        <f ca="1">W$132 +IF(OFFSET(Scenarios!$A$63,0,$C$1)="Yes",(X$141-W$141)*(1-SUM(OFFSET(Scenarios!$A$64,0,$C$1,10,1))),0)</f>
        <v>0.20000000000000007</v>
      </c>
    </row>
    <row r="133" spans="1:24" x14ac:dyDescent="0.2">
      <c r="A133" s="27" t="s">
        <v>145</v>
      </c>
      <c r="B133" s="36"/>
      <c r="C133" s="69"/>
      <c r="D133" s="71">
        <f>SUM(D$127:D$132)</f>
        <v>10.316000000000001</v>
      </c>
      <c r="E133" s="71">
        <f t="shared" ref="E133:X133" si="59">SUM(E$127:E$132)</f>
        <v>9.4429999999999996</v>
      </c>
      <c r="F133" s="71">
        <f t="shared" si="59"/>
        <v>11.673999999999999</v>
      </c>
      <c r="G133" s="71">
        <f t="shared" si="59"/>
        <v>9.5020000000000007</v>
      </c>
      <c r="H133" s="71">
        <f t="shared" si="59"/>
        <v>13.555999999999999</v>
      </c>
      <c r="I133" s="71">
        <f t="shared" si="59"/>
        <v>12.372999999999999</v>
      </c>
      <c r="J133" s="131">
        <f t="shared" ca="1" si="59"/>
        <v>13.853000000000002</v>
      </c>
      <c r="K133" s="131">
        <f t="shared" ca="1" si="59"/>
        <v>12.030000000000001</v>
      </c>
      <c r="L133" s="131">
        <f t="shared" ca="1" si="59"/>
        <v>11.849</v>
      </c>
      <c r="M133" s="131">
        <f t="shared" ca="1" si="59"/>
        <v>11.910999999999998</v>
      </c>
      <c r="N133" s="131">
        <f t="shared" ca="1" si="59"/>
        <v>12.044999999999998</v>
      </c>
      <c r="O133" s="75">
        <f t="shared" ca="1" si="59"/>
        <v>11.844999999999999</v>
      </c>
      <c r="P133" s="75">
        <f t="shared" ca="1" si="59"/>
        <v>11.299999999999997</v>
      </c>
      <c r="Q133" s="75">
        <f t="shared" ca="1" si="59"/>
        <v>11.299999999999997</v>
      </c>
      <c r="R133" s="75">
        <f t="shared" ca="1" si="59"/>
        <v>11.299999999999997</v>
      </c>
      <c r="S133" s="75">
        <f t="shared" ca="1" si="59"/>
        <v>11.299999999999997</v>
      </c>
      <c r="T133" s="75">
        <f t="shared" ca="1" si="59"/>
        <v>11.299999999999997</v>
      </c>
      <c r="U133" s="75">
        <f t="shared" ca="1" si="59"/>
        <v>11.299999999999997</v>
      </c>
      <c r="V133" s="75">
        <f t="shared" ca="1" si="59"/>
        <v>11.299999999999997</v>
      </c>
      <c r="W133" s="75">
        <f t="shared" ca="1" si="59"/>
        <v>11.299999999999997</v>
      </c>
      <c r="X133" s="75">
        <f t="shared" ca="1" si="59"/>
        <v>11.299999999999997</v>
      </c>
    </row>
    <row r="134" spans="1:24" x14ac:dyDescent="0.2">
      <c r="A134" s="27" t="s">
        <v>418</v>
      </c>
      <c r="B134" s="233"/>
      <c r="C134" s="69"/>
      <c r="D134" s="71">
        <f>SUM(Data!C$24:C$26,Data!C$29:C$30,Data!C$32:C$33)</f>
        <v>12.822000000000001</v>
      </c>
      <c r="E134" s="71">
        <f>SUM(Data!D$24:D$26,Data!D$29:D$30,Data!D$32:D$33)</f>
        <v>12.328000000000001</v>
      </c>
      <c r="F134" s="71">
        <f>SUM(Data!E$24:E$26,Data!E$29:E$30,Data!E$32:E$33)</f>
        <v>14.76</v>
      </c>
      <c r="G134" s="71">
        <f>SUM(Data!F$24:F$26,Data!F$29:F$30,Data!F$32:F$33)</f>
        <v>12.427999999999999</v>
      </c>
      <c r="H134" s="71">
        <f>SUM(Data!G$24:G$26,Data!G$29:G$30,Data!G$32:G$33)</f>
        <v>16.809000000000001</v>
      </c>
      <c r="I134" s="71">
        <f>SUM(Data!H$24:H$26,Data!H$29:H$30,Data!H$32:H$33)</f>
        <v>15.676000000000002</v>
      </c>
      <c r="J134" s="131">
        <f ca="1">SUM(Data!I$24:I$26,Data!I$29:I$30,Data!I$32:I$33) + IF(OFFSET(Scenarios!$A$63,0,$C$1)="Yes",(1-SUM(OFFSET(Scenarios!$A$64,0,$C$1,3,1),OFFSET(Scenarios!$A$70,0,$C$1),OFFSET(Scenarios!$A$72,0,$C$1)))*J$141,0)</f>
        <v>17.012</v>
      </c>
      <c r="K134" s="131">
        <f ca="1">SUM(Data!J$24:J$26,Data!J$29:J$30,Data!J$32:J$33) + IF(OFFSET(Scenarios!$A$63,0,$C$1)="Yes",(1-SUM(OFFSET(Scenarios!$A$64,0,$C$1,3,1),OFFSET(Scenarios!$A$70,0,$C$1),OFFSET(Scenarios!$A$72,0,$C$1)))*K$141,0)</f>
        <v>15.324999999999998</v>
      </c>
      <c r="L134" s="131">
        <f ca="1">SUM(Data!K$24:K$26,Data!K$29:K$30,Data!K$32:K$33) + IF(OFFSET(Scenarios!$A$63,0,$C$1)="Yes",(1-SUM(OFFSET(Scenarios!$A$64,0,$C$1,3,1),OFFSET(Scenarios!$A$70,0,$C$1),OFFSET(Scenarios!$A$72,0,$C$1)))*L$141,0)</f>
        <v>15.28</v>
      </c>
      <c r="M134" s="131">
        <f ca="1">SUM(Data!L$24:L$26,Data!L$29:L$30,Data!L$32:L$33) + IF(OFFSET(Scenarios!$A$63,0,$C$1)="Yes",(1-SUM(OFFSET(Scenarios!$A$64,0,$C$1,3,1),OFFSET(Scenarios!$A$70,0,$C$1),OFFSET(Scenarios!$A$72,0,$C$1)))*M$141,0)</f>
        <v>15.436999999999999</v>
      </c>
      <c r="N134" s="131">
        <f ca="1">SUM(Data!M$24:M$26,Data!M$29:M$30,Data!M$32:M$33) + IF(OFFSET(Scenarios!$A$63,0,$C$1)="Yes",(1-SUM(OFFSET(Scenarios!$A$64,0,$C$1,3,1),OFFSET(Scenarios!$A$70,0,$C$1),OFFSET(Scenarios!$A$72,0,$C$1)))*N$141,0)</f>
        <v>15.690999999999999</v>
      </c>
      <c r="O134" s="107">
        <f t="shared" ref="O134:X134" ca="1" si="60">SUM(O$133,(N$134-N$133)*(1+O$234))</f>
        <v>15.653730791070441</v>
      </c>
      <c r="P134" s="107">
        <f t="shared" ca="1" si="60"/>
        <v>15.280095658256048</v>
      </c>
      <c r="Q134" s="107">
        <f t="shared" ca="1" si="60"/>
        <v>15.463742283373017</v>
      </c>
      <c r="R134" s="107">
        <f t="shared" ca="1" si="60"/>
        <v>15.653749111584133</v>
      </c>
      <c r="S134" s="107">
        <f t="shared" ca="1" si="60"/>
        <v>15.853963960348615</v>
      </c>
      <c r="T134" s="107">
        <f t="shared" ca="1" si="60"/>
        <v>16.063067083108109</v>
      </c>
      <c r="U134" s="107">
        <f t="shared" ca="1" si="60"/>
        <v>16.277313550539702</v>
      </c>
      <c r="V134" s="107">
        <f t="shared" ca="1" si="60"/>
        <v>16.497231699349967</v>
      </c>
      <c r="W134" s="107">
        <f t="shared" ca="1" si="60"/>
        <v>16.724006126246859</v>
      </c>
      <c r="X134" s="107">
        <f t="shared" ca="1" si="60"/>
        <v>16.957176338076941</v>
      </c>
    </row>
    <row r="135" spans="1:24" x14ac:dyDescent="0.2">
      <c r="A135" s="27"/>
      <c r="B135" s="102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1:24" x14ac:dyDescent="0.2">
      <c r="A136" s="108" t="s">
        <v>600</v>
      </c>
      <c r="B136" s="102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1:24" x14ac:dyDescent="0.2">
      <c r="A137" s="27" t="s">
        <v>426</v>
      </c>
      <c r="B137" s="233"/>
      <c r="C137" s="69"/>
      <c r="D137" s="71">
        <f>Data!C$53</f>
        <v>2.3290000000000002</v>
      </c>
      <c r="E137" s="71">
        <f>Data!D$53</f>
        <v>2.46</v>
      </c>
      <c r="F137" s="71">
        <f>Data!E$53</f>
        <v>2.4289999999999998</v>
      </c>
      <c r="G137" s="71">
        <f>Data!F$53</f>
        <v>2.3109999999999999</v>
      </c>
      <c r="H137" s="71">
        <f>Data!G$53</f>
        <v>3.0659999999999998</v>
      </c>
      <c r="I137" s="71">
        <f>Data!H$53</f>
        <v>3.5110000000000001</v>
      </c>
      <c r="J137" s="131">
        <f>Data!I$53</f>
        <v>3.5790000000000002</v>
      </c>
      <c r="K137" s="131">
        <f>Data!J$53</f>
        <v>3.7519999999999998</v>
      </c>
      <c r="L137" s="131">
        <f>Data!K$53</f>
        <v>3.972</v>
      </c>
      <c r="M137" s="131">
        <f>Data!L$53</f>
        <v>3.9889999999999999</v>
      </c>
      <c r="N137" s="131">
        <f>Data!M$53</f>
        <v>4.2789999999999999</v>
      </c>
      <c r="O137" s="42">
        <f t="shared" ref="O137:X137" ca="1" si="61">N$225*O$237</f>
        <v>5.3069100000000002</v>
      </c>
      <c r="P137" s="42">
        <f t="shared" ca="1" si="61"/>
        <v>5.4909853396536343</v>
      </c>
      <c r="Q137" s="42">
        <f t="shared" ca="1" si="61"/>
        <v>5.6507786549140224</v>
      </c>
      <c r="R137" s="42">
        <f t="shared" ca="1" si="61"/>
        <v>5.7293351238518753</v>
      </c>
      <c r="S137" s="42">
        <f t="shared" ca="1" si="61"/>
        <v>5.6410381749061713</v>
      </c>
      <c r="T137" s="42">
        <f t="shared" ca="1" si="61"/>
        <v>5.4226096284695933</v>
      </c>
      <c r="U137" s="42">
        <f t="shared" ca="1" si="61"/>
        <v>5.099214701957127</v>
      </c>
      <c r="V137" s="42">
        <f t="shared" ca="1" si="61"/>
        <v>4.6699977649580973</v>
      </c>
      <c r="W137" s="42">
        <f t="shared" ca="1" si="61"/>
        <v>4.1275486666769527</v>
      </c>
      <c r="X137" s="42">
        <f t="shared" ca="1" si="61"/>
        <v>3.4648376015405966</v>
      </c>
    </row>
    <row r="138" spans="1:24" x14ac:dyDescent="0.2">
      <c r="A138" s="27" t="s">
        <v>427</v>
      </c>
      <c r="B138" s="233"/>
      <c r="C138" s="69"/>
      <c r="D138" s="71">
        <f>Data!C$34</f>
        <v>2.8849999999999998</v>
      </c>
      <c r="E138" s="71">
        <f>Data!D$34</f>
        <v>3.101</v>
      </c>
      <c r="F138" s="71">
        <f>Data!E$34</f>
        <v>3.07</v>
      </c>
      <c r="G138" s="71">
        <f>Data!F$34</f>
        <v>2.7770000000000001</v>
      </c>
      <c r="H138" s="71">
        <f>Data!G$34</f>
        <v>3.5960000000000001</v>
      </c>
      <c r="I138" s="71">
        <f>Data!H$34</f>
        <v>4.29</v>
      </c>
      <c r="J138" s="131">
        <f>Data!I$34</f>
        <v>4.41</v>
      </c>
      <c r="K138" s="131">
        <f>Data!J$34</f>
        <v>4.6829999999999998</v>
      </c>
      <c r="L138" s="131">
        <f>Data!K$34</f>
        <v>5.2610000000000001</v>
      </c>
      <c r="M138" s="131">
        <f>Data!L$34</f>
        <v>5.3529999999999998</v>
      </c>
      <c r="N138" s="131">
        <f>Data!M$34</f>
        <v>5.7930000000000001</v>
      </c>
      <c r="O138" s="42">
        <f t="shared" ref="O138:X138" ca="1" si="62">SUM(N$222,N$223)*O$237</f>
        <v>6.4967041999999999</v>
      </c>
      <c r="P138" s="42">
        <f t="shared" ca="1" si="62"/>
        <v>6.7781120927608649</v>
      </c>
      <c r="Q138" s="42">
        <f t="shared" ca="1" si="62"/>
        <v>7.0460997967538468</v>
      </c>
      <c r="R138" s="42">
        <f t="shared" ca="1" si="62"/>
        <v>7.2531497983289075</v>
      </c>
      <c r="S138" s="42">
        <f t="shared" ca="1" si="62"/>
        <v>7.2872579327596796</v>
      </c>
      <c r="T138" s="42">
        <f t="shared" ca="1" si="62"/>
        <v>7.2050370011336673</v>
      </c>
      <c r="U138" s="42">
        <f t="shared" ca="1" si="62"/>
        <v>7.03595927136202</v>
      </c>
      <c r="V138" s="42">
        <f t="shared" ca="1" si="62"/>
        <v>6.7772470595303504</v>
      </c>
      <c r="W138" s="42">
        <f t="shared" ca="1" si="62"/>
        <v>6.4227149210697094</v>
      </c>
      <c r="X138" s="42">
        <f t="shared" ca="1" si="62"/>
        <v>5.966865403191898</v>
      </c>
    </row>
    <row r="139" spans="1:24" x14ac:dyDescent="0.2">
      <c r="A139" s="27"/>
      <c r="B139" s="102"/>
      <c r="C139" s="69"/>
      <c r="D139" s="71"/>
      <c r="E139" s="71"/>
      <c r="F139" s="71"/>
      <c r="G139" s="131"/>
      <c r="H139" s="131"/>
      <c r="I139" s="131"/>
      <c r="J139" s="131"/>
      <c r="K139" s="131"/>
      <c r="L139" s="131"/>
      <c r="M139" s="131"/>
      <c r="N139" s="131"/>
      <c r="O139" s="131"/>
      <c r="P139" s="75"/>
      <c r="Q139" s="75"/>
      <c r="R139" s="75"/>
      <c r="S139" s="75"/>
      <c r="T139" s="75"/>
      <c r="U139" s="75"/>
      <c r="V139" s="75"/>
      <c r="W139" s="75"/>
      <c r="X139" s="75"/>
    </row>
    <row r="140" spans="1:24" x14ac:dyDescent="0.2">
      <c r="A140" s="108" t="s">
        <v>1019</v>
      </c>
      <c r="B140" s="102"/>
      <c r="C140" s="69"/>
      <c r="D140" s="71">
        <f>D$141</f>
        <v>0</v>
      </c>
      <c r="E140" s="71">
        <f>E$141-D$141</f>
        <v>0</v>
      </c>
      <c r="F140" s="71">
        <f>F$141-E$141</f>
        <v>0</v>
      </c>
      <c r="G140" s="71">
        <f>G$141-F$141</f>
        <v>0</v>
      </c>
      <c r="H140" s="71">
        <f>H$141-G$141</f>
        <v>0</v>
      </c>
      <c r="I140" s="71">
        <f>I$141-H$141</f>
        <v>0</v>
      </c>
      <c r="J140" s="131">
        <f ca="1">IF(OFFSET(Scenarios!$A$63,0,$C$1)="Yes",0,J$141-I$141)</f>
        <v>-0.83299999999999996</v>
      </c>
      <c r="K140" s="131">
        <f ca="1">IF(OFFSET(Scenarios!$A$63,0,$C$1)="Yes",0,K$141-J$141)</f>
        <v>1.611</v>
      </c>
      <c r="L140" s="131">
        <f ca="1">IF(OFFSET(Scenarios!$A$63,0,$C$1)="Yes",0,L$141-K$141)</f>
        <v>1.1759999999999999</v>
      </c>
      <c r="M140" s="131">
        <f ca="1">IF(OFFSET(Scenarios!$A$63,0,$C$1)="Yes",0,M$141-L$141)</f>
        <v>1.1979999999999997</v>
      </c>
      <c r="N140" s="131">
        <f ca="1">IF(OFFSET(Scenarios!$A$63,0,$C$1)="Yes",0,N$141-M$141)</f>
        <v>1.1919999999999997</v>
      </c>
      <c r="O140" s="283">
        <f ca="1">IF(OFFSET(Scenarios!$A$63,0,$C$1)="Yes",0,IF(O$2="Proj Yr1",OFFSET(Scenarios!$A$30,0,$C$1),N$140*(1+OFFSET(Scenarios!$A$35,0,$C$1))))</f>
        <v>1.264</v>
      </c>
      <c r="P140" s="283">
        <f ca="1">IF(OFFSET(Scenarios!$A$63,0,$C$1)="Yes",0,IF(P$2="Proj Yr1",OFFSET(Scenarios!$A$30,0,$C$1),O$140*(1+OFFSET(Scenarios!$A$35,0,$C$1))))</f>
        <v>1.28928</v>
      </c>
      <c r="Q140" s="283">
        <f ca="1">IF(OFFSET(Scenarios!$A$63,0,$C$1)="Yes",0,IF(Q$2="Proj Yr1",OFFSET(Scenarios!$A$30,0,$C$1),P$140*(1+OFFSET(Scenarios!$A$35,0,$C$1))))</f>
        <v>1.3150656000000001</v>
      </c>
      <c r="R140" s="283">
        <f ca="1">IF(OFFSET(Scenarios!$A$63,0,$C$1)="Yes",0,IF(R$2="Proj Yr1",OFFSET(Scenarios!$A$30,0,$C$1),Q$140*(1+OFFSET(Scenarios!$A$35,0,$C$1))))</f>
        <v>1.341366912</v>
      </c>
      <c r="S140" s="283">
        <f ca="1">IF(OFFSET(Scenarios!$A$63,0,$C$1)="Yes",0,IF(S$2="Proj Yr1",OFFSET(Scenarios!$A$30,0,$C$1),R$140*(1+OFFSET(Scenarios!$A$35,0,$C$1))))</f>
        <v>1.36819425024</v>
      </c>
      <c r="T140" s="283">
        <f ca="1">IF(OFFSET(Scenarios!$A$63,0,$C$1)="Yes",0,IF(T$2="Proj Yr1",OFFSET(Scenarios!$A$30,0,$C$1),S$140*(1+OFFSET(Scenarios!$A$35,0,$C$1))))</f>
        <v>1.3955581352447999</v>
      </c>
      <c r="U140" s="283">
        <f ca="1">IF(OFFSET(Scenarios!$A$63,0,$C$1)="Yes",0,IF(U$2="Proj Yr1",OFFSET(Scenarios!$A$30,0,$C$1),T$140*(1+OFFSET(Scenarios!$A$35,0,$C$1))))</f>
        <v>1.4234692979496959</v>
      </c>
      <c r="V140" s="283">
        <f ca="1">IF(OFFSET(Scenarios!$A$63,0,$C$1)="Yes",0,IF(V$2="Proj Yr1",OFFSET(Scenarios!$A$30,0,$C$1),U$140*(1+OFFSET(Scenarios!$A$35,0,$C$1))))</f>
        <v>1.4519386839086899</v>
      </c>
      <c r="W140" s="283">
        <f ca="1">IF(OFFSET(Scenarios!$A$63,0,$C$1)="Yes",0,IF(W$2="Proj Yr1",OFFSET(Scenarios!$A$30,0,$C$1),V$140*(1+OFFSET(Scenarios!$A$35,0,$C$1))))</f>
        <v>1.4809774575868637</v>
      </c>
      <c r="X140" s="283">
        <f ca="1">IF(OFFSET(Scenarios!$A$63,0,$C$1)="Yes",0,IF(X$2="Proj Yr1",OFFSET(Scenarios!$A$30,0,$C$1),W$140*(1+OFFSET(Scenarios!$A$35,0,$C$1))))</f>
        <v>1.510597006738601</v>
      </c>
    </row>
    <row r="141" spans="1:24" x14ac:dyDescent="0.2">
      <c r="A141" s="225" t="s">
        <v>1020</v>
      </c>
      <c r="B141" s="233"/>
      <c r="C141" s="69"/>
      <c r="D141" s="177">
        <f>SUM(Data!C$54:C$55)</f>
        <v>0</v>
      </c>
      <c r="E141" s="177">
        <f>SUM(Data!D$54:D$55)</f>
        <v>0</v>
      </c>
      <c r="F141" s="177">
        <f>SUM(Data!E$54:E$55)</f>
        <v>0</v>
      </c>
      <c r="G141" s="177">
        <f>SUM(Data!F$54:F$55)</f>
        <v>0</v>
      </c>
      <c r="H141" s="177">
        <f>SUM(Data!G$54:G$55)</f>
        <v>0</v>
      </c>
      <c r="I141" s="177">
        <f>SUM(Data!H$54:H$55)</f>
        <v>0</v>
      </c>
      <c r="J141" s="156">
        <f>SUM(Data!I$54:I$55)</f>
        <v>-0.83299999999999996</v>
      </c>
      <c r="K141" s="156">
        <f>SUM(Data!J$54:J$55)</f>
        <v>0.77800000000000002</v>
      </c>
      <c r="L141" s="156">
        <f>SUM(Data!K$54:K$55)</f>
        <v>1.954</v>
      </c>
      <c r="M141" s="156">
        <f>SUM(Data!L$54:L$55)</f>
        <v>3.1519999999999997</v>
      </c>
      <c r="N141" s="156">
        <f>SUM(Data!M$54:M$55)</f>
        <v>4.3439999999999994</v>
      </c>
      <c r="O141" s="281">
        <f ca="1">N$141+IF(O$2="Proj Yr1",OFFSET(Scenarios!$A$30,0,$C$1),(N$141-M$141)*(1+OFFSET(Scenarios!$A$35,0,$C$1)))</f>
        <v>5.6079999999999997</v>
      </c>
      <c r="P141" s="281">
        <f ca="1">O$141+IF(P$2="Proj Yr1",OFFSET(Scenarios!$A$30,0,$C$1),(O$141-N$141)*(1+OFFSET(Scenarios!$A$35,0,$C$1)))</f>
        <v>6.8972800000000003</v>
      </c>
      <c r="Q141" s="281">
        <f ca="1">P$141+IF(Q$2="Proj Yr1",OFFSET(Scenarios!$A$30,0,$C$1),(P$141-O$141)*(1+OFFSET(Scenarios!$A$35,0,$C$1)))</f>
        <v>8.2123456000000008</v>
      </c>
      <c r="R141" s="281">
        <f ca="1">Q$141+IF(R$2="Proj Yr1",OFFSET(Scenarios!$A$30,0,$C$1),(Q$141-P$141)*(1+OFFSET(Scenarios!$A$35,0,$C$1)))</f>
        <v>9.5537125120000006</v>
      </c>
      <c r="S141" s="281">
        <f ca="1">R$141+IF(S$2="Proj Yr1",OFFSET(Scenarios!$A$30,0,$C$1),(R$141-Q$141)*(1+OFFSET(Scenarios!$A$35,0,$C$1)))</f>
        <v>10.921906762240001</v>
      </c>
      <c r="T141" s="281">
        <f ca="1">S$141+IF(T$2="Proj Yr1",OFFSET(Scenarios!$A$30,0,$C$1),(S$141-R$141)*(1+OFFSET(Scenarios!$A$35,0,$C$1)))</f>
        <v>12.3174648974848</v>
      </c>
      <c r="U141" s="281">
        <f ca="1">T$141+IF(U$2="Proj Yr1",OFFSET(Scenarios!$A$30,0,$C$1),(T$141-S$141)*(1+OFFSET(Scenarios!$A$35,0,$C$1)))</f>
        <v>13.740934195434496</v>
      </c>
      <c r="V141" s="281">
        <f ca="1">U$141+IF(V$2="Proj Yr1",OFFSET(Scenarios!$A$30,0,$C$1),(U$141-T$141)*(1+OFFSET(Scenarios!$A$35,0,$C$1)))</f>
        <v>15.192872879343186</v>
      </c>
      <c r="W141" s="281">
        <f ca="1">V$141+IF(W$2="Proj Yr1",OFFSET(Scenarios!$A$30,0,$C$1),(V$141-U$141)*(1+OFFSET(Scenarios!$A$35,0,$C$1)))</f>
        <v>16.673850336930052</v>
      </c>
      <c r="X141" s="281">
        <f ca="1">W$141+IF(X$2="Proj Yr1",OFFSET(Scenarios!$A$30,0,$C$1),(W$141-V$141)*(1+OFFSET(Scenarios!$A$35,0,$C$1)))</f>
        <v>18.184447343668655</v>
      </c>
    </row>
    <row r="142" spans="1:24" x14ac:dyDescent="0.2">
      <c r="A142" s="31"/>
      <c r="B142" s="69"/>
      <c r="C142" s="69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</row>
    <row r="143" spans="1:24" x14ac:dyDescent="0.2">
      <c r="A143" s="108" t="s">
        <v>619</v>
      </c>
      <c r="B143" s="69"/>
      <c r="C143" s="69"/>
      <c r="D143" s="177"/>
      <c r="E143" s="177"/>
      <c r="F143" s="177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</row>
    <row r="144" spans="1:24" x14ac:dyDescent="0.2">
      <c r="A144" s="27" t="s">
        <v>310</v>
      </c>
      <c r="B144" s="233"/>
      <c r="C144" s="69"/>
      <c r="D144" s="101">
        <f>Data!C$110</f>
        <v>1.1180000000000001</v>
      </c>
      <c r="E144" s="101">
        <f>Data!D$110</f>
        <v>0.872</v>
      </c>
      <c r="F144" s="101">
        <f>Data!E$110</f>
        <v>3.375</v>
      </c>
      <c r="G144" s="101">
        <f>Data!F$110</f>
        <v>4.9729999999999999</v>
      </c>
      <c r="H144" s="101">
        <f>Data!G$110</f>
        <v>6.0869999999999997</v>
      </c>
      <c r="I144" s="101">
        <f>Data!H$110</f>
        <v>6.7560000000000002</v>
      </c>
      <c r="J144" s="131">
        <f>Data!I$110</f>
        <v>9.1620000000000008</v>
      </c>
      <c r="K144" s="131">
        <f>Data!J$110</f>
        <v>9.1690000000000005</v>
      </c>
      <c r="L144" s="131">
        <f>Data!K$110</f>
        <v>9.1630000000000003</v>
      </c>
      <c r="M144" s="131">
        <f>Data!L$110</f>
        <v>9.1199999999999992</v>
      </c>
      <c r="N144" s="131">
        <f>Data!M$110</f>
        <v>9.0429999999999993</v>
      </c>
      <c r="O144" s="102">
        <f t="shared" ref="O144:X144" ca="1" si="63">N$144*(1+O$236)</f>
        <v>9.225233620253162</v>
      </c>
      <c r="P144" s="102">
        <f t="shared" ca="1" si="63"/>
        <v>9.4097382926582256</v>
      </c>
      <c r="Q144" s="102">
        <f t="shared" ca="1" si="63"/>
        <v>9.5979330585113907</v>
      </c>
      <c r="R144" s="102">
        <f t="shared" ca="1" si="63"/>
        <v>9.7898917196816182</v>
      </c>
      <c r="S144" s="102">
        <f t="shared" ca="1" si="63"/>
        <v>9.9856895540752504</v>
      </c>
      <c r="T144" s="102">
        <f t="shared" ca="1" si="63"/>
        <v>10.185403345156756</v>
      </c>
      <c r="U144" s="102">
        <f t="shared" ca="1" si="63"/>
        <v>10.389111412059892</v>
      </c>
      <c r="V144" s="102">
        <f t="shared" ca="1" si="63"/>
        <v>10.59689364030109</v>
      </c>
      <c r="W144" s="102">
        <f t="shared" ca="1" si="63"/>
        <v>10.808831513107112</v>
      </c>
      <c r="X144" s="102">
        <f t="shared" ca="1" si="63"/>
        <v>11.025008143369254</v>
      </c>
    </row>
    <row r="145" spans="1:24" x14ac:dyDescent="0.2">
      <c r="A145" s="27" t="s">
        <v>620</v>
      </c>
      <c r="B145" s="233"/>
      <c r="C145" s="69"/>
      <c r="D145" s="101">
        <f>Data!C$58</f>
        <v>4.1630000000000003</v>
      </c>
      <c r="E145" s="101">
        <f>Data!D$58</f>
        <v>3.8039999999999998</v>
      </c>
      <c r="F145" s="101">
        <f>Data!E$58</f>
        <v>6.2679999999999998</v>
      </c>
      <c r="G145" s="101">
        <f>Data!F$58</f>
        <v>7.774</v>
      </c>
      <c r="H145" s="101">
        <f>Data!G$58</f>
        <v>9.8010000000000002</v>
      </c>
      <c r="I145" s="101">
        <f>Data!H$58</f>
        <v>10.686</v>
      </c>
      <c r="J145" s="131">
        <f>Data!I$58</f>
        <v>13.952</v>
      </c>
      <c r="K145" s="131">
        <f>Data!J$58</f>
        <v>13.366</v>
      </c>
      <c r="L145" s="131">
        <f>Data!K$58</f>
        <v>12.933999999999999</v>
      </c>
      <c r="M145" s="131">
        <f>Data!L$58</f>
        <v>12.772</v>
      </c>
      <c r="N145" s="131">
        <f>Data!M$58</f>
        <v>12.477</v>
      </c>
      <c r="O145" s="42">
        <f t="shared" ref="O145:X145" ca="1" si="64">N$145*(1+O$236)</f>
        <v>12.728435240506329</v>
      </c>
      <c r="P145" s="42">
        <f t="shared" ca="1" si="64"/>
        <v>12.983003945316456</v>
      </c>
      <c r="Q145" s="42">
        <f t="shared" ca="1" si="64"/>
        <v>13.242664024222785</v>
      </c>
      <c r="R145" s="42">
        <f t="shared" ca="1" si="64"/>
        <v>13.507517304707241</v>
      </c>
      <c r="S145" s="42">
        <f t="shared" ca="1" si="64"/>
        <v>13.777667650801385</v>
      </c>
      <c r="T145" s="42">
        <f t="shared" ca="1" si="64"/>
        <v>14.053221003817413</v>
      </c>
      <c r="U145" s="42">
        <f t="shared" ca="1" si="64"/>
        <v>14.33428542389376</v>
      </c>
      <c r="V145" s="42">
        <f t="shared" ca="1" si="64"/>
        <v>14.620971132371636</v>
      </c>
      <c r="W145" s="42">
        <f t="shared" ca="1" si="64"/>
        <v>14.913390555019069</v>
      </c>
      <c r="X145" s="42">
        <f t="shared" ca="1" si="64"/>
        <v>15.211658366119451</v>
      </c>
    </row>
    <row r="146" spans="1:24" x14ac:dyDescent="0.2">
      <c r="A146" s="27" t="s">
        <v>311</v>
      </c>
      <c r="B146" s="233"/>
      <c r="C146" s="69"/>
      <c r="D146" s="101">
        <f>Data!C$111</f>
        <v>7.59</v>
      </c>
      <c r="E146" s="101">
        <f>Data!D$111</f>
        <v>9.0310000000000006</v>
      </c>
      <c r="F146" s="101">
        <f>Data!E$111</f>
        <v>10.243</v>
      </c>
      <c r="G146" s="101">
        <f>Data!F$111</f>
        <v>8.7759999999999998</v>
      </c>
      <c r="H146" s="101">
        <f>Data!G$111</f>
        <v>11.375999999999999</v>
      </c>
      <c r="I146" s="101">
        <f>Data!H$111</f>
        <v>10.974</v>
      </c>
      <c r="J146" s="131">
        <f>Data!I$111</f>
        <v>10.564</v>
      </c>
      <c r="K146" s="131">
        <f>Data!J$111</f>
        <v>9.7050000000000001</v>
      </c>
      <c r="L146" s="131">
        <f>Data!K$111</f>
        <v>9.7260000000000009</v>
      </c>
      <c r="M146" s="131">
        <f>Data!L$111</f>
        <v>9.7029999999999994</v>
      </c>
      <c r="N146" s="131">
        <f>Data!M$111</f>
        <v>9.7110000000000003</v>
      </c>
      <c r="O146" s="42">
        <f t="shared" ref="O146:X146" ca="1" si="65">N$146*(1+O$236)</f>
        <v>9.9066950886075951</v>
      </c>
      <c r="P146" s="42">
        <f t="shared" ca="1" si="65"/>
        <v>10.104828990379747</v>
      </c>
      <c r="Q146" s="42">
        <f t="shared" ca="1" si="65"/>
        <v>10.306925570187342</v>
      </c>
      <c r="R146" s="42">
        <f t="shared" ca="1" si="65"/>
        <v>10.513064081591089</v>
      </c>
      <c r="S146" s="42">
        <f t="shared" ca="1" si="65"/>
        <v>10.723325363222912</v>
      </c>
      <c r="T146" s="42">
        <f t="shared" ca="1" si="65"/>
        <v>10.93779187048737</v>
      </c>
      <c r="U146" s="42">
        <f t="shared" ca="1" si="65"/>
        <v>11.156547707897118</v>
      </c>
      <c r="V146" s="42">
        <f t="shared" ca="1" si="65"/>
        <v>11.379678662055062</v>
      </c>
      <c r="W146" s="42">
        <f t="shared" ca="1" si="65"/>
        <v>11.607272235296163</v>
      </c>
      <c r="X146" s="42">
        <f t="shared" ca="1" si="65"/>
        <v>11.839417680002086</v>
      </c>
    </row>
    <row r="147" spans="1:24" x14ac:dyDescent="0.2">
      <c r="A147" s="27" t="s">
        <v>313</v>
      </c>
      <c r="B147" s="233"/>
      <c r="C147" s="69"/>
      <c r="D147" s="101">
        <f>Data!C$59</f>
        <v>12.058</v>
      </c>
      <c r="E147" s="101">
        <f>Data!D$59</f>
        <v>14.157999999999999</v>
      </c>
      <c r="F147" s="101">
        <f>Data!E$59</f>
        <v>14.619</v>
      </c>
      <c r="G147" s="101">
        <f>Data!F$59</f>
        <v>13.884</v>
      </c>
      <c r="H147" s="101">
        <f>Data!G$59</f>
        <v>21.69</v>
      </c>
      <c r="I147" s="101">
        <f>Data!H$59</f>
        <v>20.956</v>
      </c>
      <c r="J147" s="131">
        <f>Data!I$59</f>
        <v>17.626999999999999</v>
      </c>
      <c r="K147" s="131">
        <f>Data!J$59</f>
        <v>15.994</v>
      </c>
      <c r="L147" s="131">
        <f>Data!K$59</f>
        <v>15.372</v>
      </c>
      <c r="M147" s="131">
        <f>Data!L$59</f>
        <v>15.052</v>
      </c>
      <c r="N147" s="131">
        <f>Data!M$59</f>
        <v>15.146000000000001</v>
      </c>
      <c r="O147" s="42">
        <f t="shared" ref="O147:X147" ca="1" si="66">N$147*(1+O$236)</f>
        <v>15.451220658227847</v>
      </c>
      <c r="P147" s="42">
        <f t="shared" ca="1" si="66"/>
        <v>15.760245071392404</v>
      </c>
      <c r="Q147" s="42">
        <f t="shared" ca="1" si="66"/>
        <v>16.075449972820252</v>
      </c>
      <c r="R147" s="42">
        <f t="shared" ca="1" si="66"/>
        <v>16.396958972276657</v>
      </c>
      <c r="S147" s="42">
        <f t="shared" ca="1" si="66"/>
        <v>16.72489815172219</v>
      </c>
      <c r="T147" s="42">
        <f t="shared" ca="1" si="66"/>
        <v>17.059396114756634</v>
      </c>
      <c r="U147" s="42">
        <f t="shared" ca="1" si="66"/>
        <v>17.400584037051768</v>
      </c>
      <c r="V147" s="42">
        <f t="shared" ca="1" si="66"/>
        <v>17.748595717792803</v>
      </c>
      <c r="W147" s="42">
        <f t="shared" ca="1" si="66"/>
        <v>18.10356763214866</v>
      </c>
      <c r="X147" s="42">
        <f t="shared" ca="1" si="66"/>
        <v>18.465638984791635</v>
      </c>
    </row>
    <row r="148" spans="1:24" x14ac:dyDescent="0.2">
      <c r="A148" s="27"/>
      <c r="B148" s="69"/>
      <c r="C148" s="69"/>
      <c r="D148" s="101"/>
      <c r="E148" s="101"/>
      <c r="F148" s="101"/>
      <c r="G148" s="10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</row>
    <row r="149" spans="1:24" x14ac:dyDescent="0.2">
      <c r="A149" s="108" t="s">
        <v>623</v>
      </c>
      <c r="B149" s="69"/>
      <c r="C149" s="69"/>
      <c r="D149" s="101"/>
      <c r="E149" s="101"/>
      <c r="F149" s="101"/>
      <c r="G149" s="10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</row>
    <row r="150" spans="1:24" x14ac:dyDescent="0.2">
      <c r="A150" s="31" t="s">
        <v>770</v>
      </c>
      <c r="B150" s="233"/>
      <c r="C150" s="69"/>
      <c r="D150" s="69">
        <f>ROUND(D$154*(Data!C$168-Data!C$172*2/3)/(SUM(Data!C$168:C$171)-SUM(Data!C$111,Data!C$172,Data!C$189)),3)</f>
        <v>9.0779999999999994</v>
      </c>
      <c r="E150" s="69">
        <f>ROUND(E$154*(Data!D$168-Data!D$172*2/3)/(SUM(Data!D$168:D$171)-SUM(Data!D$111,Data!D$172,Data!D$189)),3)</f>
        <v>12.641</v>
      </c>
      <c r="F150" s="69">
        <f>ROUND(F$154*(Data!E$168-Data!E$172*2/3)/(SUM(Data!E$168:E$171)-SUM(Data!E$111,Data!E$172,Data!E$189)),3)</f>
        <v>13.839</v>
      </c>
      <c r="G150" s="69">
        <f>ROUND(G$154*(Data!F$168-Data!F$172*2/3)/(SUM(Data!F$168:F$171)-SUM(Data!F$111,Data!F$172,Data!F$189)),3)</f>
        <v>14.26</v>
      </c>
      <c r="H150" s="69">
        <f>ROUND(H$154*(Data!G$168-Data!G$172*2/3)/(SUM(Data!G$168:G$171)-SUM(Data!G$111,Data!G$172,Data!G$189)),3)</f>
        <v>19.242000000000001</v>
      </c>
      <c r="I150" s="69">
        <f>ROUND(I$154*(Data!H$168-Data!H$172*2/3)/(SUM(Data!H$168:H$171)-SUM(Data!H$111,Data!H$172,Data!H$189)),3)</f>
        <v>16.286999999999999</v>
      </c>
      <c r="J150" s="105">
        <f>ROUND(J$154*(Data!I$168-Data!I$172*2/3)/(SUM(Data!I$168:I$171)-SUM(Data!I$111,Data!I$172,Data!I$189)),3)</f>
        <v>8.68</v>
      </c>
      <c r="K150" s="105">
        <f>ROUND(K$154*(Data!J$168-Data!J$172*2/3)/(SUM(Data!J$168:J$171)-SUM(Data!J$111,Data!J$172,Data!J$189)),3)</f>
        <v>10.289</v>
      </c>
      <c r="L150" s="105">
        <f>ROUND(L$154*(Data!K$168-Data!K$172*2/3)/(SUM(Data!K$168:K$171)-SUM(Data!K$111,Data!K$172,Data!K$189)),3)</f>
        <v>6.0810000000000004</v>
      </c>
      <c r="M150" s="105">
        <f>ROUND(M$154*(Data!L$168-Data!L$172*2/3)/(SUM(Data!L$168:L$171)-SUM(Data!L$111,Data!L$172,Data!L$189)),3)</f>
        <v>7.1269999999999998</v>
      </c>
      <c r="N150" s="105">
        <f>ROUND(N$154*(Data!M$168-Data!M$172*2/3)/(SUM(Data!M$168:M$171)-SUM(Data!M$111,Data!M$172,Data!M$189)),3)</f>
        <v>9.6430000000000007</v>
      </c>
      <c r="O150" s="73">
        <f t="shared" ref="O150:X150" ca="1" si="67">N$150*(1+O$236)</f>
        <v>9.8373247594936704</v>
      </c>
      <c r="P150" s="73">
        <f t="shared" ca="1" si="67"/>
        <v>10.034071254683544</v>
      </c>
      <c r="Q150" s="73">
        <f t="shared" ca="1" si="67"/>
        <v>10.234752679777216</v>
      </c>
      <c r="R150" s="73">
        <f t="shared" ca="1" si="67"/>
        <v>10.439447733372761</v>
      </c>
      <c r="S150" s="73">
        <f t="shared" ca="1" si="67"/>
        <v>10.648236688040216</v>
      </c>
      <c r="T150" s="73">
        <f t="shared" ca="1" si="67"/>
        <v>10.86120142180102</v>
      </c>
      <c r="U150" s="73">
        <f t="shared" ca="1" si="67"/>
        <v>11.078425450237042</v>
      </c>
      <c r="V150" s="73">
        <f t="shared" ca="1" si="67"/>
        <v>11.299993959241784</v>
      </c>
      <c r="W150" s="73">
        <f t="shared" ca="1" si="67"/>
        <v>11.525993838426619</v>
      </c>
      <c r="X150" s="73">
        <f t="shared" ca="1" si="67"/>
        <v>11.756513715195151</v>
      </c>
    </row>
    <row r="151" spans="1:24" x14ac:dyDescent="0.2">
      <c r="A151" s="31" t="s">
        <v>766</v>
      </c>
      <c r="B151" s="233"/>
      <c r="C151" s="69"/>
      <c r="D151" s="69">
        <f>ROUND(D$154*(Data!C$169-Data!C$172*1/3)/(SUM(Data!C$168:C$171)-SUM(Data!C$111,Data!C$172,Data!C$189)),3)</f>
        <v>12.757</v>
      </c>
      <c r="E151" s="69">
        <f>ROUND(E$154*(Data!D$169-Data!D$172*1/3)/(SUM(Data!D$168:D$171)-SUM(Data!D$111,Data!D$172,Data!D$189)),3)</f>
        <v>13.375</v>
      </c>
      <c r="F151" s="69">
        <f>ROUND(F$154*(Data!E$169-Data!E$172*1/3)/(SUM(Data!E$168:E$171)-SUM(Data!E$111,Data!E$172,Data!E$189)),3)</f>
        <v>16.248999999999999</v>
      </c>
      <c r="G151" s="69">
        <f>ROUND(G$154*(Data!F$169-Data!F$172*1/3)/(SUM(Data!F$168:F$171)-SUM(Data!F$111,Data!F$172,Data!F$189)),3)</f>
        <v>13.423999999999999</v>
      </c>
      <c r="H151" s="69">
        <f>ROUND(H$154*(Data!G$169-Data!G$172*1/3)/(SUM(Data!G$168:G$171)-SUM(Data!G$111,Data!G$172,Data!G$189)),3)</f>
        <v>12</v>
      </c>
      <c r="I151" s="69">
        <f>ROUND(I$154*(Data!H$169-Data!H$172*1/3)/(SUM(Data!H$168:H$171)-SUM(Data!H$111,Data!H$172,Data!H$189)),3)</f>
        <v>11.704000000000001</v>
      </c>
      <c r="J151" s="105">
        <f>ROUND(J$154*(Data!I$169-Data!I$172*1/3)/(SUM(Data!I$168:I$171)-SUM(Data!I$111,Data!I$172,Data!I$189)),3)</f>
        <v>11.262</v>
      </c>
      <c r="K151" s="105">
        <f>ROUND(K$154*(Data!J$169-Data!J$172*1/3)/(SUM(Data!J$168:J$171)-SUM(Data!J$111,Data!J$172,Data!J$189)),3)</f>
        <v>11.638</v>
      </c>
      <c r="L151" s="105">
        <f>ROUND(L$154*(Data!K$169-Data!K$172*1/3)/(SUM(Data!K$168:K$171)-SUM(Data!K$111,Data!K$172,Data!K$189)),3)</f>
        <v>11.225</v>
      </c>
      <c r="M151" s="105">
        <f>ROUND(M$154*(Data!L$169-Data!L$172*1/3)/(SUM(Data!L$168:L$171)-SUM(Data!L$111,Data!L$172,Data!L$189)),3)</f>
        <v>11.641999999999999</v>
      </c>
      <c r="N151" s="105">
        <f>ROUND(N$154*(Data!M$169-Data!M$172*1/3)/(SUM(Data!M$168:M$171)-SUM(Data!M$111,Data!M$172,Data!M$189)),3)</f>
        <v>12.295999999999999</v>
      </c>
      <c r="O151" s="73">
        <f t="shared" ref="O151:X151" ca="1" si="68">N$151*(1+O$236)</f>
        <v>12.543787746835442</v>
      </c>
      <c r="P151" s="73">
        <f t="shared" ca="1" si="68"/>
        <v>12.794663501772151</v>
      </c>
      <c r="Q151" s="73">
        <f t="shared" ca="1" si="68"/>
        <v>13.050556771807594</v>
      </c>
      <c r="R151" s="73">
        <f t="shared" ca="1" si="68"/>
        <v>13.311567907243747</v>
      </c>
      <c r="S151" s="73">
        <f t="shared" ca="1" si="68"/>
        <v>13.577799265388622</v>
      </c>
      <c r="T151" s="73">
        <f t="shared" ca="1" si="68"/>
        <v>13.849355250696394</v>
      </c>
      <c r="U151" s="73">
        <f t="shared" ca="1" si="68"/>
        <v>14.126342355710323</v>
      </c>
      <c r="V151" s="73">
        <f t="shared" ca="1" si="68"/>
        <v>14.40886920282453</v>
      </c>
      <c r="W151" s="73">
        <f t="shared" ca="1" si="68"/>
        <v>14.697046586881021</v>
      </c>
      <c r="X151" s="73">
        <f t="shared" ca="1" si="68"/>
        <v>14.990987518618642</v>
      </c>
    </row>
    <row r="152" spans="1:24" x14ac:dyDescent="0.2">
      <c r="A152" s="31" t="s">
        <v>318</v>
      </c>
      <c r="B152" s="233"/>
      <c r="C152" s="69"/>
      <c r="D152" s="69">
        <f>ROUND(D$154*Data!C$170/(SUM(Data!C$168:C$171)-SUM(Data!C$111,Data!C$172,Data!C$189)),3)</f>
        <v>11.206</v>
      </c>
      <c r="E152" s="69">
        <f>ROUND(E$154*Data!D$170/(SUM(Data!D$168:D$171)-SUM(Data!D$111,Data!D$172,Data!D$189)),3)</f>
        <v>12.33</v>
      </c>
      <c r="F152" s="69">
        <f>ROUND(F$154*Data!E$170/(SUM(Data!E$168:E$171)-SUM(Data!E$111,Data!E$172,Data!E$189)),3)</f>
        <v>10.964</v>
      </c>
      <c r="G152" s="69">
        <f>ROUND(G$154*Data!F$170/(SUM(Data!F$168:F$171)-SUM(Data!F$111,Data!F$172,Data!F$189)),3)</f>
        <v>12.693</v>
      </c>
      <c r="H152" s="69">
        <f>ROUND(H$154*Data!G$170/(SUM(Data!G$168:G$171)-SUM(Data!G$111,Data!G$172,Data!G$189)),3)</f>
        <v>15.097</v>
      </c>
      <c r="I152" s="69">
        <f>ROUND(I$154*Data!H$170/(SUM(Data!H$168:H$171)-SUM(Data!H$111,Data!H$172,Data!H$189)),3)</f>
        <v>14.747</v>
      </c>
      <c r="J152" s="105">
        <f>ROUND(J$154*Data!I$170/(SUM(Data!I$168:I$171)-SUM(Data!I$111,Data!I$172,Data!I$189)),3)</f>
        <v>15.301</v>
      </c>
      <c r="K152" s="105">
        <f>ROUND(K$154*Data!J$170/(SUM(Data!J$168:J$171)-SUM(Data!J$111,Data!J$172,Data!J$189)),3)</f>
        <v>16.364999999999998</v>
      </c>
      <c r="L152" s="105">
        <f>ROUND(L$154*Data!K$170/(SUM(Data!K$168:K$171)-SUM(Data!K$111,Data!K$172,Data!K$189)),3)</f>
        <v>16.805</v>
      </c>
      <c r="M152" s="105">
        <f>ROUND(M$154*Data!L$170/(SUM(Data!L$168:L$171)-SUM(Data!L$111,Data!L$172,Data!L$189)),3)</f>
        <v>18.254000000000001</v>
      </c>
      <c r="N152" s="105">
        <f>ROUND(N$154*Data!M$170/(SUM(Data!M$168:M$171)-SUM(Data!M$111,Data!M$172,Data!M$189)),3)</f>
        <v>20.352</v>
      </c>
      <c r="O152" s="73">
        <f t="shared" ref="O152:X152" si="69">N$152*O$167/N$167</f>
        <v>21.718395190336025</v>
      </c>
      <c r="P152" s="73">
        <f t="shared" si="69"/>
        <v>24.809014537149171</v>
      </c>
      <c r="Q152" s="73">
        <f t="shared" si="69"/>
        <v>28.14262112921341</v>
      </c>
      <c r="R152" s="73">
        <f t="shared" si="69"/>
        <v>31.643720572417678</v>
      </c>
      <c r="S152" s="73">
        <f t="shared" si="69"/>
        <v>35.319700539998117</v>
      </c>
      <c r="T152" s="73">
        <f t="shared" si="69"/>
        <v>39.166100753124283</v>
      </c>
      <c r="U152" s="73">
        <f t="shared" si="69"/>
        <v>43.108726778447853</v>
      </c>
      <c r="V152" s="73">
        <f t="shared" si="69"/>
        <v>47.130894136994009</v>
      </c>
      <c r="W152" s="73">
        <f t="shared" si="69"/>
        <v>51.194739271835651</v>
      </c>
      <c r="X152" s="73">
        <f t="shared" si="69"/>
        <v>55.273743477645866</v>
      </c>
    </row>
    <row r="153" spans="1:24" x14ac:dyDescent="0.2">
      <c r="A153" s="31" t="s">
        <v>535</v>
      </c>
      <c r="B153" s="233"/>
      <c r="C153" s="69"/>
      <c r="D153" s="176">
        <f>ROUND(D$154*(Data!C$171-SUM(Data!C$111,Data!C$189))/(SUM(Data!C$168:C$171)-SUM(Data!C$111,Data!C$172,Data!C$189)),3)</f>
        <v>1.2490000000000001</v>
      </c>
      <c r="E153" s="176">
        <f>ROUND(E$154*(Data!D$171-SUM(Data!D$111,Data!D$189))/(SUM(Data!D$168:D$171)-SUM(Data!D$111,Data!D$172,Data!D$189)),3)</f>
        <v>1.103</v>
      </c>
      <c r="F153" s="176">
        <f>ROUND(F$154*(Data!E$171-SUM(Data!E$111,Data!E$189))/(SUM(Data!E$168:E$171)-SUM(Data!E$111,Data!E$172,Data!E$189)),3)</f>
        <v>0.51300000000000001</v>
      </c>
      <c r="G153" s="176">
        <f>ROUND(G$154*(Data!F$171-SUM(Data!F$111,Data!F$189))/(SUM(Data!F$168:F$171)-SUM(Data!F$111,Data!F$172,Data!F$189)),3)</f>
        <v>0.76900000000000002</v>
      </c>
      <c r="H153" s="176">
        <f>ROUND(H$154*(Data!G$171-SUM(Data!G$111,Data!G$189))/(SUM(Data!G$168:G$171)-SUM(Data!G$111,Data!G$172,Data!G$189)),3)</f>
        <v>0.22600000000000001</v>
      </c>
      <c r="I153" s="176">
        <f>ROUND(I$154*(Data!H$171-SUM(Data!H$111,Data!H$189))/(SUM(Data!H$168:H$171)-SUM(Data!H$111,Data!H$172,Data!H$189)),3)</f>
        <v>0.93300000000000005</v>
      </c>
      <c r="J153" s="130">
        <f>ROUND(J$154*(Data!I$171-SUM(Data!I$111,Data!I$189))/(SUM(Data!I$168:I$171)-SUM(Data!I$111,Data!I$172,Data!I$189)),3)</f>
        <v>0.61199999999999999</v>
      </c>
      <c r="K153" s="130">
        <f>ROUND(K$154*(Data!J$171-SUM(Data!J$111,Data!J$189))/(SUM(Data!J$168:J$171)-SUM(Data!J$111,Data!J$172,Data!J$189)),3)</f>
        <v>0.69099999999999995</v>
      </c>
      <c r="L153" s="130">
        <f>ROUND(L$154*(Data!K$171-SUM(Data!K$111,Data!K$189))/(SUM(Data!K$168:K$171)-SUM(Data!K$111,Data!K$172,Data!K$189)),3)</f>
        <v>0.41799999999999998</v>
      </c>
      <c r="M153" s="130">
        <f>ROUND(M$154*(Data!L$171-SUM(Data!L$111,Data!L$189))/(SUM(Data!L$168:L$171)-SUM(Data!L$111,Data!L$172,Data!L$189)),3)</f>
        <v>0.40600000000000003</v>
      </c>
      <c r="N153" s="130">
        <f>ROUND(N$154*(Data!M$171-SUM(Data!M$111,Data!M$189))/(SUM(Data!M$168:M$171)-SUM(Data!M$111,Data!M$172,Data!M$189)),3)</f>
        <v>0.497</v>
      </c>
      <c r="O153" s="81">
        <f t="shared" ref="O153:X153" ca="1" si="70">N$153*(1+O$236)</f>
        <v>0.50701549367088605</v>
      </c>
      <c r="P153" s="81">
        <f t="shared" ca="1" si="70"/>
        <v>0.51715580354430379</v>
      </c>
      <c r="Q153" s="81">
        <f t="shared" ca="1" si="70"/>
        <v>0.52749891961518991</v>
      </c>
      <c r="R153" s="81">
        <f t="shared" ca="1" si="70"/>
        <v>0.53804889800749367</v>
      </c>
      <c r="S153" s="81">
        <f t="shared" ca="1" si="70"/>
        <v>0.54880987596764352</v>
      </c>
      <c r="T153" s="81">
        <f t="shared" ca="1" si="70"/>
        <v>0.55978607348699638</v>
      </c>
      <c r="U153" s="81">
        <f t="shared" ca="1" si="70"/>
        <v>0.57098179495673629</v>
      </c>
      <c r="V153" s="81">
        <f t="shared" ca="1" si="70"/>
        <v>0.58240143085587104</v>
      </c>
      <c r="W153" s="81">
        <f t="shared" ca="1" si="70"/>
        <v>0.59404945947298848</v>
      </c>
      <c r="X153" s="81">
        <f t="shared" ca="1" si="70"/>
        <v>0.60593044866244827</v>
      </c>
    </row>
    <row r="154" spans="1:24" x14ac:dyDescent="0.2">
      <c r="A154" s="27" t="s">
        <v>317</v>
      </c>
      <c r="B154" s="233"/>
      <c r="C154" s="69"/>
      <c r="D154" s="71">
        <f>Data!C$112-SUM(Data!C$92,Data!C$203)</f>
        <v>34.290000000000006</v>
      </c>
      <c r="E154" s="71">
        <f>Data!D$112-SUM(Data!D$92,Data!D$203)</f>
        <v>39.448999999999998</v>
      </c>
      <c r="F154" s="71">
        <f>Data!E$112-SUM(Data!E$92,Data!E$203)</f>
        <v>41.565999999999995</v>
      </c>
      <c r="G154" s="71">
        <f>Data!F$112-SUM(Data!F$92,Data!F$203)</f>
        <v>41.144999999999996</v>
      </c>
      <c r="H154" s="71">
        <f>Data!G$112-SUM(Data!G$92,Data!G$203)</f>
        <v>46.564999999999998</v>
      </c>
      <c r="I154" s="71">
        <f>Data!H$112-SUM(Data!H$92,Data!H$203)</f>
        <v>43.670999999999999</v>
      </c>
      <c r="J154" s="131">
        <f>Data!I$112-SUM(Data!I$92,Data!I$203)</f>
        <v>35.855395999999999</v>
      </c>
      <c r="K154" s="131">
        <f>Data!J$112-SUM(Data!J$92,Data!J$203)</f>
        <v>38.983395999999999</v>
      </c>
      <c r="L154" s="131">
        <f>Data!K$112-SUM(Data!K$92,Data!K$203)</f>
        <v>34.528396000000001</v>
      </c>
      <c r="M154" s="131">
        <f>Data!L$112-SUM(Data!L$92,Data!L$203)</f>
        <v>37.429395999999997</v>
      </c>
      <c r="N154" s="131">
        <f>Data!M$112-SUM(Data!M$92,Data!M$203)</f>
        <v>42.787396000000001</v>
      </c>
      <c r="O154" s="42">
        <f t="shared" ref="O154:X154" ca="1" si="71">SUM(O$150:O$153)</f>
        <v>44.60652319033602</v>
      </c>
      <c r="P154" s="42">
        <f t="shared" ca="1" si="71"/>
        <v>48.154905097149175</v>
      </c>
      <c r="Q154" s="42">
        <f t="shared" ca="1" si="71"/>
        <v>51.955429500413409</v>
      </c>
      <c r="R154" s="42">
        <f t="shared" ca="1" si="71"/>
        <v>55.932785111041682</v>
      </c>
      <c r="S154" s="42">
        <f t="shared" ca="1" si="71"/>
        <v>60.0945463693946</v>
      </c>
      <c r="T154" s="42">
        <f t="shared" ca="1" si="71"/>
        <v>64.436443499108691</v>
      </c>
      <c r="U154" s="42">
        <f t="shared" ca="1" si="71"/>
        <v>68.884476379351952</v>
      </c>
      <c r="V154" s="42">
        <f t="shared" ca="1" si="71"/>
        <v>73.422158729916191</v>
      </c>
      <c r="W154" s="42">
        <f t="shared" ca="1" si="71"/>
        <v>78.011829156616272</v>
      </c>
      <c r="X154" s="42">
        <f t="shared" ca="1" si="71"/>
        <v>82.627175160122107</v>
      </c>
    </row>
    <row r="155" spans="1:24" x14ac:dyDescent="0.2">
      <c r="A155" s="155" t="s">
        <v>628</v>
      </c>
      <c r="B155" s="233"/>
      <c r="C155" s="69"/>
      <c r="D155" s="69">
        <f>ROUND((D$157-D$154)*SUM(Data!C$173:C$175,-Data!C$176,-Data!C$178*2/3)/SUM(Data!C$173:C$175,-Data!C$176,Data!C$177,-Data!C$178),3)</f>
        <v>8.43</v>
      </c>
      <c r="E155" s="69">
        <f>ROUND((E$157-E$154)*SUM(Data!D$173:D$175,-Data!D$176,-Data!D$178*2/3)/SUM(Data!D$173:D$175,-Data!D$176,Data!D$177,-Data!D$178),3)</f>
        <v>9.89</v>
      </c>
      <c r="F155" s="69">
        <f>ROUND((F$157-F$154)*SUM(Data!E$173:E$175,-Data!E$176,-Data!E$178*2/3)/SUM(Data!E$173:E$175,-Data!E$176,Data!E$177,-Data!E$178),3)</f>
        <v>9.452</v>
      </c>
      <c r="G155" s="69">
        <f>ROUND((G$157-G$154)*SUM(Data!F$173:F$175,-Data!F$176,-Data!F$178*2/3)/SUM(Data!F$173:F$175,-Data!F$176,Data!F$177,-Data!F$178),3)</f>
        <v>9.1609999999999996</v>
      </c>
      <c r="H155" s="69">
        <f>ROUND((H$157-H$154)*SUM(Data!G$173:G$175,-Data!G$176,-Data!G$178*2/3)/SUM(Data!G$173:G$175,-Data!G$176,Data!G$177,-Data!G$178),3)</f>
        <v>10.571999999999999</v>
      </c>
      <c r="I155" s="69">
        <f>ROUND((I$157-I$154)*SUM(Data!H$173:H$175,-Data!H$176,-Data!H$178*2/3)/SUM(Data!H$173:H$175,-Data!H$176,Data!H$177,-Data!H$178),3)</f>
        <v>12.996</v>
      </c>
      <c r="J155" s="105">
        <f>ROUND((J$157-J$154)*SUM(Data!I$173:I$175,-Data!I$176,-Data!I$178*2/3)/SUM(Data!I$173:I$175,-Data!I$176,Data!I$177,-Data!I$178),3)</f>
        <v>13.071999999999999</v>
      </c>
      <c r="K155" s="105">
        <f>ROUND((K$157-K$154)*SUM(Data!J$173:J$175,-Data!J$176,-Data!J$178*2/3)/SUM(Data!J$173:J$175,-Data!J$176,Data!J$177,-Data!J$178),3)</f>
        <v>13.851000000000001</v>
      </c>
      <c r="L155" s="105">
        <f>ROUND((L$157-L$154)*SUM(Data!K$173:K$175,-Data!K$176,-Data!K$178*2/3)/SUM(Data!K$173:K$175,-Data!K$176,Data!K$177,-Data!K$178),3)</f>
        <v>14.618</v>
      </c>
      <c r="M155" s="105">
        <f>ROUND((M$157-M$154)*SUM(Data!L$173:L$175,-Data!L$176,-Data!L$178*2/3)/SUM(Data!L$173:L$175,-Data!L$176,Data!L$177,-Data!L$178),3)</f>
        <v>15.404999999999999</v>
      </c>
      <c r="N155" s="105">
        <f>ROUND((N$157-N$154)*SUM(Data!M$173:M$175,-Data!M$176,-Data!M$178*2/3)/SUM(Data!M$173:M$175,-Data!M$176,Data!M$177,-Data!M$178),3)</f>
        <v>16.332999999999998</v>
      </c>
      <c r="O155" s="73">
        <f t="shared" ref="O155:X155" ca="1" si="72">N$155*(1+O$234)</f>
        <v>17.061985740689384</v>
      </c>
      <c r="P155" s="73">
        <f t="shared" ca="1" si="72"/>
        <v>17.829649584831611</v>
      </c>
      <c r="Q155" s="73">
        <f t="shared" ca="1" si="72"/>
        <v>18.652332066465032</v>
      </c>
      <c r="R155" s="73">
        <f t="shared" ca="1" si="72"/>
        <v>19.503506373972485</v>
      </c>
      <c r="S155" s="73">
        <f t="shared" ca="1" si="72"/>
        <v>20.400409589789895</v>
      </c>
      <c r="T155" s="73">
        <f t="shared" ca="1" si="72"/>
        <v>21.33712964026461</v>
      </c>
      <c r="U155" s="73">
        <f t="shared" ca="1" si="72"/>
        <v>22.296890351334334</v>
      </c>
      <c r="V155" s="73">
        <f t="shared" ca="1" si="72"/>
        <v>23.282058514943234</v>
      </c>
      <c r="W155" s="73">
        <f t="shared" ca="1" si="72"/>
        <v>24.297940773447607</v>
      </c>
      <c r="X155" s="73">
        <f t="shared" ca="1" si="72"/>
        <v>25.342474253925033</v>
      </c>
    </row>
    <row r="156" spans="1:24" x14ac:dyDescent="0.2">
      <c r="A156" s="155" t="s">
        <v>629</v>
      </c>
      <c r="B156" s="233"/>
      <c r="C156" s="69"/>
      <c r="D156" s="176">
        <f>ROUND((D$157-D$154)*SUM(Data!C$177,-Data!C$178*1/3)/SUM(Data!C$173:C$175,-Data!C$176,Data!C$177,-Data!C$178),3)</f>
        <v>2.9860000000000002</v>
      </c>
      <c r="E156" s="176">
        <f>ROUND((E$157-E$154)*SUM(Data!D$177,-Data!D$178*1/3)/SUM(Data!D$173:D$175,-Data!D$176,Data!D$177,-Data!D$178),3)</f>
        <v>4.8140000000000001</v>
      </c>
      <c r="F156" s="176">
        <f>ROUND((F$157-F$154)*SUM(Data!E$177,-Data!E$178*1/3)/SUM(Data!E$173:E$175,-Data!E$176,Data!E$177,-Data!E$178),3)</f>
        <v>5.85</v>
      </c>
      <c r="G156" s="176">
        <f>ROUND((G$157-G$154)*SUM(Data!F$177,-Data!F$178*1/3)/SUM(Data!F$173:F$175,-Data!F$176,Data!F$177,-Data!F$178),3)</f>
        <v>5.56</v>
      </c>
      <c r="H156" s="176">
        <f>ROUND((H$157-H$154)*SUM(Data!G$177,-Data!G$178*1/3)/SUM(Data!G$173:G$175,-Data!G$176,Data!G$177,-Data!G$178),3)</f>
        <v>6.1669999999999998</v>
      </c>
      <c r="I156" s="176">
        <f>ROUND((I$157-I$154)*SUM(Data!H$177,-Data!H$178*1/3)/SUM(Data!H$173:H$175,-Data!H$176,Data!H$177,-Data!H$178),3)</f>
        <v>6.1029999999999998</v>
      </c>
      <c r="J156" s="130">
        <f>ROUND((J$157-J$154)*SUM(Data!I$177,-Data!I$178*1/3)/SUM(Data!I$173:I$175,-Data!I$176,Data!I$177,-Data!I$178),3)</f>
        <v>6.774</v>
      </c>
      <c r="K156" s="130">
        <f>ROUND((K$157-K$154)*SUM(Data!J$177,-Data!J$178*1/3)/SUM(Data!J$173:J$175,-Data!J$176,Data!J$177,-Data!J$178),3)</f>
        <v>8.1329999999999991</v>
      </c>
      <c r="L156" s="130">
        <f>ROUND((L$157-L$154)*SUM(Data!K$177,-Data!K$178*1/3)/SUM(Data!K$173:K$175,-Data!K$176,Data!K$177,-Data!K$178),3)</f>
        <v>9.4090000000000007</v>
      </c>
      <c r="M156" s="130">
        <f>ROUND((M$157-M$154)*SUM(Data!L$177,-Data!L$178*1/3)/SUM(Data!L$173:L$175,-Data!L$176,Data!L$177,-Data!L$178),3)</f>
        <v>10.734999999999999</v>
      </c>
      <c r="N156" s="130">
        <f>ROUND((N$157-N$154)*SUM(Data!M$177,-Data!M$178*1/3)/SUM(Data!M$173:M$175,-Data!M$176,Data!M$177,-Data!M$178),3)</f>
        <v>12.041</v>
      </c>
      <c r="O156" s="81">
        <f t="shared" ref="O156:X156" ca="1" si="73">N$156*(1+O$234)</f>
        <v>12.578422231288858</v>
      </c>
      <c r="P156" s="81">
        <f t="shared" ca="1" si="73"/>
        <v>13.144358700236177</v>
      </c>
      <c r="Q156" s="81">
        <f t="shared" ca="1" si="73"/>
        <v>13.750855961079134</v>
      </c>
      <c r="R156" s="81">
        <f t="shared" ca="1" si="73"/>
        <v>14.378357940917329</v>
      </c>
      <c r="S156" s="81">
        <f t="shared" ca="1" si="73"/>
        <v>15.039572146614839</v>
      </c>
      <c r="T156" s="81">
        <f t="shared" ca="1" si="73"/>
        <v>15.730140084395165</v>
      </c>
      <c r="U156" s="81">
        <f t="shared" ca="1" si="73"/>
        <v>16.437694037863025</v>
      </c>
      <c r="V156" s="81">
        <f t="shared" ca="1" si="73"/>
        <v>17.163978851309103</v>
      </c>
      <c r="W156" s="81">
        <f t="shared" ca="1" si="73"/>
        <v>17.912906682978189</v>
      </c>
      <c r="X156" s="81">
        <f t="shared" ca="1" si="73"/>
        <v>18.682956743495467</v>
      </c>
    </row>
    <row r="157" spans="1:24" x14ac:dyDescent="0.2">
      <c r="A157" s="27" t="s">
        <v>319</v>
      </c>
      <c r="B157" s="233"/>
      <c r="C157" s="69"/>
      <c r="D157" s="71">
        <f>SUM(Data!C$60:C$61)</f>
        <v>45.706000000000003</v>
      </c>
      <c r="E157" s="71">
        <f>SUM(Data!D$60:D$61)</f>
        <v>54.152999999999999</v>
      </c>
      <c r="F157" s="71">
        <f>SUM(Data!E$60:E$61)</f>
        <v>56.867999999999995</v>
      </c>
      <c r="G157" s="71">
        <f>SUM(Data!F$60:F$61)</f>
        <v>55.866</v>
      </c>
      <c r="H157" s="71">
        <f>SUM(Data!G$60:G$61)</f>
        <v>63.303999999999995</v>
      </c>
      <c r="I157" s="71">
        <f>SUM(Data!H$60:H$61)</f>
        <v>62.769999999999996</v>
      </c>
      <c r="J157" s="131">
        <f>SUM(Data!I$60:I$61)</f>
        <v>55.701000000000001</v>
      </c>
      <c r="K157" s="131">
        <f>SUM(Data!J$60:J$61)</f>
        <v>60.966999999999999</v>
      </c>
      <c r="L157" s="131">
        <f>SUM(Data!K$60:K$61)</f>
        <v>58.555</v>
      </c>
      <c r="M157" s="131">
        <f>SUM(Data!L$60:L$61)</f>
        <v>63.570000000000007</v>
      </c>
      <c r="N157" s="131">
        <f>SUM(Data!M$60:M$61)</f>
        <v>71.162000000000006</v>
      </c>
      <c r="O157" s="42">
        <f t="shared" ref="O157:X157" ca="1" si="74">SUM(O$154:O$156)</f>
        <v>74.246931162314254</v>
      </c>
      <c r="P157" s="42">
        <f t="shared" ca="1" si="74"/>
        <v>79.128913382216965</v>
      </c>
      <c r="Q157" s="42">
        <f t="shared" ca="1" si="74"/>
        <v>84.358617527957577</v>
      </c>
      <c r="R157" s="42">
        <f t="shared" ca="1" si="74"/>
        <v>89.814649425931492</v>
      </c>
      <c r="S157" s="42">
        <f t="shared" ca="1" si="74"/>
        <v>95.534528105799339</v>
      </c>
      <c r="T157" s="42">
        <f t="shared" ca="1" si="74"/>
        <v>101.50371322376846</v>
      </c>
      <c r="U157" s="42">
        <f t="shared" ca="1" si="74"/>
        <v>107.6190607685493</v>
      </c>
      <c r="V157" s="42">
        <f t="shared" ca="1" si="74"/>
        <v>113.86819609616853</v>
      </c>
      <c r="W157" s="42">
        <f t="shared" ca="1" si="74"/>
        <v>120.22267661304207</v>
      </c>
      <c r="X157" s="42">
        <f t="shared" ca="1" si="74"/>
        <v>126.65260615754261</v>
      </c>
    </row>
    <row r="158" spans="1:24" x14ac:dyDescent="0.2">
      <c r="A158" s="27"/>
      <c r="B158" s="102"/>
      <c r="C158" s="69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</row>
    <row r="159" spans="1:24" x14ac:dyDescent="0.2">
      <c r="A159" s="108" t="s">
        <v>642</v>
      </c>
      <c r="B159" s="42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</row>
    <row r="160" spans="1:24" x14ac:dyDescent="0.2">
      <c r="A160" s="30" t="s">
        <v>134</v>
      </c>
      <c r="B160" s="36"/>
      <c r="C160" s="69"/>
      <c r="D160" s="126">
        <f>Data!C$196</f>
        <v>9.8550000000000004</v>
      </c>
      <c r="E160" s="69">
        <f t="shared" ref="E160:X160" si="75">D$167</f>
        <v>12.973000000000001</v>
      </c>
      <c r="F160" s="69">
        <f t="shared" si="75"/>
        <v>14.212000000000002</v>
      </c>
      <c r="G160" s="69">
        <f t="shared" si="75"/>
        <v>13.688000000000001</v>
      </c>
      <c r="H160" s="69">
        <f t="shared" si="75"/>
        <v>15.656000000000004</v>
      </c>
      <c r="I160" s="69">
        <f t="shared" si="75"/>
        <v>18.652000000000005</v>
      </c>
      <c r="J160" s="105">
        <f t="shared" si="75"/>
        <v>18.703000000000003</v>
      </c>
      <c r="K160" s="105">
        <f t="shared" si="75"/>
        <v>20.69</v>
      </c>
      <c r="L160" s="105">
        <f t="shared" si="75"/>
        <v>22.151000000000003</v>
      </c>
      <c r="M160" s="105">
        <f t="shared" si="75"/>
        <v>23.716000000000005</v>
      </c>
      <c r="N160" s="105">
        <f t="shared" si="75"/>
        <v>25.403000000000006</v>
      </c>
      <c r="O160" s="73">
        <f t="shared" si="75"/>
        <v>27.222000000000008</v>
      </c>
      <c r="P160" s="73">
        <f t="shared" si="75"/>
        <v>29.04963413282859</v>
      </c>
      <c r="Q160" s="73">
        <f t="shared" si="75"/>
        <v>33.183519739105492</v>
      </c>
      <c r="R160" s="73">
        <f t="shared" si="75"/>
        <v>37.642415112983869</v>
      </c>
      <c r="S160" s="73">
        <f t="shared" si="75"/>
        <v>42.325342051019767</v>
      </c>
      <c r="T160" s="73">
        <f t="shared" si="75"/>
        <v>47.242182001760462</v>
      </c>
      <c r="U160" s="73">
        <f t="shared" si="75"/>
        <v>52.386969079282103</v>
      </c>
      <c r="V160" s="73">
        <f t="shared" si="75"/>
        <v>57.660463854309533</v>
      </c>
      <c r="W160" s="73">
        <f t="shared" si="75"/>
        <v>63.040349852459279</v>
      </c>
      <c r="X160" s="73">
        <f t="shared" si="75"/>
        <v>68.475982333820284</v>
      </c>
    </row>
    <row r="161" spans="1:24" x14ac:dyDescent="0.2">
      <c r="A161" s="155" t="s">
        <v>316</v>
      </c>
      <c r="B161" s="233"/>
      <c r="C161" s="69"/>
      <c r="D161" s="69">
        <f>Data!C$197</f>
        <v>2.0490000000000004</v>
      </c>
      <c r="E161" s="69">
        <f>Data!D$197</f>
        <v>2.1040000000000001</v>
      </c>
      <c r="F161" s="69">
        <f>Data!E$197</f>
        <v>2.2429999999999999</v>
      </c>
      <c r="G161" s="69">
        <f>Data!F$197</f>
        <v>0.25</v>
      </c>
      <c r="H161" s="69">
        <f>Data!G$197</f>
        <v>0</v>
      </c>
      <c r="I161" s="69">
        <f>Data!H$197</f>
        <v>0</v>
      </c>
      <c r="J161" s="105">
        <f>Data!I$197</f>
        <v>0</v>
      </c>
      <c r="K161" s="105">
        <f>Data!J$197</f>
        <v>0</v>
      </c>
      <c r="L161" s="105">
        <f>Data!K$197</f>
        <v>0</v>
      </c>
      <c r="M161" s="105">
        <f>Data!L$197</f>
        <v>0</v>
      </c>
      <c r="N161" s="105">
        <f>Data!M$197</f>
        <v>0</v>
      </c>
      <c r="O161" s="73">
        <f>IF(Tracks!R$5=0,Tracks!S$5,N$161*Tracks!S$5/Tracks!R$5)</f>
        <v>0</v>
      </c>
      <c r="P161" s="73">
        <f>IF(Tracks!S$5=0,Tracks!T$5,O$161*Tracks!T$5/Tracks!S$5)</f>
        <v>2.1160000000000001</v>
      </c>
      <c r="Q161" s="73">
        <f>IF(Tracks!T$5=0,Tracks!U$5,P$161*Tracks!U$5/Tracks!T$5)</f>
        <v>2.1619999999999999</v>
      </c>
      <c r="R161" s="73">
        <f>IF(Tracks!U$5=0,Tracks!V$5,Q$161*Tracks!V$5/Tracks!U$5)</f>
        <v>2.089</v>
      </c>
      <c r="S161" s="73">
        <f>IF(Tracks!V$5=0,Tracks!W$5,R$161*Tracks!W$5/Tracks!V$5)</f>
        <v>2.0110000000000001</v>
      </c>
      <c r="T161" s="73">
        <f>IF(Tracks!W$5=0,Tracks!X$5,S$161*Tracks!X$5/Tracks!W$5)</f>
        <v>1.9119999999999999</v>
      </c>
      <c r="U161" s="73">
        <f>IF(Tracks!X$5=0,Tracks!Y$5,T$161*Tracks!Y$5/Tracks!X$5)</f>
        <v>1.702</v>
      </c>
      <c r="V161" s="73">
        <f>IF(Tracks!Y$5=0,Tracks!Z$5,U$161*Tracks!Z$5/Tracks!Y$5)</f>
        <v>1.462</v>
      </c>
      <c r="W161" s="73">
        <f>IF(Tracks!Z$5=0,Tracks!AA$5,V$161*Tracks!AA$5/Tracks!Z$5)</f>
        <v>1.1659999999999999</v>
      </c>
      <c r="X161" s="73">
        <f>IF(Tracks!AA$5=0,Tracks!AB$5,W$161*Tracks!AB$5/Tracks!AA$5)</f>
        <v>0.83199999999999996</v>
      </c>
    </row>
    <row r="162" spans="1:24" x14ac:dyDescent="0.2">
      <c r="A162" s="155" t="s">
        <v>637</v>
      </c>
      <c r="B162" s="233"/>
      <c r="C162" s="69"/>
      <c r="D162" s="69">
        <f>Data!C$192</f>
        <v>0.436</v>
      </c>
      <c r="E162" s="69">
        <f>Data!D$192</f>
        <v>0.38500000000000001</v>
      </c>
      <c r="F162" s="69">
        <f>Data!E$192</f>
        <v>0.38300000000000001</v>
      </c>
      <c r="G162" s="69">
        <f>Data!F$192</f>
        <v>0.433</v>
      </c>
      <c r="H162" s="69">
        <f>Data!G$192</f>
        <v>0.51800000000000002</v>
      </c>
      <c r="I162" s="69">
        <f>Data!H$192</f>
        <v>0.53900000000000003</v>
      </c>
      <c r="J162" s="105">
        <f>Data!I$192</f>
        <v>0.64200000000000002</v>
      </c>
      <c r="K162" s="105">
        <f>Data!J$192</f>
        <v>0.66500000000000004</v>
      </c>
      <c r="L162" s="105">
        <f>Data!K$192</f>
        <v>0.69299999999999995</v>
      </c>
      <c r="M162" s="105">
        <f>Data!L$192</f>
        <v>0.73799999999999999</v>
      </c>
      <c r="N162" s="105">
        <f>Data!M$192</f>
        <v>0.78600000000000003</v>
      </c>
      <c r="O162" s="73">
        <f>N$162*Tracks!S$6/Tracks!R$6</f>
        <v>0.78723800850701842</v>
      </c>
      <c r="P162" s="73">
        <f>O$162*Tracks!T$6/Tracks!S$6</f>
        <v>0.86918722820186856</v>
      </c>
      <c r="Q162" s="73">
        <f>P$162*Tracks!U$6/Tracks!T$6</f>
        <v>0.98936833548982239</v>
      </c>
      <c r="R162" s="73">
        <f>Q$162*Tracks!V$6/Tracks!U$6</f>
        <v>1.1173121798462347</v>
      </c>
      <c r="S162" s="73">
        <f>R$162*Tracks!W$6/Tracks!V$6</f>
        <v>1.251666082817567</v>
      </c>
      <c r="T162" s="73">
        <f>S$162*Tracks!X$6/Tracks!W$6</f>
        <v>1.3924958037944746</v>
      </c>
      <c r="U162" s="73">
        <f>T$162*Tracks!Y$6/Tracks!X$6</f>
        <v>1.5383912915515279</v>
      </c>
      <c r="V162" s="73">
        <f>U$162*Tracks!Z$6/Tracks!Y$6</f>
        <v>1.6875963932493525</v>
      </c>
      <c r="W162" s="73">
        <f>V$162*Tracks!AA$6/Tracks!Z$6</f>
        <v>1.8391082281230104</v>
      </c>
      <c r="X162" s="73">
        <f>W$162*Tracks!AB$6/Tracks!AA$6</f>
        <v>1.9917096961898439</v>
      </c>
    </row>
    <row r="163" spans="1:24" x14ac:dyDescent="0.2">
      <c r="A163" s="155" t="s">
        <v>641</v>
      </c>
      <c r="B163" s="233"/>
      <c r="C163" s="69"/>
      <c r="D163" s="69">
        <f>Data!C$195</f>
        <v>1.3129999999999999</v>
      </c>
      <c r="E163" s="69">
        <f>Data!D$195</f>
        <v>-0.995</v>
      </c>
      <c r="F163" s="69">
        <f>Data!E$195</f>
        <v>-3.4950000000000001</v>
      </c>
      <c r="G163" s="69">
        <f>Data!F$195</f>
        <v>1.75</v>
      </c>
      <c r="H163" s="69">
        <f>Data!G$195</f>
        <v>3.5179999999999998</v>
      </c>
      <c r="I163" s="69">
        <f>Data!H$195</f>
        <v>-0.20399999999999999</v>
      </c>
      <c r="J163" s="105">
        <f>Data!I$195</f>
        <v>2.11</v>
      </c>
      <c r="K163" s="105">
        <f>Data!J$195</f>
        <v>1.3819999999999999</v>
      </c>
      <c r="L163" s="105">
        <f>Data!K$195</f>
        <v>1.4950000000000001</v>
      </c>
      <c r="M163" s="105">
        <f>Data!L$195</f>
        <v>1.62</v>
      </c>
      <c r="N163" s="105">
        <f>Data!M$195</f>
        <v>1.7569999999999999</v>
      </c>
      <c r="O163" s="73">
        <f>N$163*Tracks!S$6/Tracks!R$6</f>
        <v>1.7597674057847725</v>
      </c>
      <c r="P163" s="73">
        <f>O$163*Tracks!T$6/Tracks!S$6</f>
        <v>1.9429541475199528</v>
      </c>
      <c r="Q163" s="73">
        <f>P$163*Tracks!U$6/Tracks!T$6</f>
        <v>2.2116032639384451</v>
      </c>
      <c r="R163" s="73">
        <f>Q$163*Tracks!V$6/Tracks!U$6</f>
        <v>2.4976049618191274</v>
      </c>
      <c r="S163" s="73">
        <f>R$163*Tracks!W$6/Tracks!V$6</f>
        <v>2.7979355057385051</v>
      </c>
      <c r="T163" s="73">
        <f>S$163*Tracks!X$6/Tracks!W$6</f>
        <v>3.1127418921970631</v>
      </c>
      <c r="U163" s="73">
        <f>T$163*Tracks!Y$6/Tracks!X$6</f>
        <v>3.438872136458059</v>
      </c>
      <c r="V163" s="73">
        <f>U$163*Tracks!Z$6/Tracks!Y$6</f>
        <v>3.7724005889810592</v>
      </c>
      <c r="W163" s="73">
        <f>V$163*Tracks!AA$6/Tracks!Z$6</f>
        <v>4.1110854412368063</v>
      </c>
      <c r="X163" s="73">
        <f>W$163*Tracks!AB$6/Tracks!AA$6</f>
        <v>4.4522060257068148</v>
      </c>
    </row>
    <row r="164" spans="1:24" x14ac:dyDescent="0.2">
      <c r="A164" s="161" t="s">
        <v>639</v>
      </c>
      <c r="B164" s="233"/>
      <c r="C164" s="69"/>
      <c r="D164" s="69">
        <f>Data!C$193</f>
        <v>-5.1999999999999998E-2</v>
      </c>
      <c r="E164" s="69">
        <f>Data!D$193</f>
        <v>3.4000000000000002E-2</v>
      </c>
      <c r="F164" s="69">
        <f>Data!E$193</f>
        <v>-0.32300000000000001</v>
      </c>
      <c r="G164" s="69">
        <f>Data!F$193</f>
        <v>0.502</v>
      </c>
      <c r="H164" s="69">
        <f>Data!G$193</f>
        <v>0.16900000000000001</v>
      </c>
      <c r="I164" s="69">
        <f>Data!H$193</f>
        <v>0.13200000000000001</v>
      </c>
      <c r="J164" s="105">
        <f>Data!I$193</f>
        <v>0.182</v>
      </c>
      <c r="K164" s="105">
        <f>Data!J$193</f>
        <v>0.16</v>
      </c>
      <c r="L164" s="105">
        <f>Data!K$193</f>
        <v>0.16400000000000001</v>
      </c>
      <c r="M164" s="105">
        <f>Data!L$193</f>
        <v>0.17799999999999999</v>
      </c>
      <c r="N164" s="105">
        <f>Data!M$193</f>
        <v>0.192</v>
      </c>
      <c r="O164" s="73">
        <f>N$164*Tracks!S$6/Tracks!R$6</f>
        <v>0.19230241429179074</v>
      </c>
      <c r="P164" s="73">
        <f>O$164*Tracks!T$6/Tracks!S$6</f>
        <v>0.21232054429358618</v>
      </c>
      <c r="Q164" s="73">
        <f>P$164*Tracks!U$6/Tracks!T$6</f>
        <v>0.24167776134102528</v>
      </c>
      <c r="R164" s="73">
        <f>Q$164*Tracks!V$6/Tracks!U$6</f>
        <v>0.27293121950442367</v>
      </c>
      <c r="S164" s="73">
        <f>R$164*Tracks!W$6/Tracks!V$6</f>
        <v>0.30575049351268802</v>
      </c>
      <c r="T164" s="73">
        <f>S$164*Tracks!X$6/Tracks!W$6</f>
        <v>0.34015164672842113</v>
      </c>
      <c r="U164" s="73">
        <f>T$164*Tracks!Y$6/Tracks!X$6</f>
        <v>0.37579023915762499</v>
      </c>
      <c r="V164" s="73">
        <f>U$164*Tracks!Z$6/Tracks!Y$6</f>
        <v>0.41223728690060502</v>
      </c>
      <c r="W164" s="73">
        <f>V$164*Tracks!AA$6/Tracks!Z$6</f>
        <v>0.44924781144989551</v>
      </c>
      <c r="X164" s="73">
        <f>W$164*Tracks!AB$6/Tracks!AA$6</f>
        <v>0.48652450593950375</v>
      </c>
    </row>
    <row r="165" spans="1:24" x14ac:dyDescent="0.2">
      <c r="A165" s="161" t="s">
        <v>638</v>
      </c>
      <c r="B165" s="233"/>
      <c r="C165" s="69"/>
      <c r="D165" s="69">
        <f>Data!C$194</f>
        <v>0.70699999999999996</v>
      </c>
      <c r="E165" s="69">
        <f>Data!D$194</f>
        <v>0.23699999999999999</v>
      </c>
      <c r="F165" s="69">
        <f>Data!E$194</f>
        <v>4.0000000000000001E-3</v>
      </c>
      <c r="G165" s="69">
        <f>Data!F$194</f>
        <v>-2.7E-2</v>
      </c>
      <c r="H165" s="69">
        <f>Data!G$194</f>
        <v>0.872</v>
      </c>
      <c r="I165" s="69">
        <f>Data!H$194</f>
        <v>0.16</v>
      </c>
      <c r="J165" s="105">
        <f>Data!I$194</f>
        <v>0.60199999999999998</v>
      </c>
      <c r="K165" s="105">
        <f>Data!J$194</f>
        <v>0.45600000000000002</v>
      </c>
      <c r="L165" s="105">
        <f>Data!K$194</f>
        <v>0.49</v>
      </c>
      <c r="M165" s="105">
        <f>Data!L$194</f>
        <v>0.52800000000000002</v>
      </c>
      <c r="N165" s="105">
        <f>Data!M$194</f>
        <v>0.56999999999999995</v>
      </c>
      <c r="O165" s="73">
        <f>N$165*Tracks!S$7/Tracks!R$7</f>
        <v>0.56512872000000003</v>
      </c>
      <c r="P165" s="73">
        <f>O$165*Tracks!T$7/Tracks!S$7</f>
        <v>0.62395699954277639</v>
      </c>
      <c r="Q165" s="73">
        <f>P$165*Tracks!U$7/Tracks!T$7</f>
        <v>0.7102305211409381</v>
      </c>
      <c r="R165" s="73">
        <f>Q$165*Tracks!V$7/Tracks!U$7</f>
        <v>0.80207662131862512</v>
      </c>
      <c r="S165" s="73">
        <f>R$165*Tracks!W$7/Tracks!V$7</f>
        <v>0.89852426281041209</v>
      </c>
      <c r="T165" s="73">
        <f>S$165*Tracks!X$7/Tracks!W$7</f>
        <v>0.99962065182314763</v>
      </c>
      <c r="U165" s="73">
        <f>T$165*Tracks!Y$7/Tracks!X$7</f>
        <v>1.1043535653244705</v>
      </c>
      <c r="V165" s="73">
        <f>U$165*Tracks!Z$7/Tracks!Y$7</f>
        <v>1.2114623268791531</v>
      </c>
      <c r="W165" s="73">
        <f>V$165*Tracks!AA$7/Tracks!Z$7</f>
        <v>1.3202270058983805</v>
      </c>
      <c r="X165" s="73">
        <f>W$165*Tracks!AB$7/Tracks!AA$7</f>
        <v>1.4297738918297167</v>
      </c>
    </row>
    <row r="166" spans="1:24" x14ac:dyDescent="0.2">
      <c r="A166" s="155" t="s">
        <v>640</v>
      </c>
      <c r="B166" s="233"/>
      <c r="C166" s="69"/>
      <c r="D166" s="176">
        <f>Data!C$198</f>
        <v>-2.5000000000000001E-2</v>
      </c>
      <c r="E166" s="176">
        <f>Data!D$198</f>
        <v>1.6E-2</v>
      </c>
      <c r="F166" s="176">
        <f>Data!E$198</f>
        <v>2.5999999999999999E-2</v>
      </c>
      <c r="G166" s="176">
        <f>Data!F$198</f>
        <v>0.01</v>
      </c>
      <c r="H166" s="176">
        <f>Data!G$198</f>
        <v>1E-3</v>
      </c>
      <c r="I166" s="176">
        <f>Data!H$198</f>
        <v>8.0000000000000002E-3</v>
      </c>
      <c r="J166" s="130">
        <f>Data!I$198</f>
        <v>1.9E-2</v>
      </c>
      <c r="K166" s="130">
        <f>Data!J$198</f>
        <v>0.03</v>
      </c>
      <c r="L166" s="130">
        <f>Data!K$198</f>
        <v>3.1E-2</v>
      </c>
      <c r="M166" s="130">
        <f>Data!L$198</f>
        <v>3.5000000000000003E-2</v>
      </c>
      <c r="N166" s="130">
        <f>Data!M$198</f>
        <v>3.7999999999999999E-2</v>
      </c>
      <c r="O166" s="278">
        <f>N$166*Tracks!S$8/Tracks!R$8</f>
        <v>3.8059852828583582E-2</v>
      </c>
      <c r="P166" s="278">
        <f>O$166*Tracks!T$8/Tracks!S$8</f>
        <v>4.2021774391438928E-2</v>
      </c>
      <c r="Q166" s="278">
        <f>P$166*Tracks!U$8/Tracks!T$8</f>
        <v>4.783205693207792E-2</v>
      </c>
      <c r="R166" s="278">
        <f>Q$166*Tracks!V$8/Tracks!U$8</f>
        <v>5.4017637193583858E-2</v>
      </c>
      <c r="S166" s="278">
        <f>R$166*Tracks!W$8/Tracks!V$8</f>
        <v>6.0513118507719517E-2</v>
      </c>
      <c r="T166" s="278">
        <f>S$166*Tracks!X$8/Tracks!W$8</f>
        <v>6.7321680081666696E-2</v>
      </c>
      <c r="U166" s="278">
        <f>T$166*Tracks!Y$8/Tracks!X$8</f>
        <v>7.4375151499946626E-2</v>
      </c>
      <c r="V166" s="278">
        <f>U$166*Tracks!Z$8/Tracks!Y$8</f>
        <v>8.1588629699078097E-2</v>
      </c>
      <c r="W166" s="278">
        <f>V$166*Tracks!AA$8/Tracks!Z$8</f>
        <v>8.8913629349458512E-2</v>
      </c>
      <c r="X166" s="278">
        <f>W$166*Tracks!AB$8/Tracks!AA$8</f>
        <v>9.629130846719347E-2</v>
      </c>
    </row>
    <row r="167" spans="1:24" x14ac:dyDescent="0.2">
      <c r="A167" s="27" t="s">
        <v>135</v>
      </c>
      <c r="B167" s="36"/>
      <c r="C167" s="69"/>
      <c r="D167" s="71">
        <f t="shared" ref="D167:I167" si="76">SUM(D$160:D$163,D$166)-SUM(D$164:D$165)</f>
        <v>12.973000000000001</v>
      </c>
      <c r="E167" s="71">
        <f t="shared" si="76"/>
        <v>14.212000000000002</v>
      </c>
      <c r="F167" s="71">
        <f t="shared" si="76"/>
        <v>13.688000000000001</v>
      </c>
      <c r="G167" s="71">
        <f t="shared" si="76"/>
        <v>15.656000000000004</v>
      </c>
      <c r="H167" s="71">
        <f t="shared" si="76"/>
        <v>18.652000000000005</v>
      </c>
      <c r="I167" s="71">
        <f t="shared" si="76"/>
        <v>18.703000000000003</v>
      </c>
      <c r="J167" s="131">
        <f t="shared" ref="J167:X167" si="77">SUM(J$160:J$163,J$166)-SUM(J$164:J$165)</f>
        <v>20.69</v>
      </c>
      <c r="K167" s="131">
        <f t="shared" si="77"/>
        <v>22.151000000000003</v>
      </c>
      <c r="L167" s="131">
        <f t="shared" si="77"/>
        <v>23.716000000000005</v>
      </c>
      <c r="M167" s="131">
        <f t="shared" si="77"/>
        <v>25.403000000000006</v>
      </c>
      <c r="N167" s="131">
        <f t="shared" si="77"/>
        <v>27.222000000000008</v>
      </c>
      <c r="O167" s="75">
        <f t="shared" si="77"/>
        <v>29.04963413282859</v>
      </c>
      <c r="P167" s="75">
        <f t="shared" si="77"/>
        <v>33.183519739105492</v>
      </c>
      <c r="Q167" s="75">
        <f t="shared" si="77"/>
        <v>37.642415112983869</v>
      </c>
      <c r="R167" s="75">
        <f t="shared" si="77"/>
        <v>42.325342051019767</v>
      </c>
      <c r="S167" s="75">
        <f t="shared" si="77"/>
        <v>47.242182001760462</v>
      </c>
      <c r="T167" s="75">
        <f t="shared" si="77"/>
        <v>52.386969079282103</v>
      </c>
      <c r="U167" s="75">
        <f t="shared" si="77"/>
        <v>57.660463854309533</v>
      </c>
      <c r="V167" s="75">
        <f t="shared" si="77"/>
        <v>63.040349852459279</v>
      </c>
      <c r="W167" s="75">
        <f t="shared" si="77"/>
        <v>68.475982333820284</v>
      </c>
      <c r="X167" s="75">
        <f t="shared" si="77"/>
        <v>73.931890966414898</v>
      </c>
    </row>
    <row r="168" spans="1:24" x14ac:dyDescent="0.2">
      <c r="A168" s="108" t="s">
        <v>663</v>
      </c>
      <c r="B168" s="42"/>
      <c r="C168" s="69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">
      <c r="A169" s="225" t="s">
        <v>698</v>
      </c>
      <c r="B169" s="233"/>
      <c r="C169" s="69"/>
      <c r="D169" s="69">
        <f>Data!C$201</f>
        <v>0.11899999999999999</v>
      </c>
      <c r="E169" s="69">
        <f>Data!D$201</f>
        <v>9.7000000000000003E-2</v>
      </c>
      <c r="F169" s="69">
        <f>Data!E$201</f>
        <v>7.6999999999999999E-2</v>
      </c>
      <c r="G169" s="69">
        <f>Data!F$201</f>
        <v>8.1000000000000003E-2</v>
      </c>
      <c r="H169" s="69">
        <f>Data!G$201</f>
        <v>0.111</v>
      </c>
      <c r="I169" s="69">
        <f>Data!H$201</f>
        <v>7.6999999999999999E-2</v>
      </c>
      <c r="J169" s="105">
        <f>Data!I$201</f>
        <v>0.14099999999999999</v>
      </c>
      <c r="K169" s="105">
        <f>Data!J$201</f>
        <v>0.12</v>
      </c>
      <c r="L169" s="105">
        <f>Data!K$201</f>
        <v>0.125</v>
      </c>
      <c r="M169" s="105">
        <f>Data!L$201</f>
        <v>0.13700000000000001</v>
      </c>
      <c r="N169" s="105">
        <f>Data!M$201</f>
        <v>0.15</v>
      </c>
      <c r="O169" s="73">
        <f t="shared" ref="O169:X169" si="78">N$169*O$164/N$164</f>
        <v>0.15023626116546149</v>
      </c>
      <c r="P169" s="73">
        <f t="shared" si="78"/>
        <v>0.16587542522936419</v>
      </c>
      <c r="Q169" s="73">
        <f t="shared" si="78"/>
        <v>0.18881075104767597</v>
      </c>
      <c r="R169" s="73">
        <f t="shared" si="78"/>
        <v>0.21322751523783098</v>
      </c>
      <c r="S169" s="73">
        <f t="shared" si="78"/>
        <v>0.23886757305678749</v>
      </c>
      <c r="T169" s="73">
        <f t="shared" si="78"/>
        <v>0.26574347400657899</v>
      </c>
      <c r="U169" s="73">
        <f t="shared" si="78"/>
        <v>0.29358612434189452</v>
      </c>
      <c r="V169" s="73">
        <f t="shared" si="78"/>
        <v>0.32206038039109763</v>
      </c>
      <c r="W169" s="73">
        <f t="shared" si="78"/>
        <v>0.35097485269523088</v>
      </c>
      <c r="X169" s="73">
        <f t="shared" si="78"/>
        <v>0.38009727026523732</v>
      </c>
    </row>
    <row r="170" spans="1:24" x14ac:dyDescent="0.2">
      <c r="A170" s="225" t="s">
        <v>662</v>
      </c>
      <c r="B170" s="233"/>
      <c r="C170" s="69"/>
      <c r="D170" s="69">
        <f>Data!C$90</f>
        <v>11.576000000000001</v>
      </c>
      <c r="E170" s="69">
        <f>Data!D$90</f>
        <v>12.933999999999999</v>
      </c>
      <c r="F170" s="69">
        <f>Data!E$90</f>
        <v>11.486000000000001</v>
      </c>
      <c r="G170" s="69">
        <f>Data!F$90</f>
        <v>14.189</v>
      </c>
      <c r="H170" s="69">
        <f>Data!G$90</f>
        <v>16.158999999999999</v>
      </c>
      <c r="I170" s="69">
        <f>Data!H$90</f>
        <v>17.196000000000002</v>
      </c>
      <c r="J170" s="105">
        <f>Data!I$90</f>
        <v>19.666</v>
      </c>
      <c r="K170" s="105">
        <f>Data!J$90</f>
        <v>21.294</v>
      </c>
      <c r="L170" s="105">
        <f>Data!K$90</f>
        <v>22.972999999999999</v>
      </c>
      <c r="M170" s="105">
        <f>Data!L$90</f>
        <v>24.82</v>
      </c>
      <c r="N170" s="105">
        <f>Data!M$90</f>
        <v>26.693000000000001</v>
      </c>
      <c r="O170" s="73">
        <f t="shared" ref="O170:X170" si="79">IF(O$2="Proj Yr1",N$170+N$226,N$170)*O$167/N$167</f>
        <v>27.299527602160783</v>
      </c>
      <c r="P170" s="73">
        <f t="shared" si="79"/>
        <v>31.184365658871371</v>
      </c>
      <c r="Q170" s="73">
        <f t="shared" si="79"/>
        <v>35.374633143059036</v>
      </c>
      <c r="R170" s="73">
        <f t="shared" si="79"/>
        <v>39.775435322503391</v>
      </c>
      <c r="S170" s="73">
        <f t="shared" si="79"/>
        <v>44.39605833403261</v>
      </c>
      <c r="T170" s="73">
        <f t="shared" si="79"/>
        <v>49.230895708845573</v>
      </c>
      <c r="U170" s="73">
        <f t="shared" si="79"/>
        <v>54.186686735763203</v>
      </c>
      <c r="V170" s="73">
        <f t="shared" si="79"/>
        <v>59.242459405099282</v>
      </c>
      <c r="W170" s="73">
        <f t="shared" si="79"/>
        <v>64.350620089037903</v>
      </c>
      <c r="X170" s="73">
        <f t="shared" si="79"/>
        <v>69.477835379576263</v>
      </c>
    </row>
    <row r="171" spans="1:24" x14ac:dyDescent="0.2">
      <c r="A171" s="31"/>
      <c r="B171" s="36"/>
      <c r="C171" s="69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1:24" x14ac:dyDescent="0.2">
      <c r="A172" s="108" t="s">
        <v>656</v>
      </c>
      <c r="B172" s="36"/>
      <c r="C172" s="69"/>
      <c r="D172" s="69"/>
      <c r="E172" s="69"/>
      <c r="F172" s="69"/>
      <c r="G172" s="105"/>
      <c r="H172" s="105"/>
      <c r="I172" s="105"/>
      <c r="J172" s="105"/>
      <c r="K172" s="105"/>
      <c r="L172" s="105"/>
    </row>
    <row r="173" spans="1:24" x14ac:dyDescent="0.2">
      <c r="A173" s="280" t="s">
        <v>833</v>
      </c>
      <c r="B173" s="273"/>
      <c r="C173" s="69"/>
      <c r="D173" s="271">
        <f>Data!C$92-D$175</f>
        <v>3.0759999999999996</v>
      </c>
      <c r="E173" s="271">
        <f>Data!D$92-E$175</f>
        <v>3.5359999999999996</v>
      </c>
      <c r="F173" s="271">
        <f>Data!E$92-F$175</f>
        <v>3.8760000000000003</v>
      </c>
      <c r="G173" s="271">
        <f>Data!F$92-G$175</f>
        <v>4.0770000000000035</v>
      </c>
      <c r="H173" s="271">
        <f>Data!G$92-H$175</f>
        <v>4.6190000000000033</v>
      </c>
      <c r="I173" s="271">
        <f>Data!H$92-I$175</f>
        <v>5.033000000000003</v>
      </c>
      <c r="J173" s="105">
        <f>Data!I$92-J$175</f>
        <v>5.0850000000000026</v>
      </c>
      <c r="K173" s="105">
        <f>Data!J$92-K$175</f>
        <v>5.2900000000000027</v>
      </c>
      <c r="L173" s="105">
        <f>Data!K$92-L$175</f>
        <v>5.6330000000000027</v>
      </c>
      <c r="M173" s="105">
        <f>Data!L$92-M$175</f>
        <v>6.1490000000000027</v>
      </c>
      <c r="N173" s="105">
        <f>Data!M$92-N$175</f>
        <v>6.0560000000000027</v>
      </c>
      <c r="O173" s="267">
        <f t="shared" ref="O173:X173" ca="1" si="80">N$173*(1+O$236)</f>
        <v>6.1780398987341796</v>
      </c>
      <c r="P173" s="267">
        <f t="shared" ca="1" si="80"/>
        <v>6.3016006967088636</v>
      </c>
      <c r="Q173" s="267">
        <f t="shared" ca="1" si="80"/>
        <v>6.4276327106430413</v>
      </c>
      <c r="R173" s="267">
        <f t="shared" ca="1" si="80"/>
        <v>6.5561853648559021</v>
      </c>
      <c r="S173" s="267">
        <f t="shared" ca="1" si="80"/>
        <v>6.6873090721530204</v>
      </c>
      <c r="T173" s="267">
        <f t="shared" ca="1" si="80"/>
        <v>6.8210552535960813</v>
      </c>
      <c r="U173" s="267">
        <f t="shared" ca="1" si="80"/>
        <v>6.9574763586680035</v>
      </c>
      <c r="V173" s="267">
        <f t="shared" ca="1" si="80"/>
        <v>7.0966258858413633</v>
      </c>
      <c r="W173" s="267">
        <f t="shared" ca="1" si="80"/>
        <v>7.2385584035581907</v>
      </c>
      <c r="X173" s="267">
        <f t="shared" ca="1" si="80"/>
        <v>7.3833295716293543</v>
      </c>
    </row>
    <row r="174" spans="1:24" x14ac:dyDescent="0.2">
      <c r="A174" s="280" t="s">
        <v>834</v>
      </c>
      <c r="B174" s="273"/>
      <c r="C174" s="69"/>
      <c r="D174" s="271">
        <f>Data!C$203</f>
        <v>0</v>
      </c>
      <c r="E174" s="271">
        <f>Data!D$203</f>
        <v>0</v>
      </c>
      <c r="F174" s="271">
        <f>Data!E$203</f>
        <v>0</v>
      </c>
      <c r="G174" s="271">
        <f>Data!F$203</f>
        <v>0.22</v>
      </c>
      <c r="H174" s="271">
        <f>Data!G$203</f>
        <v>0.36799999999999999</v>
      </c>
      <c r="I174" s="271">
        <f>Data!H$203</f>
        <v>0.25600000000000001</v>
      </c>
      <c r="J174" s="105">
        <f>Data!I$203</f>
        <v>0.259604</v>
      </c>
      <c r="K174" s="105">
        <f>Data!J$203</f>
        <v>0.259604</v>
      </c>
      <c r="L174" s="105">
        <f>Data!K$203</f>
        <v>0.259604</v>
      </c>
      <c r="M174" s="105">
        <f>Data!L$203</f>
        <v>0.259604</v>
      </c>
      <c r="N174" s="105">
        <f>Data!M$203</f>
        <v>0.259604</v>
      </c>
      <c r="O174" s="267">
        <f t="shared" ref="O174:X174" si="81">N$174*O$167/N$167</f>
        <v>0.27703332669968522</v>
      </c>
      <c r="P174" s="267">
        <f t="shared" si="81"/>
        <v>0.3164563389299368</v>
      </c>
      <c r="Q174" s="267">
        <f t="shared" si="81"/>
        <v>0.35897882348802662</v>
      </c>
      <c r="R174" s="267">
        <f t="shared" si="81"/>
        <v>0.40363779655473264</v>
      </c>
      <c r="S174" s="267">
        <f t="shared" si="81"/>
        <v>0.45052749307122986</v>
      </c>
      <c r="T174" s="267">
        <f t="shared" si="81"/>
        <v>0.49959101906024339</v>
      </c>
      <c r="U174" s="267">
        <f t="shared" si="81"/>
        <v>0.54988197261164373</v>
      </c>
      <c r="V174" s="267">
        <f t="shared" si="81"/>
        <v>0.60118753152221838</v>
      </c>
      <c r="W174" s="267">
        <f t="shared" si="81"/>
        <v>0.65302471963077913</v>
      </c>
      <c r="X174" s="267">
        <f t="shared" si="81"/>
        <v>0.70505527229612663</v>
      </c>
    </row>
    <row r="175" spans="1:24" x14ac:dyDescent="0.2">
      <c r="A175" s="280" t="s">
        <v>657</v>
      </c>
      <c r="B175" s="274"/>
      <c r="C175" s="69"/>
      <c r="D175" s="277">
        <f>D$187</f>
        <v>6.0110000000000001</v>
      </c>
      <c r="E175" s="277">
        <f t="shared" ref="E175:X175" si="82">E$187</f>
        <v>6.7409999999999997</v>
      </c>
      <c r="F175" s="277">
        <f t="shared" si="82"/>
        <v>6.5529999999999999</v>
      </c>
      <c r="G175" s="277">
        <f t="shared" si="82"/>
        <v>6.7899999999999974</v>
      </c>
      <c r="H175" s="277">
        <f t="shared" si="82"/>
        <v>7.4599999999999973</v>
      </c>
      <c r="I175" s="277">
        <f t="shared" si="82"/>
        <v>8.2909999999999968</v>
      </c>
      <c r="J175" s="130">
        <f t="shared" si="82"/>
        <v>8.8129999999999971</v>
      </c>
      <c r="K175" s="130">
        <f t="shared" si="82"/>
        <v>9.2679999999999971</v>
      </c>
      <c r="L175" s="130">
        <f t="shared" si="82"/>
        <v>9.7199999999999971</v>
      </c>
      <c r="M175" s="130">
        <f t="shared" si="82"/>
        <v>10.195999999999996</v>
      </c>
      <c r="N175" s="130">
        <f t="shared" si="82"/>
        <v>10.692999999999996</v>
      </c>
      <c r="O175" s="278">
        <f t="shared" ca="1" si="82"/>
        <v>11.118044676289218</v>
      </c>
      <c r="P175" s="278">
        <f t="shared" ca="1" si="82"/>
        <v>11.51829048547711</v>
      </c>
      <c r="Q175" s="278">
        <f t="shared" ca="1" si="82"/>
        <v>11.905323565512713</v>
      </c>
      <c r="R175" s="278">
        <f t="shared" ca="1" si="82"/>
        <v>12.289150486927204</v>
      </c>
      <c r="S175" s="278">
        <f t="shared" ca="1" si="82"/>
        <v>12.674593563717877</v>
      </c>
      <c r="T175" s="278">
        <f t="shared" ca="1" si="82"/>
        <v>13.062586877125076</v>
      </c>
      <c r="U175" s="278">
        <f t="shared" ca="1" si="82"/>
        <v>13.45582013604783</v>
      </c>
      <c r="V175" s="278">
        <f t="shared" ca="1" si="82"/>
        <v>13.852597487052909</v>
      </c>
      <c r="W175" s="278">
        <f t="shared" ca="1" si="82"/>
        <v>14.277222201641703</v>
      </c>
      <c r="X175" s="278">
        <f t="shared" ca="1" si="82"/>
        <v>14.731559975647624</v>
      </c>
    </row>
    <row r="176" spans="1:24" x14ac:dyDescent="0.2">
      <c r="A176" s="269" t="s">
        <v>658</v>
      </c>
      <c r="B176" s="271"/>
      <c r="C176" s="69"/>
      <c r="D176" s="276">
        <f>SUM(D$173:D$175)</f>
        <v>9.0869999999999997</v>
      </c>
      <c r="E176" s="276">
        <f t="shared" ref="E176:X176" si="83">SUM(E$173:E$175)</f>
        <v>10.276999999999999</v>
      </c>
      <c r="F176" s="276">
        <f t="shared" si="83"/>
        <v>10.429</v>
      </c>
      <c r="G176" s="276">
        <f t="shared" si="83"/>
        <v>11.087</v>
      </c>
      <c r="H176" s="276">
        <f t="shared" si="83"/>
        <v>12.447000000000001</v>
      </c>
      <c r="I176" s="276">
        <f t="shared" si="83"/>
        <v>13.58</v>
      </c>
      <c r="J176" s="131">
        <f t="shared" si="83"/>
        <v>14.157603999999999</v>
      </c>
      <c r="K176" s="131">
        <f t="shared" si="83"/>
        <v>14.817603999999999</v>
      </c>
      <c r="L176" s="131">
        <f t="shared" si="83"/>
        <v>15.612604000000001</v>
      </c>
      <c r="M176" s="131">
        <f t="shared" si="83"/>
        <v>16.604603999999998</v>
      </c>
      <c r="N176" s="131">
        <f t="shared" si="83"/>
        <v>17.008603999999998</v>
      </c>
      <c r="O176" s="279">
        <f t="shared" ca="1" si="83"/>
        <v>17.573117901723084</v>
      </c>
      <c r="P176" s="279">
        <f t="shared" ca="1" si="83"/>
        <v>18.136347521115908</v>
      </c>
      <c r="Q176" s="279">
        <f t="shared" ca="1" si="83"/>
        <v>18.691935099643782</v>
      </c>
      <c r="R176" s="279">
        <f t="shared" ca="1" si="83"/>
        <v>19.248973648337838</v>
      </c>
      <c r="S176" s="279">
        <f t="shared" ca="1" si="83"/>
        <v>19.812430128942129</v>
      </c>
      <c r="T176" s="279">
        <f t="shared" ca="1" si="83"/>
        <v>20.3832331497814</v>
      </c>
      <c r="U176" s="279">
        <f t="shared" ca="1" si="83"/>
        <v>20.963178467327477</v>
      </c>
      <c r="V176" s="279">
        <f t="shared" ca="1" si="83"/>
        <v>21.550410904416491</v>
      </c>
      <c r="W176" s="279">
        <f t="shared" ca="1" si="83"/>
        <v>22.168805324830672</v>
      </c>
      <c r="X176" s="279">
        <f t="shared" ca="1" si="83"/>
        <v>22.819944819573102</v>
      </c>
    </row>
    <row r="177" spans="1:24" x14ac:dyDescent="0.2">
      <c r="A177" s="269" t="s">
        <v>661</v>
      </c>
      <c r="B177" s="273"/>
      <c r="C177" s="69"/>
      <c r="D177" s="276">
        <f>Data!C$62</f>
        <v>11.792999999999999</v>
      </c>
      <c r="E177" s="276">
        <f>Data!D$62</f>
        <v>12.948</v>
      </c>
      <c r="F177" s="276">
        <f>Data!E$62</f>
        <v>15.603999999999999</v>
      </c>
      <c r="G177" s="276">
        <f>Data!F$62</f>
        <v>18.446999999999999</v>
      </c>
      <c r="H177" s="276">
        <f>Data!G$62</f>
        <v>20.567</v>
      </c>
      <c r="I177" s="276">
        <f>Data!H$62</f>
        <v>21.765999999999998</v>
      </c>
      <c r="J177" s="131">
        <f>Data!I$62</f>
        <v>23.398</v>
      </c>
      <c r="K177" s="131">
        <f>Data!J$62</f>
        <v>25.295000000000002</v>
      </c>
      <c r="L177" s="131">
        <f>Data!K$62</f>
        <v>27.606999999999999</v>
      </c>
      <c r="M177" s="131">
        <f>Data!L$62</f>
        <v>30.632999999999999</v>
      </c>
      <c r="N177" s="131">
        <f>Data!M$62</f>
        <v>34.136000000000003</v>
      </c>
      <c r="O177" s="279">
        <f t="shared" ref="O177:X177" ca="1" si="84">SUM(O$176,(N$177-N$176)*(1+O$236))</f>
        <v>35.045663451495237</v>
      </c>
      <c r="P177" s="279">
        <f t="shared" ca="1" si="84"/>
        <v>35.958343981883502</v>
      </c>
      <c r="Q177" s="279">
        <f t="shared" ca="1" si="84"/>
        <v>36.870371489626727</v>
      </c>
      <c r="R177" s="279">
        <f t="shared" ca="1" si="84"/>
        <v>37.790978766120446</v>
      </c>
      <c r="S177" s="279">
        <f t="shared" ca="1" si="84"/>
        <v>38.725275349080391</v>
      </c>
      <c r="T177" s="279">
        <f t="shared" ca="1" si="84"/>
        <v>39.674335274322431</v>
      </c>
      <c r="U177" s="279">
        <f t="shared" ca="1" si="84"/>
        <v>40.64010263435933</v>
      </c>
      <c r="V177" s="279">
        <f t="shared" ca="1" si="84"/>
        <v>41.620873554788986</v>
      </c>
      <c r="W177" s="279">
        <f t="shared" ca="1" si="84"/>
        <v>42.64067722821062</v>
      </c>
      <c r="X177" s="279">
        <f t="shared" ca="1" si="84"/>
        <v>43.70125416102065</v>
      </c>
    </row>
    <row r="178" spans="1:24" x14ac:dyDescent="0.2">
      <c r="A178" s="27"/>
      <c r="B178" s="36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</row>
    <row r="179" spans="1:24" x14ac:dyDescent="0.2">
      <c r="A179" s="108" t="s">
        <v>395</v>
      </c>
      <c r="B179" s="36"/>
      <c r="C179" s="69"/>
      <c r="D179" s="73"/>
      <c r="E179" s="73"/>
      <c r="F179" s="73"/>
      <c r="G179" s="73"/>
      <c r="H179" s="73"/>
      <c r="I179" s="73"/>
      <c r="J179" s="73"/>
    </row>
    <row r="180" spans="1:24" x14ac:dyDescent="0.2">
      <c r="A180" s="30" t="s">
        <v>554</v>
      </c>
      <c r="B180" s="36"/>
      <c r="C180" s="69"/>
      <c r="D180" s="126">
        <f>Data!C$182</f>
        <v>5.569</v>
      </c>
      <c r="E180" s="69">
        <f>D$187</f>
        <v>6.0110000000000001</v>
      </c>
      <c r="F180" s="69">
        <f>E$187</f>
        <v>6.7409999999999997</v>
      </c>
      <c r="G180" s="69">
        <f>F$187</f>
        <v>6.5529999999999999</v>
      </c>
      <c r="H180" s="69">
        <f>G$187</f>
        <v>6.7899999999999974</v>
      </c>
      <c r="I180" s="69">
        <f>H$187</f>
        <v>7.4599999999999973</v>
      </c>
      <c r="J180" s="105">
        <f t="shared" ref="J180:X180" si="85">I$187</f>
        <v>8.2909999999999968</v>
      </c>
      <c r="K180" s="105">
        <f t="shared" si="85"/>
        <v>8.8129999999999971</v>
      </c>
      <c r="L180" s="105">
        <f t="shared" si="85"/>
        <v>9.2679999999999971</v>
      </c>
      <c r="M180" s="105">
        <f t="shared" si="85"/>
        <v>9.7199999999999971</v>
      </c>
      <c r="N180" s="105">
        <f t="shared" si="85"/>
        <v>10.195999999999996</v>
      </c>
      <c r="O180" s="73">
        <f t="shared" si="85"/>
        <v>10.692999999999996</v>
      </c>
      <c r="P180" s="73">
        <f t="shared" ca="1" si="85"/>
        <v>11.118044676289218</v>
      </c>
      <c r="Q180" s="73">
        <f t="shared" ca="1" si="85"/>
        <v>11.51829048547711</v>
      </c>
      <c r="R180" s="73">
        <f t="shared" ca="1" si="85"/>
        <v>11.905323565512713</v>
      </c>
      <c r="S180" s="73">
        <f t="shared" ca="1" si="85"/>
        <v>12.289150486927204</v>
      </c>
      <c r="T180" s="73">
        <f t="shared" ca="1" si="85"/>
        <v>12.674593563717877</v>
      </c>
      <c r="U180" s="73">
        <f t="shared" ca="1" si="85"/>
        <v>13.062586877125076</v>
      </c>
      <c r="V180" s="73">
        <f t="shared" ca="1" si="85"/>
        <v>13.45582013604783</v>
      </c>
      <c r="W180" s="73">
        <f t="shared" ca="1" si="85"/>
        <v>13.852597487052909</v>
      </c>
      <c r="X180" s="73">
        <f t="shared" ca="1" si="85"/>
        <v>14.277222201641703</v>
      </c>
    </row>
    <row r="181" spans="1:24" x14ac:dyDescent="0.2">
      <c r="A181" s="31" t="s">
        <v>644</v>
      </c>
      <c r="B181" s="233"/>
      <c r="C181" s="69"/>
      <c r="D181" s="69">
        <f>Data!C$183</f>
        <v>1.1759999999999999</v>
      </c>
      <c r="E181" s="69">
        <f>Data!D$183</f>
        <v>1.2010000000000001</v>
      </c>
      <c r="F181" s="69">
        <f>Data!E$183</f>
        <v>1.35</v>
      </c>
      <c r="G181" s="69">
        <f>Data!F$183</f>
        <v>1.5249999999999999</v>
      </c>
      <c r="H181" s="69">
        <f>Data!G$183</f>
        <v>1.5640000000000001</v>
      </c>
      <c r="I181" s="69">
        <f>Data!H$183</f>
        <v>1.5860000000000001</v>
      </c>
      <c r="J181" s="105">
        <f>Data!I$183</f>
        <v>1.607</v>
      </c>
      <c r="K181" s="105">
        <f>Data!J$183</f>
        <v>1.6679999999999999</v>
      </c>
      <c r="L181" s="105">
        <f>Data!K$183</f>
        <v>1.6890000000000001</v>
      </c>
      <c r="M181" s="105">
        <f>Data!L$183</f>
        <v>1.7370000000000001</v>
      </c>
      <c r="N181" s="105">
        <f>Data!M$183</f>
        <v>1.786</v>
      </c>
      <c r="O181" s="73">
        <f>N$181*Tracks!S$18/Tracks!R$18</f>
        <v>1.8083916417910448</v>
      </c>
      <c r="P181" s="73">
        <f>O$181*Tracks!T$18/Tracks!S$18</f>
        <v>1.85744</v>
      </c>
      <c r="Q181" s="73">
        <f>P$181*Tracks!U$18/Tracks!T$18</f>
        <v>1.9214161194029851</v>
      </c>
      <c r="R181" s="73">
        <f>Q$181*Tracks!V$18/Tracks!U$18</f>
        <v>1.9736632835820895</v>
      </c>
      <c r="S181" s="73">
        <f>R$181*Tracks!W$18/Tracks!V$18</f>
        <v>2.0333743283582089</v>
      </c>
      <c r="T181" s="73">
        <f>S$181*Tracks!X$18/Tracks!W$18</f>
        <v>2.1026817910447759</v>
      </c>
      <c r="U181" s="73">
        <f>T$181*Tracks!Y$18/Tracks!X$18</f>
        <v>2.1613265671641786</v>
      </c>
      <c r="V181" s="73">
        <f>U$181*Tracks!Z$18/Tracks!Y$18</f>
        <v>2.2242364179104475</v>
      </c>
      <c r="W181" s="73">
        <f>V$181*Tracks!AA$18/Tracks!Z$18</f>
        <v>2.3042065671641785</v>
      </c>
      <c r="X181" s="73">
        <f>W$181*Tracks!AB$18/Tracks!AA$18</f>
        <v>2.3927068656716415</v>
      </c>
    </row>
    <row r="182" spans="1:24" x14ac:dyDescent="0.2">
      <c r="A182" s="31" t="s">
        <v>645</v>
      </c>
      <c r="B182" s="233"/>
      <c r="C182" s="69"/>
      <c r="D182" s="69">
        <f>Data!C$184</f>
        <v>0.48799999999999999</v>
      </c>
      <c r="E182" s="69">
        <f>Data!D$184</f>
        <v>0.48699999999999999</v>
      </c>
      <c r="F182" s="69">
        <f>Data!E$184</f>
        <v>0.53200000000000003</v>
      </c>
      <c r="G182" s="69">
        <f>Data!F$184</f>
        <v>0.72799999999999998</v>
      </c>
      <c r="H182" s="69">
        <f>Data!G$184</f>
        <v>0.71299999999999997</v>
      </c>
      <c r="I182" s="69">
        <f>Data!H$184</f>
        <v>0.70099999999999996</v>
      </c>
      <c r="J182" s="105">
        <f>Data!I$184</f>
        <v>0.58599999999999997</v>
      </c>
      <c r="K182" s="105">
        <f>Data!J$184</f>
        <v>0.61</v>
      </c>
      <c r="L182" s="105">
        <f>Data!K$184</f>
        <v>0.61699999999999999</v>
      </c>
      <c r="M182" s="105">
        <f>Data!L$184</f>
        <v>0.63500000000000001</v>
      </c>
      <c r="N182" s="105">
        <f>Data!M$184</f>
        <v>0.65300000000000002</v>
      </c>
      <c r="O182" s="73">
        <f>N$182*Tracks!S$19/Tracks!R$19</f>
        <v>0.67275936599423636</v>
      </c>
      <c r="P182" s="73">
        <f>O$182*Tracks!T$19/Tracks!S$19</f>
        <v>0.70380979827089341</v>
      </c>
      <c r="Q182" s="73">
        <f>P$182*Tracks!U$19/Tracks!T$19</f>
        <v>0.74144668587896256</v>
      </c>
      <c r="R182" s="73">
        <f>Q$182*Tracks!V$19/Tracks!U$19</f>
        <v>0.77437896253602312</v>
      </c>
      <c r="S182" s="73">
        <f>R$182*Tracks!W$19/Tracks!V$19</f>
        <v>0.81107492795389058</v>
      </c>
      <c r="T182" s="73">
        <f>S$182*Tracks!X$19/Tracks!W$19</f>
        <v>0.85341642651296834</v>
      </c>
      <c r="U182" s="73">
        <f>T$182*Tracks!Y$19/Tracks!X$19</f>
        <v>0.88352593659942358</v>
      </c>
      <c r="V182" s="73">
        <f>U$182*Tracks!Z$19/Tracks!Y$19</f>
        <v>0.91551729106628232</v>
      </c>
      <c r="W182" s="73">
        <f>V$182*Tracks!AA$19/Tracks!Z$19</f>
        <v>0.95315417867435148</v>
      </c>
      <c r="X182" s="73">
        <f>W$182*Tracks!AB$19/Tracks!AA$19</f>
        <v>0.99549567723342924</v>
      </c>
    </row>
    <row r="183" spans="1:24" x14ac:dyDescent="0.2">
      <c r="A183" s="31" t="s">
        <v>646</v>
      </c>
      <c r="B183" s="233"/>
      <c r="C183" s="69"/>
      <c r="D183" s="69">
        <f>Data!C$185</f>
        <v>0.55500000000000005</v>
      </c>
      <c r="E183" s="69">
        <f>Data!D$185</f>
        <v>0.629</v>
      </c>
      <c r="F183" s="69">
        <f>Data!E$185</f>
        <v>0.71</v>
      </c>
      <c r="G183" s="69">
        <f>Data!F$185</f>
        <v>0.754</v>
      </c>
      <c r="H183" s="69">
        <f>Data!G$185</f>
        <v>0.80200000000000005</v>
      </c>
      <c r="I183" s="69">
        <f>Data!H$185</f>
        <v>0.877</v>
      </c>
      <c r="J183" s="105">
        <f>Data!I$185</f>
        <v>1.004</v>
      </c>
      <c r="K183" s="105">
        <f>Data!J$185</f>
        <v>1.1399999999999999</v>
      </c>
      <c r="L183" s="105">
        <f>Data!K$185</f>
        <v>1.1930000000000001</v>
      </c>
      <c r="M183" s="105">
        <f>Data!L$185</f>
        <v>1.2330000000000001</v>
      </c>
      <c r="N183" s="105">
        <f>Data!M$185</f>
        <v>1.2789999999999999</v>
      </c>
      <c r="O183" s="73">
        <f>N$183*Tracks!S$20/Tracks!R$20</f>
        <v>1.3702056384742951</v>
      </c>
      <c r="P183" s="73">
        <f>O$183*Tracks!T$20/Tracks!S$20</f>
        <v>1.4295953565505803</v>
      </c>
      <c r="Q183" s="73">
        <f>P$183*Tracks!U$20/Tracks!T$20</f>
        <v>1.4868640132669984</v>
      </c>
      <c r="R183" s="73">
        <f>Q$183*Tracks!V$20/Tracks!U$20</f>
        <v>1.5282247097844113</v>
      </c>
      <c r="S183" s="73">
        <f>R$183*Tracks!W$20/Tracks!V$20</f>
        <v>1.5695854063018242</v>
      </c>
      <c r="T183" s="73">
        <f>S$183*Tracks!X$20/Tracks!W$20</f>
        <v>1.6162487562189054</v>
      </c>
      <c r="U183" s="73">
        <f>T$183*Tracks!Y$20/Tracks!X$20</f>
        <v>1.6629121061359866</v>
      </c>
      <c r="V183" s="73">
        <f>U$183*Tracks!Z$20/Tracks!Y$20</f>
        <v>1.7159386401326697</v>
      </c>
      <c r="W183" s="73">
        <f>V$183*Tracks!AA$20/Tracks!Z$20</f>
        <v>1.7583598673300163</v>
      </c>
      <c r="X183" s="73">
        <f>W$183*Tracks!AB$20/Tracks!AA$20</f>
        <v>1.8050232172470975</v>
      </c>
    </row>
    <row r="184" spans="1:24" x14ac:dyDescent="0.2">
      <c r="A184" s="31" t="s">
        <v>647</v>
      </c>
      <c r="B184" s="233"/>
      <c r="C184" s="69"/>
      <c r="D184" s="69">
        <f>Data!C$186</f>
        <v>0.36</v>
      </c>
      <c r="E184" s="69">
        <f>Data!D$186</f>
        <v>0.40699999999999997</v>
      </c>
      <c r="F184" s="69">
        <f>Data!E$186</f>
        <v>0.46500000000000002</v>
      </c>
      <c r="G184" s="69">
        <f>Data!F$186</f>
        <v>0.46300000000000002</v>
      </c>
      <c r="H184" s="69">
        <f>Data!G$186</f>
        <v>0.48399999999999999</v>
      </c>
      <c r="I184" s="69">
        <f>Data!H$186</f>
        <v>0.52600000000000002</v>
      </c>
      <c r="J184" s="105">
        <f>Data!I$186</f>
        <v>0.60299999999999998</v>
      </c>
      <c r="K184" s="105">
        <f>Data!J$186</f>
        <v>0.63700000000000001</v>
      </c>
      <c r="L184" s="105">
        <f>Data!K$186</f>
        <v>0.67100000000000004</v>
      </c>
      <c r="M184" s="105">
        <f>Data!L$186</f>
        <v>0.70599999999999996</v>
      </c>
      <c r="N184" s="105">
        <f>Data!M$186</f>
        <v>0.74299999999999999</v>
      </c>
      <c r="O184" s="73">
        <f>N$184*Tracks!S$21/Tracks!R$21</f>
        <v>0.7616332288401253</v>
      </c>
      <c r="P184" s="73">
        <f>O$184*Tracks!T$21/Tracks!S$21</f>
        <v>0.7802664576802506</v>
      </c>
      <c r="Q184" s="73">
        <f>P$184*Tracks!U$21/Tracks!T$21</f>
        <v>0.80006426332288394</v>
      </c>
      <c r="R184" s="73">
        <f>Q$184*Tracks!V$21/Tracks!U$21</f>
        <v>0.82102664576802498</v>
      </c>
      <c r="S184" s="73">
        <f>R$184*Tracks!W$21/Tracks!V$21</f>
        <v>0.84315360501567393</v>
      </c>
      <c r="T184" s="73">
        <f>S$184*Tracks!X$21/Tracks!W$21</f>
        <v>0.86760971786833851</v>
      </c>
      <c r="U184" s="73">
        <f>T$184*Tracks!Y$21/Tracks!X$21</f>
        <v>0.89323040752351091</v>
      </c>
      <c r="V184" s="73">
        <f>U$184*Tracks!Z$21/Tracks!Y$21</f>
        <v>0.92118025078369903</v>
      </c>
      <c r="W184" s="73">
        <f>V$184*Tracks!AA$21/Tracks!Z$21</f>
        <v>0.95145924764890288</v>
      </c>
      <c r="X184" s="73">
        <f>W$184*Tracks!AB$21/Tracks!AA$21</f>
        <v>0.98406739811912236</v>
      </c>
    </row>
    <row r="185" spans="1:24" x14ac:dyDescent="0.2">
      <c r="A185" s="31" t="s">
        <v>648</v>
      </c>
      <c r="B185" s="233"/>
      <c r="C185" s="69"/>
      <c r="D185" s="69">
        <f>Data!C$187</f>
        <v>0.151</v>
      </c>
      <c r="E185" s="69">
        <f>Data!D$187</f>
        <v>-0.23100000000000001</v>
      </c>
      <c r="F185" s="69">
        <f>Data!E$187</f>
        <v>0.77900000000000003</v>
      </c>
      <c r="G185" s="69">
        <f>Data!F$187</f>
        <v>0.28000000000000003</v>
      </c>
      <c r="H185" s="69">
        <f>Data!G$187</f>
        <v>-0.125</v>
      </c>
      <c r="I185" s="69">
        <f>Data!H$187</f>
        <v>-0.28599999999999998</v>
      </c>
      <c r="J185" s="105">
        <f>Data!I$187</f>
        <v>0.11</v>
      </c>
      <c r="K185" s="105">
        <f>Data!J$187</f>
        <v>0.11</v>
      </c>
      <c r="L185" s="105">
        <f>Data!K$187</f>
        <v>0.11</v>
      </c>
      <c r="M185" s="105">
        <f>Data!L$187</f>
        <v>0.11</v>
      </c>
      <c r="N185" s="105">
        <f>Data!M$187</f>
        <v>0.11</v>
      </c>
      <c r="O185" s="73">
        <f t="shared" ref="O185:X185" ca="1" si="86">N$185*(1+O$236)</f>
        <v>0.11221670886075948</v>
      </c>
      <c r="P185" s="73">
        <f t="shared" ca="1" si="86"/>
        <v>0.11446104303797466</v>
      </c>
      <c r="Q185" s="73">
        <f t="shared" ca="1" si="86"/>
        <v>0.11675026389873416</v>
      </c>
      <c r="R185" s="73">
        <f t="shared" ca="1" si="86"/>
        <v>0.11908526917670885</v>
      </c>
      <c r="S185" s="73">
        <f t="shared" ca="1" si="86"/>
        <v>0.12146697456024302</v>
      </c>
      <c r="T185" s="73">
        <f t="shared" ca="1" si="86"/>
        <v>0.12389631405144788</v>
      </c>
      <c r="U185" s="73">
        <f t="shared" ca="1" si="86"/>
        <v>0.12637424033247685</v>
      </c>
      <c r="V185" s="73">
        <f t="shared" ca="1" si="86"/>
        <v>0.1289017251391264</v>
      </c>
      <c r="W185" s="73">
        <f t="shared" ca="1" si="86"/>
        <v>0.13147975964190892</v>
      </c>
      <c r="X185" s="73">
        <f t="shared" ca="1" si="86"/>
        <v>0.13410935483474709</v>
      </c>
    </row>
    <row r="186" spans="1:24" x14ac:dyDescent="0.2">
      <c r="A186" s="31" t="s">
        <v>649</v>
      </c>
      <c r="B186" s="233"/>
      <c r="C186" s="69"/>
      <c r="D186" s="176">
        <f>Data!C$188</f>
        <v>0.1</v>
      </c>
      <c r="E186" s="176">
        <f>Data!D$188</f>
        <v>7.0000000000000001E-3</v>
      </c>
      <c r="F186" s="176">
        <f>Data!E$188</f>
        <v>1.7999999999999999E-2</v>
      </c>
      <c r="G186" s="176">
        <f>Data!F$188</f>
        <v>1.0999999999999999E-2</v>
      </c>
      <c r="H186" s="176">
        <f>Data!G$188</f>
        <v>1.2E-2</v>
      </c>
      <c r="I186" s="176">
        <f>Data!H$188</f>
        <v>1.0999999999999999E-2</v>
      </c>
      <c r="J186" s="130">
        <f>Data!I$188</f>
        <v>1.2E-2</v>
      </c>
      <c r="K186" s="130">
        <f>Data!J$188</f>
        <v>0.01</v>
      </c>
      <c r="L186" s="130">
        <f>Data!K$188</f>
        <v>1.2E-2</v>
      </c>
      <c r="M186" s="130">
        <f>Data!L$188</f>
        <v>1.0999999999999999E-2</v>
      </c>
      <c r="N186" s="130">
        <f>Data!M$188</f>
        <v>0.01</v>
      </c>
      <c r="O186" s="81">
        <f t="shared" ref="O186:X186" ca="1" si="87">N$186*(1+O$236)</f>
        <v>1.0201518987341771E-2</v>
      </c>
      <c r="P186" s="81">
        <f t="shared" ca="1" si="87"/>
        <v>1.0405549367088606E-2</v>
      </c>
      <c r="Q186" s="81">
        <f t="shared" ca="1" si="87"/>
        <v>1.0613660354430378E-2</v>
      </c>
      <c r="R186" s="81">
        <f t="shared" ca="1" si="87"/>
        <v>1.0825933561518985E-2</v>
      </c>
      <c r="S186" s="81">
        <f t="shared" ca="1" si="87"/>
        <v>1.1042452232749364E-2</v>
      </c>
      <c r="T186" s="81">
        <f t="shared" ca="1" si="87"/>
        <v>1.1263301277404351E-2</v>
      </c>
      <c r="U186" s="81">
        <f t="shared" ca="1" si="87"/>
        <v>1.1488567302952439E-2</v>
      </c>
      <c r="V186" s="81">
        <f t="shared" ca="1" si="87"/>
        <v>1.1718338649011489E-2</v>
      </c>
      <c r="W186" s="81">
        <f t="shared" ca="1" si="87"/>
        <v>1.1952705421991719E-2</v>
      </c>
      <c r="X186" s="81">
        <f t="shared" ca="1" si="87"/>
        <v>1.2191759530431553E-2</v>
      </c>
    </row>
    <row r="187" spans="1:24" x14ac:dyDescent="0.2">
      <c r="A187" s="27" t="s">
        <v>631</v>
      </c>
      <c r="B187" s="36"/>
      <c r="C187" s="69"/>
      <c r="D187" s="71">
        <f t="shared" ref="D187:X187" si="88">SUM(D$180,D$181,D$184,D$186)-SUM(D$182,D$183,D$185)</f>
        <v>6.0110000000000001</v>
      </c>
      <c r="E187" s="71">
        <f t="shared" si="88"/>
        <v>6.7409999999999997</v>
      </c>
      <c r="F187" s="71">
        <f t="shared" si="88"/>
        <v>6.5529999999999999</v>
      </c>
      <c r="G187" s="71">
        <f t="shared" si="88"/>
        <v>6.7899999999999974</v>
      </c>
      <c r="H187" s="71">
        <f t="shared" si="88"/>
        <v>7.4599999999999973</v>
      </c>
      <c r="I187" s="71">
        <f t="shared" si="88"/>
        <v>8.2909999999999968</v>
      </c>
      <c r="J187" s="131">
        <f t="shared" si="88"/>
        <v>8.8129999999999971</v>
      </c>
      <c r="K187" s="131">
        <f t="shared" si="88"/>
        <v>9.2679999999999971</v>
      </c>
      <c r="L187" s="131">
        <f t="shared" si="88"/>
        <v>9.7199999999999971</v>
      </c>
      <c r="M187" s="131">
        <f t="shared" si="88"/>
        <v>10.195999999999996</v>
      </c>
      <c r="N187" s="131">
        <f t="shared" si="88"/>
        <v>10.692999999999996</v>
      </c>
      <c r="O187" s="75">
        <f t="shared" ca="1" si="88"/>
        <v>11.118044676289218</v>
      </c>
      <c r="P187" s="75">
        <f t="shared" ca="1" si="88"/>
        <v>11.51829048547711</v>
      </c>
      <c r="Q187" s="75">
        <f t="shared" ca="1" si="88"/>
        <v>11.905323565512713</v>
      </c>
      <c r="R187" s="75">
        <f t="shared" ca="1" si="88"/>
        <v>12.289150486927204</v>
      </c>
      <c r="S187" s="75">
        <f t="shared" ca="1" si="88"/>
        <v>12.674593563717877</v>
      </c>
      <c r="T187" s="75">
        <f t="shared" ca="1" si="88"/>
        <v>13.062586877125076</v>
      </c>
      <c r="U187" s="75">
        <f t="shared" ca="1" si="88"/>
        <v>13.45582013604783</v>
      </c>
      <c r="V187" s="75">
        <f t="shared" ca="1" si="88"/>
        <v>13.852597487052909</v>
      </c>
      <c r="W187" s="75">
        <f t="shared" ca="1" si="88"/>
        <v>14.277222201641703</v>
      </c>
      <c r="X187" s="75">
        <f t="shared" ca="1" si="88"/>
        <v>14.731559975647624</v>
      </c>
    </row>
    <row r="188" spans="1:24" x14ac:dyDescent="0.2">
      <c r="A188" s="26"/>
      <c r="B188" s="42"/>
      <c r="C188" s="6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x14ac:dyDescent="0.2">
      <c r="A189" s="108" t="s">
        <v>664</v>
      </c>
      <c r="B189" s="41"/>
      <c r="C189" s="69"/>
      <c r="D189" s="69"/>
      <c r="E189" s="69"/>
      <c r="F189" s="69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x14ac:dyDescent="0.2">
      <c r="A190" s="27" t="s">
        <v>1024</v>
      </c>
      <c r="B190" s="231"/>
      <c r="C190" s="69"/>
      <c r="D190" s="71">
        <f>Data!C$113</f>
        <v>26.213000000000001</v>
      </c>
      <c r="E190" s="71">
        <f>Data!D$113</f>
        <v>28.637</v>
      </c>
      <c r="F190" s="71">
        <f>Data!E$113</f>
        <v>30.486999999999998</v>
      </c>
      <c r="G190" s="71">
        <f>Data!F$113</f>
        <v>29.986000000000001</v>
      </c>
      <c r="H190" s="71">
        <f>Data!G$113</f>
        <v>29.548999999999999</v>
      </c>
      <c r="I190" s="71">
        <f>Data!H$113</f>
        <v>29.376999999999999</v>
      </c>
      <c r="J190" s="131">
        <f ca="1">Data!I$113 +IF(OFFSET(Scenarios!$A$75,0,$C$1)="Yes",J$195,0)</f>
        <v>29.994</v>
      </c>
      <c r="K190" s="131">
        <f ca="1">Data!J$113 +IF(OFFSET(Scenarios!$A$75,0,$C$1)="Yes",K$195,0)</f>
        <v>30.757000000000001</v>
      </c>
      <c r="L190" s="131">
        <f ca="1">Data!K$113 +IF(OFFSET(Scenarios!$A$75,0,$C$1)="Yes",L$195,0)</f>
        <v>31.341999999999999</v>
      </c>
      <c r="M190" s="131">
        <f ca="1">Data!L$113 +IF(OFFSET(Scenarios!$A$75,0,$C$1)="Yes",M$195,0)</f>
        <v>31.231999999999999</v>
      </c>
      <c r="N190" s="131">
        <f ca="1">Data!M$113 +IF(OFFSET(Scenarios!$A$75,0,$C$1)="Yes",N$195,0)</f>
        <v>31.123999999999999</v>
      </c>
      <c r="O190" s="42">
        <f ca="1">N$190 +(O$50-N$50)-(O$111-N$111) +IF(OFFSET(Scenarios!$A$75,0,$C$1)="Yes",(O$195-N$195),0)</f>
        <v>31.187306513687208</v>
      </c>
      <c r="P190" s="42">
        <f ca="1">O$190 +(P$50-O$50)-(P$111-O$111) +IF(OFFSET(Scenarios!$A$75,0,$C$1)="Yes",(P$195-O$195),0)</f>
        <v>31.257193880114002</v>
      </c>
      <c r="Q190" s="42">
        <f ca="1">P$190 +(Q$50-P$50)-(Q$111-P$111) +IF(OFFSET(Scenarios!$A$75,0,$C$1)="Yes",(Q$195-P$195),0)</f>
        <v>31.332090089549347</v>
      </c>
      <c r="R190" s="42">
        <f ca="1">Q$190 +(R$50-Q$50)-(R$111-Q$111) +IF(OFFSET(Scenarios!$A$75,0,$C$1)="Yes",(R$195-Q$195),0)</f>
        <v>31.40958016697811</v>
      </c>
      <c r="S190" s="42">
        <f ca="1">R$190 +(S$50-R$50)-(S$111-R$111) +IF(OFFSET(Scenarios!$A$75,0,$C$1)="Yes",(S$195-R$195),0)</f>
        <v>31.491233359546062</v>
      </c>
      <c r="T190" s="42">
        <f ca="1">S$190 +(T$50-S$50)-(T$111-S$111) +IF(OFFSET(Scenarios!$A$75,0,$C$1)="Yes",(T$195-S$195),0)</f>
        <v>31.576511437843472</v>
      </c>
      <c r="U190" s="42">
        <f ca="1">T$190 +(U$50-T$50)-(U$111-T$111) +IF(OFFSET(Scenarios!$A$75,0,$C$1)="Yes",(U$195-T$195),0)</f>
        <v>31.663887115372635</v>
      </c>
      <c r="V190" s="42">
        <f ca="1">U$190 +(V$50-U$50)-(V$111-U$111) +IF(OFFSET(Scenarios!$A$75,0,$C$1)="Yes",(V$195-U$195),0)</f>
        <v>31.753575862559991</v>
      </c>
      <c r="W190" s="42">
        <f ca="1">V$190 +(W$50-V$50)-(W$111-V$111) +IF(OFFSET(Scenarios!$A$75,0,$C$1)="Yes",(W$195-V$195),0)</f>
        <v>31.846060790941507</v>
      </c>
      <c r="X190" s="42">
        <f ca="1">W$190 +(X$50-W$50)-(X$111-W$111) +IF(OFFSET(Scenarios!$A$75,0,$C$1)="Yes",(X$195-W$195),0)</f>
        <v>31.941154098581585</v>
      </c>
    </row>
    <row r="191" spans="1:24" x14ac:dyDescent="0.2">
      <c r="A191" s="161" t="s">
        <v>396</v>
      </c>
      <c r="B191" s="69"/>
      <c r="C191" s="69"/>
      <c r="D191" s="176">
        <f>D$192-D$190</f>
        <v>69.384999999999991</v>
      </c>
      <c r="E191" s="176">
        <f t="shared" ref="E191:N191" si="89">E$192-E$190</f>
        <v>74.691999999999993</v>
      </c>
      <c r="F191" s="176">
        <f t="shared" si="89"/>
        <v>79.64800000000001</v>
      </c>
      <c r="G191" s="176">
        <f t="shared" si="89"/>
        <v>83.343999999999994</v>
      </c>
      <c r="H191" s="176">
        <f t="shared" si="89"/>
        <v>85.305000000000007</v>
      </c>
      <c r="I191" s="176">
        <f t="shared" si="89"/>
        <v>79.207000000000008</v>
      </c>
      <c r="J191" s="130">
        <f t="shared" ca="1" si="89"/>
        <v>81.724999999999994</v>
      </c>
      <c r="K191" s="130">
        <f t="shared" ca="1" si="89"/>
        <v>83.934999999999988</v>
      </c>
      <c r="L191" s="130">
        <f t="shared" ca="1" si="89"/>
        <v>85.301000000000002</v>
      </c>
      <c r="M191" s="130">
        <f t="shared" ca="1" si="89"/>
        <v>87.268000000000001</v>
      </c>
      <c r="N191" s="130">
        <f t="shared" ca="1" si="89"/>
        <v>89.350000000000009</v>
      </c>
      <c r="O191" s="81">
        <f t="shared" ref="O191:X191" ca="1" si="90">SUM(N$191,(O$29-O$34)-(N$29-N$34),(O$30-O$35)-(N$30-N$35),(O$15-O$24),-SUM(O$145-O$144,O$147-O$146,O$157-O$154,O$177-O$176,O$202-O$201)+SUM(N$145-N$144,N$147-N$146,N$157-N$154,N$177-N$176,N$202-N$201))</f>
        <v>93.98963964069651</v>
      </c>
      <c r="P191" s="81">
        <f t="shared" ca="1" si="90"/>
        <v>98.90497807240024</v>
      </c>
      <c r="Q191" s="81">
        <f t="shared" ca="1" si="90"/>
        <v>104.27132006353766</v>
      </c>
      <c r="R191" s="81">
        <f t="shared" ca="1" si="90"/>
        <v>109.99909644619962</v>
      </c>
      <c r="S191" s="81">
        <f t="shared" ca="1" si="90"/>
        <v>116.21697950908239</v>
      </c>
      <c r="T191" s="81">
        <f t="shared" ca="1" si="90"/>
        <v>122.89496091320618</v>
      </c>
      <c r="U191" s="81">
        <f t="shared" ca="1" si="90"/>
        <v>129.97540687851676</v>
      </c>
      <c r="V191" s="81">
        <f t="shared" ca="1" si="90"/>
        <v>137.47132173048519</v>
      </c>
      <c r="W191" s="81">
        <f t="shared" ca="1" si="90"/>
        <v>145.40326008011607</v>
      </c>
      <c r="X191" s="81">
        <f t="shared" ca="1" si="90"/>
        <v>153.77138613378779</v>
      </c>
    </row>
    <row r="192" spans="1:24" x14ac:dyDescent="0.2">
      <c r="A192" s="27" t="s">
        <v>1025</v>
      </c>
      <c r="B192" s="231"/>
      <c r="C192" s="69"/>
      <c r="D192" s="71">
        <f>Data!C$65</f>
        <v>95.597999999999999</v>
      </c>
      <c r="E192" s="71">
        <f>Data!D$65</f>
        <v>103.32899999999999</v>
      </c>
      <c r="F192" s="71">
        <f>Data!E$65</f>
        <v>110.13500000000001</v>
      </c>
      <c r="G192" s="71">
        <f>Data!F$65</f>
        <v>113.33</v>
      </c>
      <c r="H192" s="71">
        <f>Data!G$65</f>
        <v>114.854</v>
      </c>
      <c r="I192" s="71">
        <f>Data!H$65</f>
        <v>108.584</v>
      </c>
      <c r="J192" s="131">
        <f ca="1">Data!I$65 +IF(OFFSET(Scenarios!$A$75,0,$C$1)="Yes",J$195,0)</f>
        <v>111.71899999999999</v>
      </c>
      <c r="K192" s="131">
        <f ca="1">Data!J$65 +IF(OFFSET(Scenarios!$A$75,0,$C$1)="Yes",K$195,0)</f>
        <v>114.69199999999999</v>
      </c>
      <c r="L192" s="131">
        <f ca="1">Data!K$65 +IF(OFFSET(Scenarios!$A$75,0,$C$1)="Yes",L$195,0)</f>
        <v>116.643</v>
      </c>
      <c r="M192" s="131">
        <f ca="1">Data!L$65 +IF(OFFSET(Scenarios!$A$75,0,$C$1)="Yes",M$195,0)</f>
        <v>118.5</v>
      </c>
      <c r="N192" s="131">
        <f ca="1">Data!M$65 +IF(OFFSET(Scenarios!$A$75,0,$C$1)="Yes",N$195,0)</f>
        <v>120.474</v>
      </c>
      <c r="O192" s="75">
        <f t="shared" ref="O192:X192" ca="1" si="91">SUM(O$190,O$191)</f>
        <v>125.17694615438371</v>
      </c>
      <c r="P192" s="75">
        <f t="shared" ca="1" si="91"/>
        <v>130.16217195251426</v>
      </c>
      <c r="Q192" s="75">
        <f t="shared" ca="1" si="91"/>
        <v>135.603410153087</v>
      </c>
      <c r="R192" s="75">
        <f t="shared" ca="1" si="91"/>
        <v>141.40867661317773</v>
      </c>
      <c r="S192" s="75">
        <f t="shared" ca="1" si="91"/>
        <v>147.70821286862846</v>
      </c>
      <c r="T192" s="75">
        <f t="shared" ca="1" si="91"/>
        <v>154.47147235104964</v>
      </c>
      <c r="U192" s="75">
        <f t="shared" ca="1" si="91"/>
        <v>161.6392939938894</v>
      </c>
      <c r="V192" s="75">
        <f t="shared" ca="1" si="91"/>
        <v>169.22489759304517</v>
      </c>
      <c r="W192" s="75">
        <f t="shared" ca="1" si="91"/>
        <v>177.24932087105759</v>
      </c>
      <c r="X192" s="75">
        <f t="shared" ca="1" si="91"/>
        <v>185.71254023236938</v>
      </c>
    </row>
    <row r="193" spans="1:24" x14ac:dyDescent="0.2">
      <c r="A193" s="27"/>
      <c r="B193" s="41"/>
      <c r="C193" s="69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 spans="1:24" x14ac:dyDescent="0.2">
      <c r="A194" s="108" t="s">
        <v>1022</v>
      </c>
      <c r="B194" s="77"/>
      <c r="C194" s="69"/>
      <c r="D194" s="71">
        <f t="shared" ref="D194:I194" si="92">D$195-C$195</f>
        <v>0</v>
      </c>
      <c r="E194" s="71">
        <f t="shared" si="92"/>
        <v>0</v>
      </c>
      <c r="F194" s="71">
        <f t="shared" si="92"/>
        <v>0</v>
      </c>
      <c r="G194" s="71">
        <f t="shared" si="92"/>
        <v>0</v>
      </c>
      <c r="H194" s="71">
        <f t="shared" si="92"/>
        <v>0</v>
      </c>
      <c r="I194" s="71">
        <f t="shared" si="92"/>
        <v>0</v>
      </c>
      <c r="J194" s="131">
        <f ca="1">IF(OFFSET(Scenarios!$A$75,0,$C$1)="Yes",0,J$195-I$195)</f>
        <v>-0.22100000000000003</v>
      </c>
      <c r="K194" s="131">
        <f ca="1">IF(OFFSET(Scenarios!$A$75,0,$C$1)="Yes",0,K$195-J$195)</f>
        <v>0.62600000000000011</v>
      </c>
      <c r="L194" s="131">
        <f ca="1">IF(OFFSET(Scenarios!$A$75,0,$C$1)="Yes",0,L$195-K$195)</f>
        <v>0.72099999999999986</v>
      </c>
      <c r="M194" s="131">
        <f ca="1">IF(OFFSET(Scenarios!$A$75,0,$C$1)="Yes",0,M$195-L$195)</f>
        <v>0.75</v>
      </c>
      <c r="N194" s="131">
        <f ca="1">IF(OFFSET(Scenarios!$A$75,0,$C$1)="Yes",0,N$195-M$195)</f>
        <v>0.85999999999999988</v>
      </c>
      <c r="O194" s="279">
        <f ca="1">IF(OFFSET(Scenarios!$A$75,0,$C$1)="Yes",0,IF(OFFSET(Scenarios!$A$32,0,$C$1)&gt;=O$4,Tracks!S$111/1000,IF(OFFSET(Scenarios!$A$32,0,$C$1)+1=O$4,OFFSET(Scenarios!$A$31,0,$C$1)/5*(1-(1+OFFSET(Scenarios!$A$36,0,$C$1))^5)/-OFFSET(Scenarios!$A$36,0,$C$1),N$194*(1+OFFSET(Scenarios!$A$36,0,$C$1)))))</f>
        <v>0.95699999999999996</v>
      </c>
      <c r="P194" s="279">
        <f ca="1">IF(OFFSET(Scenarios!$A$75,0,$C$1)="Yes",0,IF(OFFSET(Scenarios!$A$32,0,$C$1)&gt;=P$4,Tracks!T$111/1000,IF(OFFSET(Scenarios!$A$32,0,$C$1)+1=P$4,OFFSET(Scenarios!$A$31,0,$C$1)/5*(1-(1+OFFSET(Scenarios!$A$36,0,$C$1))^5)/-OFFSET(Scenarios!$A$36,0,$C$1),O$194*(1+OFFSET(Scenarios!$A$36,0,$C$1)))))</f>
        <v>0.748</v>
      </c>
      <c r="Q194" s="279">
        <f ca="1">IF(OFFSET(Scenarios!$A$75,0,$C$1)="Yes",0,IF(OFFSET(Scenarios!$A$32,0,$C$1)&gt;=Q$4,Tracks!U$111/1000,IF(OFFSET(Scenarios!$A$32,0,$C$1)+1=Q$4,OFFSET(Scenarios!$A$31,0,$C$1)/5*(1-(1+OFFSET(Scenarios!$A$36,0,$C$1))^5)/-OFFSET(Scenarios!$A$36,0,$C$1),P$194*(1+OFFSET(Scenarios!$A$36,0,$C$1)))))</f>
        <v>0.78300000000000003</v>
      </c>
      <c r="R194" s="279">
        <f ca="1">IF(OFFSET(Scenarios!$A$75,0,$C$1)="Yes",0,IF(OFFSET(Scenarios!$A$32,0,$C$1)&gt;=R$4,Tracks!V$111/1000,IF(OFFSET(Scenarios!$A$32,0,$C$1)+1=R$4,OFFSET(Scenarios!$A$31,0,$C$1)/5*(1-(1+OFFSET(Scenarios!$A$36,0,$C$1))^5)/-OFFSET(Scenarios!$A$36,0,$C$1),Q$194*(1+OFFSET(Scenarios!$A$36,0,$C$1)))))</f>
        <v>0.97</v>
      </c>
      <c r="S194" s="279">
        <f ca="1">IF(OFFSET(Scenarios!$A$75,0,$C$1)="Yes",0,IF(OFFSET(Scenarios!$A$32,0,$C$1)&gt;=S$4,Tracks!W$111/1000,IF(OFFSET(Scenarios!$A$32,0,$C$1)+1=S$4,OFFSET(Scenarios!$A$31,0,$C$1)/5*(1-(1+OFFSET(Scenarios!$A$36,0,$C$1))^5)/-OFFSET(Scenarios!$A$36,0,$C$1),R$194*(1+OFFSET(Scenarios!$A$36,0,$C$1)))))</f>
        <v>0.97419631795200023</v>
      </c>
      <c r="T194" s="279">
        <f ca="1">IF(OFFSET(Scenarios!$A$75,0,$C$1)="Yes",0,IF(OFFSET(Scenarios!$A$32,0,$C$1)&gt;=T$4,Tracks!X$111/1000,IF(OFFSET(Scenarios!$A$32,0,$C$1)+1=T$4,OFFSET(Scenarios!$A$31,0,$C$1)/5*(1-(1+OFFSET(Scenarios!$A$36,0,$C$1))^5)/-OFFSET(Scenarios!$A$36,0,$C$1),S$194*(1+OFFSET(Scenarios!$A$36,0,$C$1)))))</f>
        <v>0.99368024431104029</v>
      </c>
      <c r="U194" s="279">
        <f ca="1">IF(OFFSET(Scenarios!$A$75,0,$C$1)="Yes",0,IF(OFFSET(Scenarios!$A$32,0,$C$1)&gt;=U$4,Tracks!Y$111/1000,IF(OFFSET(Scenarios!$A$32,0,$C$1)+1=U$4,OFFSET(Scenarios!$A$31,0,$C$1)/5*(1-(1+OFFSET(Scenarios!$A$36,0,$C$1))^5)/-OFFSET(Scenarios!$A$36,0,$C$1),T$194*(1+OFFSET(Scenarios!$A$36,0,$C$1)))))</f>
        <v>1.0135538491972611</v>
      </c>
      <c r="V194" s="279">
        <f ca="1">IF(OFFSET(Scenarios!$A$75,0,$C$1)="Yes",0,IF(OFFSET(Scenarios!$A$32,0,$C$1)&gt;=V$4,Tracks!Z$111/1000,IF(OFFSET(Scenarios!$A$32,0,$C$1)+1=V$4,OFFSET(Scenarios!$A$31,0,$C$1)/5*(1-(1+OFFSET(Scenarios!$A$36,0,$C$1))^5)/-OFFSET(Scenarios!$A$36,0,$C$1),U$194*(1+OFFSET(Scenarios!$A$36,0,$C$1)))))</f>
        <v>1.0338249261812062</v>
      </c>
      <c r="W194" s="279">
        <f ca="1">IF(OFFSET(Scenarios!$A$75,0,$C$1)="Yes",0,IF(OFFSET(Scenarios!$A$32,0,$C$1)&gt;=W$4,Tracks!AA$111/1000,IF(OFFSET(Scenarios!$A$32,0,$C$1)+1=W$4,OFFSET(Scenarios!$A$31,0,$C$1)/5*(1-(1+OFFSET(Scenarios!$A$36,0,$C$1))^5)/-OFFSET(Scenarios!$A$36,0,$C$1),V$194*(1+OFFSET(Scenarios!$A$36,0,$C$1)))))</f>
        <v>1.0545014247048303</v>
      </c>
      <c r="X194" s="279">
        <f ca="1">IF(OFFSET(Scenarios!$A$75,0,$C$1)="Yes",0,IF(OFFSET(Scenarios!$A$32,0,$C$1)&gt;=X$4,Tracks!AB$111/1000,IF(OFFSET(Scenarios!$A$32,0,$C$1)+1=X$4,OFFSET(Scenarios!$A$31,0,$C$1)/5*(1-(1+OFFSET(Scenarios!$A$36,0,$C$1))^5)/-OFFSET(Scenarios!$A$36,0,$C$1),W$194*(1+OFFSET(Scenarios!$A$36,0,$C$1)))))</f>
        <v>1.075591453198927</v>
      </c>
    </row>
    <row r="195" spans="1:24" x14ac:dyDescent="0.2">
      <c r="A195" s="225" t="s">
        <v>1023</v>
      </c>
      <c r="B195" s="231"/>
      <c r="C195" s="69"/>
      <c r="D195" s="69">
        <f>SUM(Data!C$68:C$69)</f>
        <v>0</v>
      </c>
      <c r="E195" s="69">
        <f>SUM(Data!D$68:D$69)</f>
        <v>0</v>
      </c>
      <c r="F195" s="69">
        <f>SUM(Data!E$68:E$69)</f>
        <v>0</v>
      </c>
      <c r="G195" s="69">
        <f>SUM(Data!F$68:F$69)</f>
        <v>0</v>
      </c>
      <c r="H195" s="69">
        <f>SUM(Data!G$68:G$69)</f>
        <v>0</v>
      </c>
      <c r="I195" s="69">
        <f>SUM(Data!H$68:H$69)</f>
        <v>0</v>
      </c>
      <c r="J195" s="105">
        <f>SUM(Data!I$68:I$69)</f>
        <v>-0.22100000000000003</v>
      </c>
      <c r="K195" s="105">
        <f>SUM(Data!J$68:J$69)</f>
        <v>0.40500000000000003</v>
      </c>
      <c r="L195" s="105">
        <f>SUM(Data!K$68:K$69)</f>
        <v>1.1259999999999999</v>
      </c>
      <c r="M195" s="105">
        <f>SUM(Data!L$68:L$69)</f>
        <v>1.8759999999999999</v>
      </c>
      <c r="N195" s="105">
        <f>SUM(Data!M$68:M$69)</f>
        <v>2.7359999999999998</v>
      </c>
      <c r="O195" s="100">
        <f ca="1">N$195+IF(OFFSET(Scenarios!$A$32,0,$C$1)&gt;=O$4,Tracks!S$111/1000,IF(OFFSET(Scenarios!$A$32,0,$C$1)+1=O$4,OFFSET(Scenarios!$A$31,0,$C$1)/5*(1-(1+OFFSET(Scenarios!$A$36,0,$C$1))^5)/-OFFSET(Scenarios!$A$36,0,$C$1),(N$195-M$195)*(1+OFFSET(Scenarios!$A$36,0,$C$1))))</f>
        <v>3.6929999999999996</v>
      </c>
      <c r="P195" s="100">
        <f ca="1">O$195+IF(OFFSET(Scenarios!$A$32,0,$C$1)&gt;=P$4,Tracks!T$111/1000,IF(OFFSET(Scenarios!$A$32,0,$C$1)+1=P$4,OFFSET(Scenarios!$A$31,0,$C$1)/5*(1-(1+OFFSET(Scenarios!$A$36,0,$C$1))^5)/-OFFSET(Scenarios!$A$36,0,$C$1),(O$195-N$195)*(1+OFFSET(Scenarios!$A$36,0,$C$1))))</f>
        <v>4.4409999999999998</v>
      </c>
      <c r="Q195" s="100">
        <f ca="1">P$195+IF(OFFSET(Scenarios!$A$32,0,$C$1)&gt;=Q$4,Tracks!U$111/1000,IF(OFFSET(Scenarios!$A$32,0,$C$1)+1=Q$4,OFFSET(Scenarios!$A$31,0,$C$1)/5*(1-(1+OFFSET(Scenarios!$A$36,0,$C$1))^5)/-OFFSET(Scenarios!$A$36,0,$C$1),(P$195-O$195)*(1+OFFSET(Scenarios!$A$36,0,$C$1))))</f>
        <v>5.2240000000000002</v>
      </c>
      <c r="R195" s="100">
        <f ca="1">Q$195+IF(OFFSET(Scenarios!$A$32,0,$C$1)&gt;=R$4,Tracks!V$111/1000,IF(OFFSET(Scenarios!$A$32,0,$C$1)+1=R$4,OFFSET(Scenarios!$A$31,0,$C$1)/5*(1-(1+OFFSET(Scenarios!$A$36,0,$C$1))^5)/-OFFSET(Scenarios!$A$36,0,$C$1),(Q$195-P$195)*(1+OFFSET(Scenarios!$A$36,0,$C$1))))</f>
        <v>6.194</v>
      </c>
      <c r="S195" s="100">
        <f ca="1">R$195+IF(OFFSET(Scenarios!$A$32,0,$C$1)&gt;=S$4,Tracks!W$111/1000,IF(OFFSET(Scenarios!$A$32,0,$C$1)+1=S$4,OFFSET(Scenarios!$A$31,0,$C$1)/5*(1-(1+OFFSET(Scenarios!$A$36,0,$C$1))^5)/-OFFSET(Scenarios!$A$36,0,$C$1),(R$195-Q$195)*(1+OFFSET(Scenarios!$A$36,0,$C$1))))</f>
        <v>7.1681963179519999</v>
      </c>
      <c r="T195" s="100">
        <f ca="1">S$195+IF(OFFSET(Scenarios!$A$32,0,$C$1)&gt;=T$4,Tracks!X$111/1000,IF(OFFSET(Scenarios!$A$32,0,$C$1)+1=T$4,OFFSET(Scenarios!$A$31,0,$C$1)/5*(1-(1+OFFSET(Scenarios!$A$36,0,$C$1))^5)/-OFFSET(Scenarios!$A$36,0,$C$1),(S$195-R$195)*(1+OFFSET(Scenarios!$A$36,0,$C$1))))</f>
        <v>8.1618765622630391</v>
      </c>
      <c r="U195" s="100">
        <f ca="1">T$195+IF(OFFSET(Scenarios!$A$32,0,$C$1)&gt;=U$4,Tracks!Y$111/1000,IF(OFFSET(Scenarios!$A$32,0,$C$1)+1=U$4,OFFSET(Scenarios!$A$31,0,$C$1)/5*(1-(1+OFFSET(Scenarios!$A$36,0,$C$1))^5)/-OFFSET(Scenarios!$A$36,0,$C$1),(T$195-S$195)*(1+OFFSET(Scenarios!$A$36,0,$C$1))))</f>
        <v>9.1754304114602991</v>
      </c>
      <c r="V195" s="100">
        <f ca="1">U$195+IF(OFFSET(Scenarios!$A$32,0,$C$1)&gt;=V$4,Tracks!Z$111/1000,IF(OFFSET(Scenarios!$A$32,0,$C$1)+1=V$4,OFFSET(Scenarios!$A$31,0,$C$1)/5*(1-(1+OFFSET(Scenarios!$A$36,0,$C$1))^5)/-OFFSET(Scenarios!$A$36,0,$C$1),(U$195-T$195)*(1+OFFSET(Scenarios!$A$36,0,$C$1))))</f>
        <v>10.209255337641505</v>
      </c>
      <c r="W195" s="100">
        <f ca="1">V$195+IF(OFFSET(Scenarios!$A$32,0,$C$1)&gt;=W$4,Tracks!AA$111/1000,IF(OFFSET(Scenarios!$A$32,0,$C$1)+1=W$4,OFFSET(Scenarios!$A$31,0,$C$1)/5*(1-(1+OFFSET(Scenarios!$A$36,0,$C$1))^5)/-OFFSET(Scenarios!$A$36,0,$C$1),(V$195-U$195)*(1+OFFSET(Scenarios!$A$36,0,$C$1))))</f>
        <v>11.263756762346334</v>
      </c>
      <c r="X195" s="100">
        <f ca="1">W$195+IF(OFFSET(Scenarios!$A$32,0,$C$1)&gt;=X$4,Tracks!AB$111/1000,IF(OFFSET(Scenarios!$A$32,0,$C$1)+1=X$4,OFFSET(Scenarios!$A$31,0,$C$1)/5*(1-(1+OFFSET(Scenarios!$A$36,0,$C$1))^5)/-OFFSET(Scenarios!$A$36,0,$C$1),(W$195-V$195)*(1+OFFSET(Scenarios!$A$36,0,$C$1))))</f>
        <v>12.339348215545261</v>
      </c>
    </row>
    <row r="196" spans="1:24" x14ac:dyDescent="0.2">
      <c r="A196" s="27"/>
      <c r="B196" s="77"/>
      <c r="C196" s="69"/>
      <c r="D196" s="101"/>
      <c r="E196" s="101"/>
      <c r="F196" s="101"/>
      <c r="G196" s="106"/>
      <c r="H196" s="106"/>
      <c r="I196" s="106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</row>
    <row r="197" spans="1:24" x14ac:dyDescent="0.2">
      <c r="A197" s="108" t="s">
        <v>665</v>
      </c>
      <c r="B197" s="77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 s="160" t="s">
        <v>312</v>
      </c>
      <c r="B198" s="231"/>
      <c r="C198" s="69"/>
      <c r="D198" s="69">
        <f>Data!C$114</f>
        <v>25.048999999999999</v>
      </c>
      <c r="E198" s="69">
        <f>Data!D$114</f>
        <v>25.696000000000002</v>
      </c>
      <c r="F198" s="69">
        <f>Data!E$114</f>
        <v>27.536000000000001</v>
      </c>
      <c r="G198" s="69">
        <f>Data!F$114</f>
        <v>28.663</v>
      </c>
      <c r="H198" s="69">
        <f>Data!G$114</f>
        <v>30.093</v>
      </c>
      <c r="I198" s="69">
        <f>Data!H$114</f>
        <v>31.308</v>
      </c>
      <c r="J198" s="105">
        <f>Data!I$114</f>
        <v>32.747</v>
      </c>
      <c r="K198" s="105">
        <f>Data!J$114</f>
        <v>33.755000000000003</v>
      </c>
      <c r="L198" s="105">
        <f>Data!K$114</f>
        <v>34.94</v>
      </c>
      <c r="M198" s="105">
        <f>Data!L$114</f>
        <v>36.347999999999999</v>
      </c>
      <c r="N198" s="105">
        <f>Data!M$114</f>
        <v>37.887</v>
      </c>
      <c r="O198" s="73">
        <f t="shared" ref="O198:X198" ca="1" si="93">N$198*(1+O$236)</f>
        <v>38.650494987341766</v>
      </c>
      <c r="P198" s="73">
        <f t="shared" ca="1" si="93"/>
        <v>39.423504887088605</v>
      </c>
      <c r="Q198" s="73">
        <f t="shared" ca="1" si="93"/>
        <v>40.211974984830377</v>
      </c>
      <c r="R198" s="73">
        <f t="shared" ca="1" si="93"/>
        <v>41.016214484526984</v>
      </c>
      <c r="S198" s="73">
        <f t="shared" ca="1" si="93"/>
        <v>41.836538774217523</v>
      </c>
      <c r="T198" s="73">
        <f t="shared" ca="1" si="93"/>
        <v>42.673269549701871</v>
      </c>
      <c r="U198" s="73">
        <f t="shared" ca="1" si="93"/>
        <v>43.52673494069591</v>
      </c>
      <c r="V198" s="73">
        <f t="shared" ca="1" si="93"/>
        <v>44.39726963950983</v>
      </c>
      <c r="W198" s="73">
        <f t="shared" ca="1" si="93"/>
        <v>45.28521503230003</v>
      </c>
      <c r="X198" s="73">
        <f t="shared" ca="1" si="93"/>
        <v>46.190919332946031</v>
      </c>
    </row>
    <row r="199" spans="1:24" x14ac:dyDescent="0.2">
      <c r="A199" s="160" t="s">
        <v>551</v>
      </c>
      <c r="B199" s="231"/>
      <c r="C199" s="69"/>
      <c r="D199" s="69">
        <f>Data!C$115</f>
        <v>0.80400000000000005</v>
      </c>
      <c r="E199" s="69">
        <f>Data!D$115</f>
        <v>0.84499999999999997</v>
      </c>
      <c r="F199" s="69">
        <f>Data!E$115</f>
        <v>1.135</v>
      </c>
      <c r="G199" s="69">
        <f>Data!F$115</f>
        <v>1.1220000000000001</v>
      </c>
      <c r="H199" s="69">
        <f>Data!G$115</f>
        <v>1.157</v>
      </c>
      <c r="I199" s="69">
        <f>Data!H$115</f>
        <v>1.111</v>
      </c>
      <c r="J199" s="105">
        <f>Data!I$115</f>
        <v>1.1759999999999999</v>
      </c>
      <c r="K199" s="105">
        <f>Data!J$115</f>
        <v>1.2869999999999999</v>
      </c>
      <c r="L199" s="105">
        <f>Data!K$115</f>
        <v>1.3180000000000001</v>
      </c>
      <c r="M199" s="105">
        <f>Data!L$115</f>
        <v>1.288</v>
      </c>
      <c r="N199" s="105">
        <f>Data!M$115</f>
        <v>1.2569999999999999</v>
      </c>
      <c r="O199" s="73">
        <f t="shared" ref="O199:X199" ca="1" si="94">N$199*(1+O$236)</f>
        <v>1.2823309367088604</v>
      </c>
      <c r="P199" s="73">
        <f t="shared" ca="1" si="94"/>
        <v>1.3079775554430377</v>
      </c>
      <c r="Q199" s="73">
        <f t="shared" ca="1" si="94"/>
        <v>1.3341371065518985</v>
      </c>
      <c r="R199" s="73">
        <f t="shared" ca="1" si="94"/>
        <v>1.3608198486829366</v>
      </c>
      <c r="S199" s="73">
        <f t="shared" ca="1" si="94"/>
        <v>1.3880362456565953</v>
      </c>
      <c r="T199" s="73">
        <f t="shared" ca="1" si="94"/>
        <v>1.4157969705697273</v>
      </c>
      <c r="U199" s="73">
        <f t="shared" ca="1" si="94"/>
        <v>1.4441129099811219</v>
      </c>
      <c r="V199" s="73">
        <f t="shared" ca="1" si="94"/>
        <v>1.4729951681807443</v>
      </c>
      <c r="W199" s="73">
        <f t="shared" ca="1" si="94"/>
        <v>1.5024550715443592</v>
      </c>
      <c r="X199" s="73">
        <f t="shared" ca="1" si="94"/>
        <v>1.5325041729752464</v>
      </c>
    </row>
    <row r="200" spans="1:24" x14ac:dyDescent="0.2">
      <c r="A200" s="160" t="s">
        <v>877</v>
      </c>
      <c r="B200" s="231"/>
      <c r="C200" s="69"/>
      <c r="D200" s="176">
        <f>Data!C$116</f>
        <v>1.0620000000000001</v>
      </c>
      <c r="E200" s="176">
        <f>Data!D$116</f>
        <v>1.375</v>
      </c>
      <c r="F200" s="176">
        <f>Data!E$116</f>
        <v>1.429</v>
      </c>
      <c r="G200" s="176">
        <f>Data!F$116</f>
        <v>1.4630000000000001</v>
      </c>
      <c r="H200" s="176">
        <f>Data!G$116</f>
        <v>1.6910000000000001</v>
      </c>
      <c r="I200" s="176">
        <f>Data!H$116</f>
        <v>1.6319999999999999</v>
      </c>
      <c r="J200" s="130">
        <f>Data!I$116</f>
        <v>1.532</v>
      </c>
      <c r="K200" s="130">
        <f>Data!J$116</f>
        <v>1.66</v>
      </c>
      <c r="L200" s="130">
        <f>Data!K$116</f>
        <v>1.4339999999999999</v>
      </c>
      <c r="M200" s="130">
        <f>Data!L$116</f>
        <v>1.454</v>
      </c>
      <c r="N200" s="130">
        <f>Data!M$116</f>
        <v>1.456</v>
      </c>
      <c r="O200" s="81">
        <f t="shared" ref="O200:X200" ca="1" si="95">N$200*(1+O$236)</f>
        <v>1.4853411645569619</v>
      </c>
      <c r="P200" s="81">
        <f t="shared" ca="1" si="95"/>
        <v>1.5150479878481011</v>
      </c>
      <c r="Q200" s="81">
        <f t="shared" ca="1" si="95"/>
        <v>1.5453489476050633</v>
      </c>
      <c r="R200" s="81">
        <f t="shared" ca="1" si="95"/>
        <v>1.5762559265571645</v>
      </c>
      <c r="S200" s="81">
        <f t="shared" ca="1" si="95"/>
        <v>1.6077810450883079</v>
      </c>
      <c r="T200" s="81">
        <f t="shared" ca="1" si="95"/>
        <v>1.639936665990074</v>
      </c>
      <c r="U200" s="81">
        <f t="shared" ca="1" si="95"/>
        <v>1.6727353993098755</v>
      </c>
      <c r="V200" s="81">
        <f t="shared" ca="1" si="95"/>
        <v>1.706190107296073</v>
      </c>
      <c r="W200" s="81">
        <f t="shared" ca="1" si="95"/>
        <v>1.7403139094419946</v>
      </c>
      <c r="X200" s="81">
        <f t="shared" ca="1" si="95"/>
        <v>1.7751201876308345</v>
      </c>
    </row>
    <row r="201" spans="1:24" x14ac:dyDescent="0.2">
      <c r="A201" s="27" t="s">
        <v>397</v>
      </c>
      <c r="B201" s="77"/>
      <c r="C201" s="69"/>
      <c r="D201" s="71">
        <f t="shared" ref="D201:X201" si="96">SUM(D$198:D$200)</f>
        <v>26.914999999999999</v>
      </c>
      <c r="E201" s="71">
        <f t="shared" si="96"/>
        <v>27.916</v>
      </c>
      <c r="F201" s="71">
        <f t="shared" si="96"/>
        <v>30.1</v>
      </c>
      <c r="G201" s="71">
        <f t="shared" si="96"/>
        <v>31.248000000000001</v>
      </c>
      <c r="H201" s="71">
        <f t="shared" si="96"/>
        <v>32.941000000000003</v>
      </c>
      <c r="I201" s="71">
        <f t="shared" si="96"/>
        <v>34.050999999999995</v>
      </c>
      <c r="J201" s="131">
        <f t="shared" si="96"/>
        <v>35.454999999999998</v>
      </c>
      <c r="K201" s="131">
        <f t="shared" si="96"/>
        <v>36.701999999999998</v>
      </c>
      <c r="L201" s="131">
        <f t="shared" si="96"/>
        <v>37.691999999999993</v>
      </c>
      <c r="M201" s="131">
        <f t="shared" si="96"/>
        <v>39.089999999999996</v>
      </c>
      <c r="N201" s="131">
        <f t="shared" si="96"/>
        <v>40.6</v>
      </c>
      <c r="O201" s="75">
        <f t="shared" ca="1" si="96"/>
        <v>41.418167088607589</v>
      </c>
      <c r="P201" s="75">
        <f t="shared" ca="1" si="96"/>
        <v>42.246530430379742</v>
      </c>
      <c r="Q201" s="75">
        <f t="shared" ca="1" si="96"/>
        <v>43.09146103898734</v>
      </c>
      <c r="R201" s="75">
        <f t="shared" ca="1" si="96"/>
        <v>43.953290259767087</v>
      </c>
      <c r="S201" s="75">
        <f t="shared" ca="1" si="96"/>
        <v>44.832356064962426</v>
      </c>
      <c r="T201" s="75">
        <f t="shared" ca="1" si="96"/>
        <v>45.729003186261671</v>
      </c>
      <c r="U201" s="75">
        <f t="shared" ca="1" si="96"/>
        <v>46.643583249986911</v>
      </c>
      <c r="V201" s="75">
        <f t="shared" ca="1" si="96"/>
        <v>47.576454914986648</v>
      </c>
      <c r="W201" s="75">
        <f t="shared" ca="1" si="96"/>
        <v>48.527984013286385</v>
      </c>
      <c r="X201" s="75">
        <f t="shared" ca="1" si="96"/>
        <v>49.498543693552108</v>
      </c>
    </row>
    <row r="202" spans="1:24" x14ac:dyDescent="0.2">
      <c r="A202" s="27" t="s">
        <v>398</v>
      </c>
      <c r="B202" s="231"/>
      <c r="C202" s="69"/>
      <c r="D202" s="71">
        <f>SUM(Data!C$63:C$64,Data!C$66:C$67)</f>
        <v>11.030999999999999</v>
      </c>
      <c r="E202" s="71">
        <f>SUM(Data!D$63:D$64,Data!D$66:D$67)</f>
        <v>12.443</v>
      </c>
      <c r="F202" s="71">
        <f>SUM(Data!E$63:E$64,Data!E$66:E$67)</f>
        <v>13.657</v>
      </c>
      <c r="G202" s="71">
        <f>SUM(Data!F$63:F$64,Data!F$66:F$67)</f>
        <v>14.053999999999998</v>
      </c>
      <c r="H202" s="71">
        <f>SUM(Data!G$63:G$64,Data!G$66:G$67)</f>
        <v>14.999000000000001</v>
      </c>
      <c r="I202" s="71">
        <f>SUM(Data!H$63:H$64,Data!H$66:H$67)</f>
        <v>15.556000000000001</v>
      </c>
      <c r="J202" s="131">
        <f>SUM(Data!I$63:I$64,Data!I$66:I$67)</f>
        <v>15.644</v>
      </c>
      <c r="K202" s="131">
        <f>SUM(Data!J$63:J$64,Data!J$66:J$67)</f>
        <v>16.042000000000002</v>
      </c>
      <c r="L202" s="131">
        <f>SUM(Data!K$63:K$64,Data!K$66:K$67)</f>
        <v>15.949000000000002</v>
      </c>
      <c r="M202" s="131">
        <f>SUM(Data!L$63:L$64,Data!L$66:L$67)</f>
        <v>16.056999999999999</v>
      </c>
      <c r="N202" s="131">
        <f>SUM(Data!M$63:M$64,Data!M$66:M$67)</f>
        <v>16.106999999999999</v>
      </c>
      <c r="O202" s="75">
        <f t="shared" ref="O202:X202" ca="1" si="97">N$202*(1+O$236)</f>
        <v>16.43158663291139</v>
      </c>
      <c r="P202" s="75">
        <f t="shared" ca="1" si="97"/>
        <v>16.760218365569617</v>
      </c>
      <c r="Q202" s="75">
        <f t="shared" ca="1" si="97"/>
        <v>17.095422732881008</v>
      </c>
      <c r="R202" s="75">
        <f t="shared" ca="1" si="97"/>
        <v>17.437331187538629</v>
      </c>
      <c r="S202" s="75">
        <f t="shared" ca="1" si="97"/>
        <v>17.786077811289402</v>
      </c>
      <c r="T202" s="75">
        <f t="shared" ca="1" si="97"/>
        <v>18.141799367515191</v>
      </c>
      <c r="U202" s="75">
        <f t="shared" ca="1" si="97"/>
        <v>18.504635354865496</v>
      </c>
      <c r="V202" s="75">
        <f t="shared" ca="1" si="97"/>
        <v>18.874728061962806</v>
      </c>
      <c r="W202" s="75">
        <f t="shared" ca="1" si="97"/>
        <v>19.252222623202062</v>
      </c>
      <c r="X202" s="75">
        <f t="shared" ca="1" si="97"/>
        <v>19.637267075666102</v>
      </c>
    </row>
    <row r="203" spans="1:24" x14ac:dyDescent="0.2">
      <c r="A203" s="225" t="s">
        <v>696</v>
      </c>
      <c r="B203" s="231"/>
      <c r="C203" s="69"/>
      <c r="D203" s="284">
        <f>SUM(D$144,D$154,D$176)-Data!C$88</f>
        <v>0.22300000000000608</v>
      </c>
      <c r="E203" s="284">
        <f>SUM(E$144,E$154,E$176)-Data!D$88</f>
        <v>-0.10000000000000142</v>
      </c>
      <c r="F203" s="284">
        <f>SUM(F$144,F$154,F$176)-Data!E$88</f>
        <v>-0.39900000000000091</v>
      </c>
      <c r="G203" s="284">
        <f>SUM(G$144,G$154,G$176)-Data!F$88</f>
        <v>-4.0000000000048885E-3</v>
      </c>
      <c r="H203" s="284">
        <f>SUM(H$144,H$154,H$176)-Data!G$88</f>
        <v>-0.30100000000000193</v>
      </c>
      <c r="I203" s="284">
        <f>SUM(I$144,I$154,I$176)-Data!H$88</f>
        <v>-9.9999999999909051E-3</v>
      </c>
      <c r="J203" s="156">
        <f>SUM(J$144,J$154,J$176)-Data!I$88</f>
        <v>-2.0000000000024443E-3</v>
      </c>
      <c r="K203" s="156">
        <f>SUM(K$144,K$154,K$176)-Data!J$88</f>
        <v>-9.9999999999980105E-3</v>
      </c>
      <c r="L203" s="156">
        <f>SUM(L$144,L$154,L$176)-Data!K$88</f>
        <v>-2.4000000000000909E-2</v>
      </c>
      <c r="M203" s="156">
        <f>SUM(M$144,M$154,M$176)-Data!L$88</f>
        <v>-4.9000000000006594E-2</v>
      </c>
      <c r="N203" s="156">
        <f>SUM(N$144,N$154,N$176)-Data!M$88</f>
        <v>-8.2000000000007844E-2</v>
      </c>
      <c r="O203" s="235">
        <f>IF(O$2="Proj Yr1",0,N$203)</f>
        <v>0</v>
      </c>
      <c r="P203" s="235">
        <f t="shared" ref="P203:X203" si="98">IF(P$2="Proj Yr1",0,O$203)</f>
        <v>0</v>
      </c>
      <c r="Q203" s="235">
        <f t="shared" si="98"/>
        <v>0</v>
      </c>
      <c r="R203" s="235">
        <f t="shared" si="98"/>
        <v>0</v>
      </c>
      <c r="S203" s="235">
        <f t="shared" si="98"/>
        <v>0</v>
      </c>
      <c r="T203" s="235">
        <f t="shared" si="98"/>
        <v>0</v>
      </c>
      <c r="U203" s="235">
        <f t="shared" si="98"/>
        <v>0</v>
      </c>
      <c r="V203" s="235">
        <f t="shared" si="98"/>
        <v>0</v>
      </c>
      <c r="W203" s="235">
        <f t="shared" si="98"/>
        <v>0</v>
      </c>
      <c r="X203" s="235">
        <f t="shared" si="98"/>
        <v>0</v>
      </c>
    </row>
    <row r="204" spans="1:24" x14ac:dyDescent="0.2">
      <c r="A204" s="31"/>
      <c r="B204" s="77"/>
      <c r="C204" s="69"/>
      <c r="D204" s="101"/>
      <c r="E204" s="101"/>
      <c r="F204" s="101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</row>
    <row r="205" spans="1:24" x14ac:dyDescent="0.2">
      <c r="A205" s="108" t="s">
        <v>666</v>
      </c>
      <c r="B205" s="77"/>
      <c r="C205" s="69"/>
      <c r="D205" s="101"/>
      <c r="E205" s="101"/>
      <c r="F205" s="101"/>
      <c r="G205" s="106"/>
      <c r="H205" s="106"/>
      <c r="I205" s="106"/>
      <c r="J205" s="106"/>
      <c r="K205" s="106"/>
      <c r="L205" s="106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</row>
    <row r="206" spans="1:24" x14ac:dyDescent="0.2">
      <c r="A206" s="225" t="s">
        <v>112</v>
      </c>
      <c r="B206" s="231"/>
      <c r="C206" s="69"/>
      <c r="D206" s="69">
        <f>Data!C$210</f>
        <v>0.70399999999999996</v>
      </c>
      <c r="E206" s="69">
        <f>Data!D$210</f>
        <v>0.56200000000000006</v>
      </c>
      <c r="F206" s="69">
        <f>Data!E$210</f>
        <v>-0.20699999999999999</v>
      </c>
      <c r="G206" s="69">
        <f>Data!F$210</f>
        <v>-0.21199999999999999</v>
      </c>
      <c r="H206" s="69">
        <f>Data!G$210</f>
        <v>-0.29099999999999998</v>
      </c>
      <c r="I206" s="69">
        <f>Data!H$210</f>
        <v>-0.20200000000000001</v>
      </c>
      <c r="J206" s="105">
        <f>Data!I$210</f>
        <v>-0.114</v>
      </c>
      <c r="K206" s="105">
        <f>Data!J$210</f>
        <v>-0.114</v>
      </c>
      <c r="L206" s="105">
        <f>Data!K$210</f>
        <v>-0.114</v>
      </c>
      <c r="M206" s="105">
        <f>Data!L$210</f>
        <v>-0.114</v>
      </c>
      <c r="N206" s="105">
        <f>Data!M$210</f>
        <v>-0.114</v>
      </c>
      <c r="O206" s="285">
        <f t="shared" ref="O206:X206" si="99">N$206</f>
        <v>-0.114</v>
      </c>
      <c r="P206" s="285">
        <f t="shared" si="99"/>
        <v>-0.114</v>
      </c>
      <c r="Q206" s="285">
        <f t="shared" si="99"/>
        <v>-0.114</v>
      </c>
      <c r="R206" s="285">
        <f t="shared" si="99"/>
        <v>-0.114</v>
      </c>
      <c r="S206" s="285">
        <f t="shared" si="99"/>
        <v>-0.114</v>
      </c>
      <c r="T206" s="285">
        <f t="shared" si="99"/>
        <v>-0.114</v>
      </c>
      <c r="U206" s="285">
        <f t="shared" si="99"/>
        <v>-0.114</v>
      </c>
      <c r="V206" s="285">
        <f t="shared" si="99"/>
        <v>-0.114</v>
      </c>
      <c r="W206" s="285">
        <f t="shared" si="99"/>
        <v>-0.114</v>
      </c>
      <c r="X206" s="285">
        <f t="shared" si="99"/>
        <v>-0.114</v>
      </c>
    </row>
    <row r="207" spans="1:24" x14ac:dyDescent="0.2">
      <c r="A207" s="225" t="s">
        <v>653</v>
      </c>
      <c r="B207" s="231"/>
      <c r="C207" s="69"/>
      <c r="D207" s="69">
        <f>Data!C$211</f>
        <v>0</v>
      </c>
      <c r="E207" s="69">
        <f>Data!D$211</f>
        <v>0</v>
      </c>
      <c r="F207" s="69">
        <f>Data!E$211</f>
        <v>1.7000000000000001E-2</v>
      </c>
      <c r="G207" s="69">
        <f>Data!F$211</f>
        <v>7.3999999999999996E-2</v>
      </c>
      <c r="H207" s="69">
        <f>Data!G$211</f>
        <v>0.61199999999999999</v>
      </c>
      <c r="I207" s="69">
        <f>Data!H$211</f>
        <v>0.375</v>
      </c>
      <c r="J207" s="105">
        <f>Data!I$211</f>
        <v>0.214</v>
      </c>
      <c r="K207" s="105">
        <f>Data!J$211</f>
        <v>0.20899999999999999</v>
      </c>
      <c r="L207" s="105">
        <f>Data!K$211</f>
        <v>0.20599999999999999</v>
      </c>
      <c r="M207" s="105">
        <f>Data!L$211</f>
        <v>0.20499999999999999</v>
      </c>
      <c r="N207" s="105">
        <f>Data!M$211</f>
        <v>0.20499999999999999</v>
      </c>
      <c r="O207" s="285">
        <f t="shared" ref="O207:X207" ca="1" si="100">SUM(N$207,O$209,-O$208)</f>
        <v>0.20499999999999996</v>
      </c>
      <c r="P207" s="285">
        <f t="shared" ca="1" si="100"/>
        <v>0.20499999999999996</v>
      </c>
      <c r="Q207" s="285">
        <f t="shared" ca="1" si="100"/>
        <v>0.20499999999999996</v>
      </c>
      <c r="R207" s="285">
        <f t="shared" ca="1" si="100"/>
        <v>0.20499999999999996</v>
      </c>
      <c r="S207" s="285">
        <f t="shared" ca="1" si="100"/>
        <v>0.20499999999999996</v>
      </c>
      <c r="T207" s="285">
        <f t="shared" ca="1" si="100"/>
        <v>0.20499999999999996</v>
      </c>
      <c r="U207" s="285">
        <f t="shared" ca="1" si="100"/>
        <v>0.20499999999999999</v>
      </c>
      <c r="V207" s="285">
        <f t="shared" ca="1" si="100"/>
        <v>0.20500000000000002</v>
      </c>
      <c r="W207" s="285">
        <f t="shared" ca="1" si="100"/>
        <v>0.20500000000000002</v>
      </c>
      <c r="X207" s="285">
        <f t="shared" ca="1" si="100"/>
        <v>0.20500000000000002</v>
      </c>
    </row>
    <row r="208" spans="1:24" x14ac:dyDescent="0.2">
      <c r="A208" s="225" t="s">
        <v>654</v>
      </c>
      <c r="B208" s="231"/>
      <c r="C208" s="69"/>
      <c r="D208" s="69">
        <f>Data!C$212</f>
        <v>0</v>
      </c>
      <c r="E208" s="69">
        <f>Data!D$212</f>
        <v>0</v>
      </c>
      <c r="F208" s="69">
        <f>Data!E$212</f>
        <v>0</v>
      </c>
      <c r="G208" s="69">
        <f>Data!F$212</f>
        <v>2.3E-2</v>
      </c>
      <c r="H208" s="69">
        <f>Data!G$212</f>
        <v>0.32200000000000001</v>
      </c>
      <c r="I208" s="69">
        <f>Data!H$212</f>
        <v>0.57099999999999995</v>
      </c>
      <c r="J208" s="105">
        <f>Data!I$212</f>
        <v>0.22</v>
      </c>
      <c r="K208" s="105">
        <f>Data!J$212</f>
        <v>6.6000000000000003E-2</v>
      </c>
      <c r="L208" s="105">
        <f>Data!K$212</f>
        <v>6.6000000000000003E-2</v>
      </c>
      <c r="M208" s="105">
        <f>Data!L$212</f>
        <v>6.6000000000000003E-2</v>
      </c>
      <c r="N208" s="105">
        <f>Data!M$212</f>
        <v>6.6000000000000003E-2</v>
      </c>
      <c r="O208" s="285">
        <f t="shared" ref="O208:X208" ca="1" si="101">N$208*(1+O$236)</f>
        <v>6.7330025316455697E-2</v>
      </c>
      <c r="P208" s="285">
        <f t="shared" ca="1" si="101"/>
        <v>6.8676625822784818E-2</v>
      </c>
      <c r="Q208" s="285">
        <f t="shared" ca="1" si="101"/>
        <v>7.0050158339240512E-2</v>
      </c>
      <c r="R208" s="285">
        <f t="shared" ca="1" si="101"/>
        <v>7.1451161506025318E-2</v>
      </c>
      <c r="S208" s="285">
        <f t="shared" ca="1" si="101"/>
        <v>7.2880184736145825E-2</v>
      </c>
      <c r="T208" s="285">
        <f t="shared" ca="1" si="101"/>
        <v>7.4337788430868745E-2</v>
      </c>
      <c r="U208" s="285">
        <f t="shared" ca="1" si="101"/>
        <v>7.5824544199486116E-2</v>
      </c>
      <c r="V208" s="285">
        <f t="shared" ca="1" si="101"/>
        <v>7.734103508347584E-2</v>
      </c>
      <c r="W208" s="285">
        <f t="shared" ca="1" si="101"/>
        <v>7.8887855785145358E-2</v>
      </c>
      <c r="X208" s="285">
        <f t="shared" ca="1" si="101"/>
        <v>8.0465612900848263E-2</v>
      </c>
    </row>
    <row r="209" spans="1:24" x14ac:dyDescent="0.2">
      <c r="A209" s="225" t="s">
        <v>655</v>
      </c>
      <c r="B209" s="231"/>
      <c r="C209" s="69"/>
      <c r="D209" s="69">
        <f>Data!C$213</f>
        <v>0</v>
      </c>
      <c r="E209" s="69">
        <f>Data!D$213</f>
        <v>0</v>
      </c>
      <c r="F209" s="69">
        <f>Data!E$213</f>
        <v>1.7000000000000001E-2</v>
      </c>
      <c r="G209" s="69">
        <f>Data!F$213</f>
        <v>0.08</v>
      </c>
      <c r="H209" s="69">
        <f>Data!G$213</f>
        <v>0.86</v>
      </c>
      <c r="I209" s="69">
        <f>Data!H$213</f>
        <v>0.33400000000000002</v>
      </c>
      <c r="J209" s="105">
        <f>Data!I$213</f>
        <v>5.8999999999999997E-2</v>
      </c>
      <c r="K209" s="105">
        <f>Data!J$213</f>
        <v>6.0999999999999999E-2</v>
      </c>
      <c r="L209" s="105">
        <f>Data!K$213</f>
        <v>6.3E-2</v>
      </c>
      <c r="M209" s="105">
        <f>Data!L$213</f>
        <v>6.5000000000000002E-2</v>
      </c>
      <c r="N209" s="105">
        <f>Data!M$213</f>
        <v>6.6000000000000003E-2</v>
      </c>
      <c r="O209" s="80">
        <f t="shared" ref="O209:X209" ca="1" si="102">O$208</f>
        <v>6.7330025316455697E-2</v>
      </c>
      <c r="P209" s="80">
        <f t="shared" ca="1" si="102"/>
        <v>6.8676625822784818E-2</v>
      </c>
      <c r="Q209" s="80">
        <f t="shared" ca="1" si="102"/>
        <v>7.0050158339240512E-2</v>
      </c>
      <c r="R209" s="80">
        <f t="shared" ca="1" si="102"/>
        <v>7.1451161506025318E-2</v>
      </c>
      <c r="S209" s="80">
        <f t="shared" ca="1" si="102"/>
        <v>7.2880184736145825E-2</v>
      </c>
      <c r="T209" s="80">
        <f t="shared" ca="1" si="102"/>
        <v>7.4337788430868745E-2</v>
      </c>
      <c r="U209" s="80">
        <f t="shared" ca="1" si="102"/>
        <v>7.5824544199486116E-2</v>
      </c>
      <c r="V209" s="80">
        <f t="shared" ca="1" si="102"/>
        <v>7.734103508347584E-2</v>
      </c>
      <c r="W209" s="80">
        <f t="shared" ca="1" si="102"/>
        <v>7.8887855785145358E-2</v>
      </c>
      <c r="X209" s="80">
        <f t="shared" ca="1" si="102"/>
        <v>8.0465612900848263E-2</v>
      </c>
    </row>
    <row r="210" spans="1:24" x14ac:dyDescent="0.2">
      <c r="A210" s="225"/>
      <c r="B210" s="77"/>
      <c r="C210" s="69"/>
      <c r="D210" s="101"/>
      <c r="E210" s="101"/>
      <c r="F210" s="101"/>
      <c r="G210" s="106"/>
      <c r="H210" s="106"/>
      <c r="I210" s="106"/>
      <c r="J210" s="106"/>
      <c r="K210" s="106"/>
      <c r="L210" s="106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</row>
    <row r="211" spans="1:24" x14ac:dyDescent="0.2">
      <c r="A211" s="108" t="s">
        <v>399</v>
      </c>
      <c r="B211" s="77"/>
      <c r="C211" s="69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</row>
    <row r="212" spans="1:24" x14ac:dyDescent="0.2">
      <c r="A212" s="160" t="s">
        <v>667</v>
      </c>
      <c r="B212" s="231"/>
      <c r="C212" s="69"/>
      <c r="D212" s="69">
        <f>Data!C$76</f>
        <v>7.1609999999999996</v>
      </c>
      <c r="E212" s="69">
        <f>Data!D$76</f>
        <v>8.2569999999999997</v>
      </c>
      <c r="F212" s="69">
        <f>Data!E$76</f>
        <v>8.9930000000000003</v>
      </c>
      <c r="G212" s="69">
        <f>Data!F$76</f>
        <v>9.94</v>
      </c>
      <c r="H212" s="69">
        <f>Data!G$76</f>
        <v>10.156000000000001</v>
      </c>
      <c r="I212" s="69">
        <f>Data!H$76</f>
        <v>13.539</v>
      </c>
      <c r="J212" s="105">
        <f>Data!I$76</f>
        <v>12.96</v>
      </c>
      <c r="K212" s="105">
        <f>Data!J$76</f>
        <v>12.484999999999999</v>
      </c>
      <c r="L212" s="105">
        <f>Data!K$76</f>
        <v>12.019</v>
      </c>
      <c r="M212" s="105">
        <f>Data!L$76</f>
        <v>11.571999999999999</v>
      </c>
      <c r="N212" s="105">
        <f>Data!M$76</f>
        <v>11.146000000000001</v>
      </c>
      <c r="O212" s="100">
        <f>N$212*Tracks!S$15/Tracks!R$15</f>
        <v>10.886384811117635</v>
      </c>
      <c r="P212" s="100">
        <f>O$212*Tracks!T$15/Tracks!S$15</f>
        <v>10.623497161871207</v>
      </c>
      <c r="Q212" s="100">
        <f>P$212*Tracks!U$15/Tracks!T$15</f>
        <v>10.334429829712274</v>
      </c>
      <c r="R212" s="100">
        <f>Q$212*Tracks!V$15/Tracks!U$15</f>
        <v>10.026818555490312</v>
      </c>
      <c r="S212" s="100">
        <f>R$212*Tracks!W$15/Tracks!V$15</f>
        <v>9.7028449794480327</v>
      </c>
      <c r="T212" s="100">
        <f>S$212*Tracks!X$15/Tracks!W$15</f>
        <v>9.3712356625562752</v>
      </c>
      <c r="U212" s="100">
        <f>T$212*Tracks!Y$15/Tracks!X$15</f>
        <v>9.04398962614993</v>
      </c>
      <c r="V212" s="100">
        <f>U$212*Tracks!Z$15/Tracks!Y$15</f>
        <v>8.7221976903503613</v>
      </c>
      <c r="W212" s="100">
        <f>V$212*Tracks!AA$15/Tracks!Z$15</f>
        <v>8.4102231356429815</v>
      </c>
      <c r="X212" s="100">
        <f>W$212*Tracks!AB$15/Tracks!AA$15</f>
        <v>8.1047935016637283</v>
      </c>
    </row>
    <row r="213" spans="1:24" x14ac:dyDescent="0.2">
      <c r="A213" s="68" t="s">
        <v>668</v>
      </c>
      <c r="B213" s="41"/>
      <c r="C213" s="69"/>
      <c r="D213" s="69">
        <f>SUM(D$206,D$207)</f>
        <v>0.70399999999999996</v>
      </c>
      <c r="E213" s="69">
        <f t="shared" ref="E213:X213" si="103">SUM(E$206,E$207)</f>
        <v>0.56200000000000006</v>
      </c>
      <c r="F213" s="69">
        <f t="shared" si="103"/>
        <v>-0.19</v>
      </c>
      <c r="G213" s="69">
        <f t="shared" si="103"/>
        <v>-0.13800000000000001</v>
      </c>
      <c r="H213" s="69">
        <f t="shared" si="103"/>
        <v>0.32100000000000001</v>
      </c>
      <c r="I213" s="69">
        <f t="shared" si="103"/>
        <v>0.17299999999999999</v>
      </c>
      <c r="J213" s="105">
        <f t="shared" si="103"/>
        <v>9.9999999999999992E-2</v>
      </c>
      <c r="K213" s="105">
        <f t="shared" si="103"/>
        <v>9.4999999999999987E-2</v>
      </c>
      <c r="L213" s="105">
        <f t="shared" si="103"/>
        <v>9.1999999999999985E-2</v>
      </c>
      <c r="M213" s="105">
        <f t="shared" si="103"/>
        <v>9.0999999999999984E-2</v>
      </c>
      <c r="N213" s="105">
        <f t="shared" si="103"/>
        <v>9.0999999999999984E-2</v>
      </c>
      <c r="O213" s="80">
        <f t="shared" ca="1" si="103"/>
        <v>9.0999999999999956E-2</v>
      </c>
      <c r="P213" s="80">
        <f t="shared" ca="1" si="103"/>
        <v>9.0999999999999956E-2</v>
      </c>
      <c r="Q213" s="80">
        <f t="shared" ca="1" si="103"/>
        <v>9.0999999999999956E-2</v>
      </c>
      <c r="R213" s="80">
        <f t="shared" ca="1" si="103"/>
        <v>9.0999999999999956E-2</v>
      </c>
      <c r="S213" s="80">
        <f t="shared" ca="1" si="103"/>
        <v>9.0999999999999956E-2</v>
      </c>
      <c r="T213" s="80">
        <f t="shared" ca="1" si="103"/>
        <v>9.0999999999999956E-2</v>
      </c>
      <c r="U213" s="80">
        <f t="shared" ca="1" si="103"/>
        <v>9.0999999999999984E-2</v>
      </c>
      <c r="V213" s="80">
        <f t="shared" ca="1" si="103"/>
        <v>9.1000000000000011E-2</v>
      </c>
      <c r="W213" s="80">
        <f t="shared" ca="1" si="103"/>
        <v>9.1000000000000011E-2</v>
      </c>
      <c r="X213" s="80">
        <f t="shared" ca="1" si="103"/>
        <v>9.1000000000000011E-2</v>
      </c>
    </row>
    <row r="214" spans="1:24" x14ac:dyDescent="0.2">
      <c r="A214" s="68" t="s">
        <v>669</v>
      </c>
      <c r="B214" s="231"/>
      <c r="C214" s="69"/>
      <c r="D214" s="69">
        <f>Data!C$119-SUM(D$212,D$213)</f>
        <v>10.673000000000002</v>
      </c>
      <c r="E214" s="69">
        <f>Data!D$119-SUM(E$212,E$213)</f>
        <v>13.213000000000001</v>
      </c>
      <c r="F214" s="69">
        <f>Data!E$119-SUM(F$212,F$213)</f>
        <v>14.439</v>
      </c>
      <c r="G214" s="69">
        <f>Data!F$119-SUM(G$212,G$213)</f>
        <v>15.161000000000001</v>
      </c>
      <c r="H214" s="69">
        <f>Data!G$119-SUM(H$212,H$213)</f>
        <v>16.73</v>
      </c>
      <c r="I214" s="69">
        <f>Data!H$119-SUM(I$212,I$213)</f>
        <v>16.815999999999999</v>
      </c>
      <c r="J214" s="105">
        <f>Data!I$119-SUM(J$212,J$213)</f>
        <v>17.085000000000001</v>
      </c>
      <c r="K214" s="105">
        <f>Data!J$119-SUM(K$212,K$213)</f>
        <v>15.615</v>
      </c>
      <c r="L214" s="105">
        <f>Data!K$119-SUM(L$212,L$213)</f>
        <v>15.474999999999998</v>
      </c>
      <c r="M214" s="105">
        <f>Data!L$119-SUM(M$212,M$213)</f>
        <v>15.133000000000001</v>
      </c>
      <c r="N214" s="105">
        <f>Data!M$119-SUM(N$212,N$213)</f>
        <v>15.368</v>
      </c>
      <c r="O214" s="80">
        <f t="shared" ref="O214:X214" ca="1" si="104">N$214*(1+O$236)</f>
        <v>15.677694379746834</v>
      </c>
      <c r="P214" s="80">
        <f t="shared" ca="1" si="104"/>
        <v>15.991248267341771</v>
      </c>
      <c r="Q214" s="80">
        <f t="shared" ca="1" si="104"/>
        <v>16.311073232688607</v>
      </c>
      <c r="R214" s="80">
        <f t="shared" ca="1" si="104"/>
        <v>16.63729469734238</v>
      </c>
      <c r="S214" s="80">
        <f t="shared" ca="1" si="104"/>
        <v>16.970040591289226</v>
      </c>
      <c r="T214" s="80">
        <f t="shared" ca="1" si="104"/>
        <v>17.309441403115013</v>
      </c>
      <c r="U214" s="80">
        <f t="shared" ca="1" si="104"/>
        <v>17.655630231177312</v>
      </c>
      <c r="V214" s="80">
        <f t="shared" ca="1" si="104"/>
        <v>18.008742835800859</v>
      </c>
      <c r="W214" s="80">
        <f t="shared" ca="1" si="104"/>
        <v>18.368917692516877</v>
      </c>
      <c r="X214" s="80">
        <f t="shared" ca="1" si="104"/>
        <v>18.736296046367215</v>
      </c>
    </row>
    <row r="215" spans="1:24" x14ac:dyDescent="0.2">
      <c r="A215" s="161" t="s">
        <v>697</v>
      </c>
      <c r="B215" s="231"/>
      <c r="C215" s="69"/>
      <c r="D215" s="176">
        <f>D$225-Data!C$118</f>
        <v>7.0000000000050022E-3</v>
      </c>
      <c r="E215" s="176">
        <f>E$225-Data!D$118</f>
        <v>0.16899999999999693</v>
      </c>
      <c r="F215" s="176">
        <f>F$225-Data!E$118</f>
        <v>0.65599999999999881</v>
      </c>
      <c r="G215" s="176">
        <f>G$225-Data!F$118</f>
        <v>1</v>
      </c>
      <c r="H215" s="176">
        <f>H$225-Data!G$118</f>
        <v>5.8000000000006935E-2</v>
      </c>
      <c r="I215" s="176">
        <f>I$225-Data!H$118</f>
        <v>0.17000000000000171</v>
      </c>
      <c r="J215" s="130">
        <f>J$225-Data!I$118</f>
        <v>1.9999999999953388E-3</v>
      </c>
      <c r="K215" s="130">
        <f>K$225-Data!J$118</f>
        <v>1.9999999999953388E-3</v>
      </c>
      <c r="L215" s="130">
        <f>L$225-Data!K$118</f>
        <v>1.0000000000047748E-3</v>
      </c>
      <c r="M215" s="130">
        <f>M$225-Data!L$118</f>
        <v>1.9999999999953388E-3</v>
      </c>
      <c r="N215" s="130">
        <f>N$225-Data!M$118</f>
        <v>0</v>
      </c>
      <c r="O215" s="81">
        <f t="shared" ref="O215:X215" si="105">IF(O$2="Proj Yr1",0,N$215)</f>
        <v>0</v>
      </c>
      <c r="P215" s="81">
        <f t="shared" si="105"/>
        <v>0</v>
      </c>
      <c r="Q215" s="81">
        <f t="shared" si="105"/>
        <v>0</v>
      </c>
      <c r="R215" s="81">
        <f t="shared" si="105"/>
        <v>0</v>
      </c>
      <c r="S215" s="81">
        <f t="shared" si="105"/>
        <v>0</v>
      </c>
      <c r="T215" s="81">
        <f t="shared" si="105"/>
        <v>0</v>
      </c>
      <c r="U215" s="81">
        <f t="shared" si="105"/>
        <v>0</v>
      </c>
      <c r="V215" s="81">
        <f t="shared" si="105"/>
        <v>0</v>
      </c>
      <c r="W215" s="81">
        <f t="shared" si="105"/>
        <v>0</v>
      </c>
      <c r="X215" s="81">
        <f t="shared" si="105"/>
        <v>0</v>
      </c>
    </row>
    <row r="216" spans="1:24" x14ac:dyDescent="0.2">
      <c r="A216" s="27" t="s">
        <v>179</v>
      </c>
      <c r="B216" s="41"/>
      <c r="C216" s="69"/>
      <c r="D216" s="71">
        <f t="shared" ref="D216:X216" si="106">SUM(D$212:D$214,-D$215)</f>
        <v>18.530999999999995</v>
      </c>
      <c r="E216" s="71">
        <f t="shared" si="106"/>
        <v>21.863000000000003</v>
      </c>
      <c r="F216" s="71">
        <f t="shared" si="106"/>
        <v>22.586000000000002</v>
      </c>
      <c r="G216" s="71">
        <f t="shared" si="106"/>
        <v>23.963000000000001</v>
      </c>
      <c r="H216" s="71">
        <f t="shared" si="106"/>
        <v>27.148999999999994</v>
      </c>
      <c r="I216" s="71">
        <f t="shared" si="106"/>
        <v>30.357999999999997</v>
      </c>
      <c r="J216" s="131">
        <f t="shared" si="106"/>
        <v>30.143000000000008</v>
      </c>
      <c r="K216" s="131">
        <f t="shared" si="106"/>
        <v>28.193000000000005</v>
      </c>
      <c r="L216" s="131">
        <f t="shared" si="106"/>
        <v>27.584999999999994</v>
      </c>
      <c r="M216" s="131">
        <f t="shared" si="106"/>
        <v>26.794000000000004</v>
      </c>
      <c r="N216" s="131">
        <f t="shared" si="106"/>
        <v>26.605</v>
      </c>
      <c r="O216" s="75">
        <f t="shared" ca="1" si="106"/>
        <v>26.65507919086447</v>
      </c>
      <c r="P216" s="75">
        <f t="shared" ca="1" si="106"/>
        <v>26.705745429212975</v>
      </c>
      <c r="Q216" s="75">
        <f t="shared" ca="1" si="106"/>
        <v>26.736503062400878</v>
      </c>
      <c r="R216" s="75">
        <f t="shared" ca="1" si="106"/>
        <v>26.755113252832693</v>
      </c>
      <c r="S216" s="75">
        <f t="shared" ca="1" si="106"/>
        <v>26.763885570737258</v>
      </c>
      <c r="T216" s="75">
        <f t="shared" ca="1" si="106"/>
        <v>26.771677065671287</v>
      </c>
      <c r="U216" s="75">
        <f t="shared" ca="1" si="106"/>
        <v>26.790619857327243</v>
      </c>
      <c r="V216" s="75">
        <f t="shared" ca="1" si="106"/>
        <v>26.82194052615122</v>
      </c>
      <c r="W216" s="75">
        <f t="shared" ca="1" si="106"/>
        <v>26.870140828159858</v>
      </c>
      <c r="X216" s="75">
        <f t="shared" ca="1" si="106"/>
        <v>26.932089548030945</v>
      </c>
    </row>
    <row r="217" spans="1:24" x14ac:dyDescent="0.2">
      <c r="A217" s="161" t="s">
        <v>675</v>
      </c>
      <c r="B217" s="231"/>
      <c r="C217" s="69"/>
      <c r="D217" s="177">
        <f>SUM(Data!C$205,Data!C$206)</f>
        <v>17.396000000000001</v>
      </c>
      <c r="E217" s="177">
        <f>SUM(Data!D$205,Data!D$206)</f>
        <v>20.471</v>
      </c>
      <c r="F217" s="177">
        <f>SUM(Data!E$205,Data!E$206)</f>
        <v>26.533000000000001</v>
      </c>
      <c r="G217" s="177">
        <f>SUM(Data!F$205,Data!F$206)</f>
        <v>27.085000000000001</v>
      </c>
      <c r="H217" s="177">
        <f>SUM(Data!G$205,Data!G$206)</f>
        <v>37.509</v>
      </c>
      <c r="I217" s="177">
        <f>SUM(Data!H$205,Data!H$206)</f>
        <v>39.524999999999999</v>
      </c>
      <c r="J217" s="156">
        <f>SUM(Data!I$205,Data!I$206)</f>
        <v>37.382999999999996</v>
      </c>
      <c r="K217" s="156">
        <f>SUM(Data!J$205,Data!J$206)</f>
        <v>35.524999999999999</v>
      </c>
      <c r="L217" s="156">
        <f>SUM(Data!K$205,Data!K$206)</f>
        <v>35.154000000000003</v>
      </c>
      <c r="M217" s="156">
        <f>SUM(Data!L$205,Data!L$206)</f>
        <v>35.58</v>
      </c>
      <c r="N217" s="156">
        <f>SUM(Data!M$205,Data!M$206)</f>
        <v>37.100999999999999</v>
      </c>
      <c r="O217" s="100">
        <f t="shared" ref="O217:X217" ca="1" si="107">N$217*(1+O$234)</f>
        <v>38.756917465579924</v>
      </c>
      <c r="P217" s="100">
        <f t="shared" ca="1" si="107"/>
        <v>40.500693641513358</v>
      </c>
      <c r="Q217" s="100">
        <f t="shared" ca="1" si="107"/>
        <v>42.369446641640806</v>
      </c>
      <c r="R217" s="100">
        <f t="shared" ca="1" si="107"/>
        <v>44.302919854328863</v>
      </c>
      <c r="S217" s="100">
        <f t="shared" ca="1" si="107"/>
        <v>46.340267935516749</v>
      </c>
      <c r="T217" s="100">
        <f t="shared" ca="1" si="107"/>
        <v>48.468061396158546</v>
      </c>
      <c r="U217" s="100">
        <f t="shared" ca="1" si="107"/>
        <v>50.648192550349314</v>
      </c>
      <c r="V217" s="100">
        <f t="shared" ca="1" si="107"/>
        <v>52.886037651558759</v>
      </c>
      <c r="W217" s="100">
        <f t="shared" ca="1" si="107"/>
        <v>55.193650929754483</v>
      </c>
      <c r="X217" s="100">
        <f t="shared" ca="1" si="107"/>
        <v>57.566346494512516</v>
      </c>
    </row>
    <row r="218" spans="1:24" x14ac:dyDescent="0.2">
      <c r="A218" s="161" t="s">
        <v>676</v>
      </c>
      <c r="B218" s="231"/>
      <c r="C218" s="69"/>
      <c r="D218" s="176">
        <f>SUM(Data!C$71:C$73,Data!C$75:C$77)-SUM(D$216,D$217)</f>
        <v>5.6970000000000098</v>
      </c>
      <c r="E218" s="176">
        <f>SUM(Data!D$71:D$73,Data!D$75:D$77)-SUM(E$216,E$217)</f>
        <v>6.8769999999999953</v>
      </c>
      <c r="F218" s="176">
        <f>SUM(Data!E$71:E$73,Data!E$75:E$77)-SUM(F$216,F$217)</f>
        <v>6.5640000000000001</v>
      </c>
      <c r="G218" s="176">
        <f>SUM(Data!F$71:F$73,Data!F$75:F$77)-SUM(G$216,G$217)</f>
        <v>7.5859999999999985</v>
      </c>
      <c r="H218" s="176">
        <f>SUM(Data!G$71:G$73,Data!G$75:G$77)-SUM(H$216,H$217)</f>
        <v>9.4250000000000114</v>
      </c>
      <c r="I218" s="176">
        <f>SUM(Data!H$71:H$73,Data!H$75:H$77)-SUM(I$216,I$217)</f>
        <v>10.121000000000009</v>
      </c>
      <c r="J218" s="130">
        <f>SUM(Data!I$71:I$73,Data!I$75:I$77)-SUM(J$216,J$217)</f>
        <v>9.4829999999999899</v>
      </c>
      <c r="K218" s="130">
        <f>SUM(Data!J$71:J$73,Data!J$75:J$77)-SUM(K$216,K$217)</f>
        <v>9.6569999999999965</v>
      </c>
      <c r="L218" s="130">
        <f>SUM(Data!K$71:K$73,Data!K$75:K$77)-SUM(L$216,L$217)</f>
        <v>9.531000000000013</v>
      </c>
      <c r="M218" s="130">
        <f>SUM(Data!L$71:L$73,Data!L$75:L$77)-SUM(M$216,M$217)</f>
        <v>9.7029999999999959</v>
      </c>
      <c r="N218" s="130">
        <f>SUM(Data!M$71:M$73,Data!M$75:M$77)-SUM(N$216,N$217)</f>
        <v>9.8559999999999803</v>
      </c>
      <c r="O218" s="81">
        <f t="shared" ref="O218:X218" ca="1" si="108">N$218*(1+O$236)</f>
        <v>10.05461711392403</v>
      </c>
      <c r="P218" s="81">
        <f t="shared" ca="1" si="108"/>
        <v>10.25570945620251</v>
      </c>
      <c r="Q218" s="81">
        <f t="shared" ca="1" si="108"/>
        <v>10.46082364532656</v>
      </c>
      <c r="R218" s="81">
        <f t="shared" ca="1" si="108"/>
        <v>10.670040118233091</v>
      </c>
      <c r="S218" s="81">
        <f t="shared" ca="1" si="108"/>
        <v>10.883440920597753</v>
      </c>
      <c r="T218" s="81">
        <f t="shared" ca="1" si="108"/>
        <v>11.101109739009708</v>
      </c>
      <c r="U218" s="81">
        <f t="shared" ca="1" si="108"/>
        <v>11.323131933789902</v>
      </c>
      <c r="V218" s="81">
        <f t="shared" ca="1" si="108"/>
        <v>11.549594572465701</v>
      </c>
      <c r="W218" s="81">
        <f t="shared" ca="1" si="108"/>
        <v>11.780586463915014</v>
      </c>
      <c r="X218" s="81">
        <f t="shared" ca="1" si="108"/>
        <v>12.016198193193315</v>
      </c>
    </row>
    <row r="219" spans="1:24" x14ac:dyDescent="0.2">
      <c r="A219" s="27" t="s">
        <v>180</v>
      </c>
      <c r="B219" s="41"/>
      <c r="C219" s="69"/>
      <c r="D219" s="71">
        <f t="shared" ref="D219:I219" si="109">SUM(D$216:D$218)</f>
        <v>41.624000000000002</v>
      </c>
      <c r="E219" s="71">
        <f t="shared" si="109"/>
        <v>49.210999999999999</v>
      </c>
      <c r="F219" s="71">
        <f t="shared" si="109"/>
        <v>55.683</v>
      </c>
      <c r="G219" s="71">
        <f t="shared" si="109"/>
        <v>58.634</v>
      </c>
      <c r="H219" s="71">
        <f t="shared" si="109"/>
        <v>74.082999999999998</v>
      </c>
      <c r="I219" s="71">
        <f t="shared" si="109"/>
        <v>80.004000000000005</v>
      </c>
      <c r="J219" s="131">
        <f t="shared" ref="J219:X219" si="110">SUM(J$216:J$218)</f>
        <v>77.009</v>
      </c>
      <c r="K219" s="131">
        <f t="shared" si="110"/>
        <v>73.375</v>
      </c>
      <c r="L219" s="131">
        <f t="shared" si="110"/>
        <v>72.27000000000001</v>
      </c>
      <c r="M219" s="131">
        <f t="shared" si="110"/>
        <v>72.076999999999998</v>
      </c>
      <c r="N219" s="131">
        <f t="shared" si="110"/>
        <v>73.561999999999983</v>
      </c>
      <c r="O219" s="75">
        <f t="shared" ca="1" si="110"/>
        <v>75.466613770368411</v>
      </c>
      <c r="P219" s="75">
        <f t="shared" ca="1" si="110"/>
        <v>77.462148526928843</v>
      </c>
      <c r="Q219" s="75">
        <f t="shared" ca="1" si="110"/>
        <v>79.566773349368233</v>
      </c>
      <c r="R219" s="75">
        <f t="shared" ca="1" si="110"/>
        <v>81.728073225394638</v>
      </c>
      <c r="S219" s="75">
        <f t="shared" ca="1" si="110"/>
        <v>83.987594426851757</v>
      </c>
      <c r="T219" s="75">
        <f t="shared" ca="1" si="110"/>
        <v>86.340848200839531</v>
      </c>
      <c r="U219" s="75">
        <f t="shared" ca="1" si="110"/>
        <v>88.76194434146646</v>
      </c>
      <c r="V219" s="75">
        <f t="shared" ca="1" si="110"/>
        <v>91.257572750175683</v>
      </c>
      <c r="W219" s="75">
        <f t="shared" ca="1" si="110"/>
        <v>93.844378221829359</v>
      </c>
      <c r="X219" s="75">
        <f t="shared" ca="1" si="110"/>
        <v>96.514634235736779</v>
      </c>
    </row>
    <row r="220" spans="1:24" x14ac:dyDescent="0.2">
      <c r="A220" s="27"/>
      <c r="B220" s="41"/>
      <c r="C220" s="69"/>
      <c r="D220" s="71"/>
      <c r="E220" s="71"/>
      <c r="F220" s="71"/>
      <c r="G220" s="131"/>
      <c r="H220" s="131"/>
      <c r="I220" s="131"/>
      <c r="J220" s="131"/>
      <c r="K220" s="131"/>
      <c r="L220" s="131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</row>
    <row r="221" spans="1:24" x14ac:dyDescent="0.2">
      <c r="A221" s="108" t="s">
        <v>677</v>
      </c>
      <c r="B221" s="41"/>
      <c r="C221" s="74"/>
      <c r="D221" s="72"/>
      <c r="E221" s="72"/>
      <c r="F221" s="72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">
      <c r="A222" s="27" t="s">
        <v>343</v>
      </c>
      <c r="B222" s="231"/>
      <c r="C222" s="74"/>
      <c r="D222" s="71">
        <f>Data!C$83</f>
        <v>10.734999999999999</v>
      </c>
      <c r="E222" s="71">
        <f>Data!D$83</f>
        <v>12.917999999999999</v>
      </c>
      <c r="F222" s="71">
        <f>Data!E$83</f>
        <v>17.504999999999999</v>
      </c>
      <c r="G222" s="71">
        <f>Data!F$83</f>
        <v>19.716000000000001</v>
      </c>
      <c r="H222" s="71">
        <f>Data!G$83</f>
        <v>22.48</v>
      </c>
      <c r="I222" s="71">
        <f>Data!H$83</f>
        <v>24.832999999999998</v>
      </c>
      <c r="J222" s="131">
        <f>Data!I$83</f>
        <v>26.349</v>
      </c>
      <c r="K222" s="131">
        <f>Data!J$83</f>
        <v>28.324000000000002</v>
      </c>
      <c r="L222" s="131">
        <f>Data!K$83</f>
        <v>30.126000000000001</v>
      </c>
      <c r="M222" s="131">
        <f>Data!L$83</f>
        <v>32.658000000000001</v>
      </c>
      <c r="N222" s="131">
        <f>Data!M$83</f>
        <v>35.941000000000003</v>
      </c>
      <c r="O222" s="75">
        <f t="shared" ref="O222:X222" ca="1" si="111">N$222*(1+O$234)</f>
        <v>37.545143544120329</v>
      </c>
      <c r="P222" s="75">
        <f t="shared" ca="1" si="111"/>
        <v>39.234398807838922</v>
      </c>
      <c r="Q222" s="75">
        <f t="shared" ca="1" si="111"/>
        <v>41.044723369914891</v>
      </c>
      <c r="R222" s="75">
        <f t="shared" ca="1" si="111"/>
        <v>42.917744602151799</v>
      </c>
      <c r="S222" s="75">
        <f t="shared" ca="1" si="111"/>
        <v>44.891392950874845</v>
      </c>
      <c r="T222" s="75">
        <f t="shared" ca="1" si="111"/>
        <v>46.952658813491134</v>
      </c>
      <c r="U222" s="75">
        <f t="shared" ca="1" si="111"/>
        <v>49.064625979140857</v>
      </c>
      <c r="V222" s="75">
        <f t="shared" ca="1" si="111"/>
        <v>51.232502607333323</v>
      </c>
      <c r="W222" s="75">
        <f t="shared" ca="1" si="111"/>
        <v>53.467966040438434</v>
      </c>
      <c r="X222" s="75">
        <f t="shared" ca="1" si="111"/>
        <v>55.766476897099132</v>
      </c>
    </row>
    <row r="223" spans="1:24" x14ac:dyDescent="0.2">
      <c r="A223" s="27" t="s">
        <v>342</v>
      </c>
      <c r="B223" s="231"/>
      <c r="C223" s="74"/>
      <c r="D223" s="71">
        <f>Data!C$82</f>
        <v>31.163</v>
      </c>
      <c r="E223" s="71">
        <f>Data!D$82</f>
        <v>33.192</v>
      </c>
      <c r="F223" s="71">
        <f>Data!E$82</f>
        <v>44.448</v>
      </c>
      <c r="G223" s="71">
        <f>Data!F$82</f>
        <v>50.017000000000003</v>
      </c>
      <c r="H223" s="71">
        <f>Data!G$82</f>
        <v>67.765000000000001</v>
      </c>
      <c r="I223" s="71">
        <f>Data!H$82</f>
        <v>75.700999999999993</v>
      </c>
      <c r="J223" s="131">
        <f>Data!I$82</f>
        <v>76.400000000000006</v>
      </c>
      <c r="K223" s="131">
        <f>Data!J$82</f>
        <v>85.344999999999999</v>
      </c>
      <c r="L223" s="131">
        <f>Data!K$82</f>
        <v>82.367999999999995</v>
      </c>
      <c r="M223" s="131">
        <f>Data!L$82</f>
        <v>85.075000000000003</v>
      </c>
      <c r="N223" s="131">
        <f>Data!M$82</f>
        <v>89.477999999999994</v>
      </c>
      <c r="O223" s="73">
        <f t="shared" ref="O223:X223" ca="1" si="112">N$223*O$225/N$225</f>
        <v>90.828191546047563</v>
      </c>
      <c r="P223" s="73">
        <f t="shared" ca="1" si="112"/>
        <v>91.733998901340371</v>
      </c>
      <c r="Q223" s="73">
        <f t="shared" ca="1" si="112"/>
        <v>91.312024774773178</v>
      </c>
      <c r="R223" s="73">
        <f t="shared" ca="1" si="112"/>
        <v>89.577854175296935</v>
      </c>
      <c r="S223" s="73">
        <f t="shared" ca="1" si="112"/>
        <v>86.109279797010018</v>
      </c>
      <c r="T223" s="73">
        <f t="shared" ca="1" si="112"/>
        <v>80.97387339309104</v>
      </c>
      <c r="U223" s="73">
        <f t="shared" ca="1" si="112"/>
        <v>74.158047830501886</v>
      </c>
      <c r="V223" s="73">
        <f t="shared" ca="1" si="112"/>
        <v>65.544132321206845</v>
      </c>
      <c r="W223" s="73">
        <f t="shared" ca="1" si="112"/>
        <v>55.020495835777879</v>
      </c>
      <c r="X223" s="73">
        <f t="shared" ca="1" si="112"/>
        <v>42.451412968284068</v>
      </c>
    </row>
    <row r="224" spans="1:24" x14ac:dyDescent="0.2">
      <c r="A224" s="161" t="s">
        <v>400</v>
      </c>
      <c r="C224" s="74"/>
      <c r="D224" s="176">
        <f t="shared" ref="D224:X224" si="113">D$225-D$223</f>
        <v>4.7290000000000028</v>
      </c>
      <c r="E224" s="176">
        <f t="shared" si="113"/>
        <v>4.1439999999999984</v>
      </c>
      <c r="F224" s="176">
        <f t="shared" si="113"/>
        <v>6.0970000000000013</v>
      </c>
      <c r="G224" s="176">
        <f t="shared" si="113"/>
        <v>8.5659999999999954</v>
      </c>
      <c r="H224" s="176">
        <f t="shared" si="113"/>
        <v>9.1200000000000045</v>
      </c>
      <c r="I224" s="176">
        <f t="shared" si="113"/>
        <v>8.9790000000000134</v>
      </c>
      <c r="J224" s="130">
        <f t="shared" si="113"/>
        <v>9.8819999999999908</v>
      </c>
      <c r="K224" s="130">
        <f t="shared" si="113"/>
        <v>9.3439999999999941</v>
      </c>
      <c r="L224" s="130">
        <f t="shared" si="113"/>
        <v>10.230000000000004</v>
      </c>
      <c r="M224" s="130">
        <f t="shared" si="113"/>
        <v>11.495999999999995</v>
      </c>
      <c r="N224" s="130">
        <f t="shared" si="113"/>
        <v>12.972000000000008</v>
      </c>
      <c r="O224" s="81">
        <f t="shared" ca="1" si="113"/>
        <v>13.167742917089456</v>
      </c>
      <c r="P224" s="81">
        <f t="shared" ca="1" si="113"/>
        <v>13.299061598920275</v>
      </c>
      <c r="Q224" s="81">
        <f t="shared" ca="1" si="113"/>
        <v>13.237886244421631</v>
      </c>
      <c r="R224" s="81">
        <f t="shared" ca="1" si="113"/>
        <v>12.98647627754255</v>
      </c>
      <c r="S224" s="81">
        <f t="shared" ca="1" si="113"/>
        <v>12.483622538800773</v>
      </c>
      <c r="T224" s="81">
        <f t="shared" ca="1" si="113"/>
        <v>11.739121187947632</v>
      </c>
      <c r="U224" s="81">
        <f t="shared" ca="1" si="113"/>
        <v>10.751002441463513</v>
      </c>
      <c r="V224" s="81">
        <f t="shared" ca="1" si="113"/>
        <v>9.5022070729195747</v>
      </c>
      <c r="W224" s="81">
        <f t="shared" ca="1" si="113"/>
        <v>7.976551464960238</v>
      </c>
      <c r="X224" s="81">
        <f t="shared" ca="1" si="113"/>
        <v>6.1543589376671619</v>
      </c>
    </row>
    <row r="225" spans="1:24" x14ac:dyDescent="0.2">
      <c r="A225" s="27" t="s">
        <v>401</v>
      </c>
      <c r="B225" s="231"/>
      <c r="C225" s="74"/>
      <c r="D225" s="71">
        <f>Data!C$85</f>
        <v>35.892000000000003</v>
      </c>
      <c r="E225" s="71">
        <f>Data!D$85</f>
        <v>37.335999999999999</v>
      </c>
      <c r="F225" s="71">
        <f>Data!E$85</f>
        <v>50.545000000000002</v>
      </c>
      <c r="G225" s="71">
        <f>Data!F$85</f>
        <v>58.582999999999998</v>
      </c>
      <c r="H225" s="71">
        <f>Data!G$85</f>
        <v>76.885000000000005</v>
      </c>
      <c r="I225" s="71">
        <f>Data!H$85</f>
        <v>84.68</v>
      </c>
      <c r="J225" s="131">
        <f>Data!I$85</f>
        <v>86.281999999999996</v>
      </c>
      <c r="K225" s="131">
        <f>Data!J$85</f>
        <v>94.688999999999993</v>
      </c>
      <c r="L225" s="131">
        <f>Data!K$85</f>
        <v>92.597999999999999</v>
      </c>
      <c r="M225" s="131">
        <f>Data!L$85</f>
        <v>96.570999999999998</v>
      </c>
      <c r="N225" s="131">
        <f>Data!M$85</f>
        <v>102.45</v>
      </c>
      <c r="O225" s="107">
        <f ca="1">N$225+(O$33-N$33)-(O$35-N$35)-O$24 + IF(AND(OFFSET(Scenarios!$A$40,0,$C$1)="Yes",O$4&gt;=OFFSET(Scenarios!$A$41,0,$C$1),O$4&lt;=OFFSET(Scenarios!$A$42,0,$C$1)),OFFSET(Scenarios!$A$43,0,$C$1)*(1+OFFSET(Scenarios!$A$44,0,$C$1))^MAX(0,O$4-OFFSET(Scenarios!$A$41,0,$C$1)),0)</f>
        <v>103.99593446313702</v>
      </c>
      <c r="P225" s="107">
        <f ca="1">O$225+(P$33-O$33)-(P$35-O$35)-P$24 + IF(AND(OFFSET(Scenarios!$A$40,0,$C$1)="Yes",P$4&gt;=OFFSET(Scenarios!$A$41,0,$C$1),P$4&lt;=OFFSET(Scenarios!$A$42,0,$C$1)),OFFSET(Scenarios!$A$43,0,$C$1)*(1+OFFSET(Scenarios!$A$44,0,$C$1))^MAX(0,P$4-OFFSET(Scenarios!$A$41,0,$C$1)),0)</f>
        <v>105.03306050026065</v>
      </c>
      <c r="Q225" s="107">
        <f ca="1">P$225+(Q$33-P$33)-(Q$35-P$35)-Q$24 + IF(AND(OFFSET(Scenarios!$A$40,0,$C$1)="Yes",Q$4&gt;=OFFSET(Scenarios!$A$41,0,$C$1),Q$4&lt;=OFFSET(Scenarios!$A$42,0,$C$1)),OFFSET(Scenarios!$A$43,0,$C$1)*(1+OFFSET(Scenarios!$A$44,0,$C$1))^MAX(0,Q$4-OFFSET(Scenarios!$A$41,0,$C$1)),0)</f>
        <v>104.54991101919481</v>
      </c>
      <c r="R225" s="107">
        <f ca="1">Q$225+(R$33-Q$33)-(R$35-Q$35)-R$24 + IF(AND(OFFSET(Scenarios!$A$40,0,$C$1)="Yes",R$4&gt;=OFFSET(Scenarios!$A$41,0,$C$1),R$4&lt;=OFFSET(Scenarios!$A$42,0,$C$1)),OFFSET(Scenarios!$A$43,0,$C$1)*(1+OFFSET(Scenarios!$A$44,0,$C$1))^MAX(0,R$4-OFFSET(Scenarios!$A$41,0,$C$1)),0)</f>
        <v>102.56433045283949</v>
      </c>
      <c r="S225" s="107">
        <f ca="1">R$225+(S$33-R$33)-(S$35-R$35)-S$24 + IF(AND(OFFSET(Scenarios!$A$40,0,$C$1)="Yes",S$4&gt;=OFFSET(Scenarios!$A$41,0,$C$1),S$4&lt;=OFFSET(Scenarios!$A$42,0,$C$1)),OFFSET(Scenarios!$A$43,0,$C$1)*(1+OFFSET(Scenarios!$A$44,0,$C$1))^MAX(0,S$4-OFFSET(Scenarios!$A$41,0,$C$1)),0)</f>
        <v>98.592902335810791</v>
      </c>
      <c r="T225" s="107">
        <f ca="1">S$225+(T$33-S$33)-(T$35-S$35)-T$24 + IF(AND(OFFSET(Scenarios!$A$40,0,$C$1)="Yes",T$4&gt;=OFFSET(Scenarios!$A$41,0,$C$1),T$4&lt;=OFFSET(Scenarios!$A$42,0,$C$1)),OFFSET(Scenarios!$A$43,0,$C$1)*(1+OFFSET(Scenarios!$A$44,0,$C$1))^MAX(0,T$4-OFFSET(Scenarios!$A$41,0,$C$1)),0)</f>
        <v>92.712994581038672</v>
      </c>
      <c r="U225" s="107">
        <f ca="1">T$225+(U$33-T$33)-(U$35-T$35)-U$24 + IF(AND(OFFSET(Scenarios!$A$40,0,$C$1)="Yes",U$4&gt;=OFFSET(Scenarios!$A$41,0,$C$1),U$4&lt;=OFFSET(Scenarios!$A$42,0,$C$1)),OFFSET(Scenarios!$A$43,0,$C$1)*(1+OFFSET(Scenarios!$A$44,0,$C$1))^MAX(0,U$4-OFFSET(Scenarios!$A$41,0,$C$1)),0)</f>
        <v>84.909050271965398</v>
      </c>
      <c r="V225" s="107">
        <f ca="1">U$225+(V$33-U$33)-(V$35-U$35)-V$24 + IF(AND(OFFSET(Scenarios!$A$40,0,$C$1)="Yes",V$4&gt;=OFFSET(Scenarios!$A$41,0,$C$1),V$4&lt;=OFFSET(Scenarios!$A$42,0,$C$1)),OFFSET(Scenarios!$A$43,0,$C$1)*(1+OFFSET(Scenarios!$A$44,0,$C$1))^MAX(0,V$4-OFFSET(Scenarios!$A$41,0,$C$1)),0)</f>
        <v>75.04633939412642</v>
      </c>
      <c r="W225" s="107">
        <f ca="1">V$225+(W$33-V$33)-(W$35-V$35)-W$24 + IF(AND(OFFSET(Scenarios!$A$40,0,$C$1)="Yes",W$4&gt;=OFFSET(Scenarios!$A$41,0,$C$1),W$4&lt;=OFFSET(Scenarios!$A$42,0,$C$1)),OFFSET(Scenarios!$A$43,0,$C$1)*(1+OFFSET(Scenarios!$A$44,0,$C$1))^MAX(0,W$4-OFFSET(Scenarios!$A$41,0,$C$1)),0)</f>
        <v>62.997047300738117</v>
      </c>
      <c r="X225" s="107">
        <f ca="1">W$225+(X$33-W$33)-(X$35-W$35)-X$24 + IF(AND(OFFSET(Scenarios!$A$40,0,$C$1)="Yes",X$4&gt;=OFFSET(Scenarios!$A$41,0,$C$1),X$4&lt;=OFFSET(Scenarios!$A$42,0,$C$1)),OFFSET(Scenarios!$A$43,0,$C$1)*(1+OFFSET(Scenarios!$A$44,0,$C$1))^MAX(0,X$4-OFFSET(Scenarios!$A$41,0,$C$1)),0)</f>
        <v>48.605771905951229</v>
      </c>
    </row>
    <row r="226" spans="1:24" x14ac:dyDescent="0.2">
      <c r="A226" s="161" t="s">
        <v>652</v>
      </c>
      <c r="B226" s="231"/>
      <c r="C226" s="74"/>
      <c r="D226" s="176">
        <f>Data!C$86</f>
        <v>0.91300000000000003</v>
      </c>
      <c r="E226" s="176">
        <f>Data!D$86</f>
        <v>0.40899999999999997</v>
      </c>
      <c r="F226" s="176">
        <f>Data!E$86</f>
        <v>0.42799999999999999</v>
      </c>
      <c r="G226" s="176">
        <f>Data!F$86</f>
        <v>0.308</v>
      </c>
      <c r="H226" s="176">
        <f>Data!G$86</f>
        <v>0.40500000000000003</v>
      </c>
      <c r="I226" s="176">
        <f>Data!H$86</f>
        <v>-0.51200000000000001</v>
      </c>
      <c r="J226" s="130">
        <f>Data!I$86</f>
        <v>-0.67100000000000004</v>
      </c>
      <c r="K226" s="130">
        <f>Data!J$86</f>
        <v>-0.81200000000000006</v>
      </c>
      <c r="L226" s="130">
        <f>Data!K$86</f>
        <v>-0.91100000000000003</v>
      </c>
      <c r="M226" s="130">
        <f>Data!L$86</f>
        <v>-1.056</v>
      </c>
      <c r="N226" s="130">
        <f>Data!M$86</f>
        <v>-1.111</v>
      </c>
      <c r="O226" s="278">
        <f>IF(O$2="Proj Yr1",0,N$226)</f>
        <v>0</v>
      </c>
      <c r="P226" s="278">
        <f t="shared" ref="P226:X226" si="114">IF(P$2="Proj Yr1",0,O$226)</f>
        <v>0</v>
      </c>
      <c r="Q226" s="278">
        <f t="shared" si="114"/>
        <v>0</v>
      </c>
      <c r="R226" s="278">
        <f t="shared" si="114"/>
        <v>0</v>
      </c>
      <c r="S226" s="278">
        <f t="shared" si="114"/>
        <v>0</v>
      </c>
      <c r="T226" s="278">
        <f t="shared" si="114"/>
        <v>0</v>
      </c>
      <c r="U226" s="278">
        <f t="shared" si="114"/>
        <v>0</v>
      </c>
      <c r="V226" s="278">
        <f t="shared" si="114"/>
        <v>0</v>
      </c>
      <c r="W226" s="278">
        <f t="shared" si="114"/>
        <v>0</v>
      </c>
      <c r="X226" s="278">
        <f t="shared" si="114"/>
        <v>0</v>
      </c>
    </row>
    <row r="227" spans="1:24" x14ac:dyDescent="0.2">
      <c r="A227" s="27" t="s">
        <v>402</v>
      </c>
      <c r="C227" s="74"/>
      <c r="D227" s="71">
        <f t="shared" ref="D227:X227" si="115">SUM(D$225,D$226)</f>
        <v>36.805</v>
      </c>
      <c r="E227" s="71">
        <f t="shared" si="115"/>
        <v>37.744999999999997</v>
      </c>
      <c r="F227" s="71">
        <f t="shared" si="115"/>
        <v>50.972999999999999</v>
      </c>
      <c r="G227" s="71">
        <f t="shared" si="115"/>
        <v>58.890999999999998</v>
      </c>
      <c r="H227" s="71">
        <f t="shared" si="115"/>
        <v>77.290000000000006</v>
      </c>
      <c r="I227" s="71">
        <f t="shared" si="115"/>
        <v>84.168000000000006</v>
      </c>
      <c r="J227" s="131">
        <f t="shared" si="115"/>
        <v>85.61099999999999</v>
      </c>
      <c r="K227" s="131">
        <f t="shared" si="115"/>
        <v>93.876999999999995</v>
      </c>
      <c r="L227" s="131">
        <f t="shared" si="115"/>
        <v>91.686999999999998</v>
      </c>
      <c r="M227" s="131">
        <f t="shared" si="115"/>
        <v>95.515000000000001</v>
      </c>
      <c r="N227" s="131">
        <f t="shared" si="115"/>
        <v>101.339</v>
      </c>
      <c r="O227" s="75">
        <f t="shared" ca="1" si="115"/>
        <v>103.99593446313702</v>
      </c>
      <c r="P227" s="75">
        <f t="shared" ca="1" si="115"/>
        <v>105.03306050026065</v>
      </c>
      <c r="Q227" s="75">
        <f t="shared" ca="1" si="115"/>
        <v>104.54991101919481</v>
      </c>
      <c r="R227" s="75">
        <f t="shared" ca="1" si="115"/>
        <v>102.56433045283949</v>
      </c>
      <c r="S227" s="75">
        <f t="shared" ca="1" si="115"/>
        <v>98.592902335810791</v>
      </c>
      <c r="T227" s="75">
        <f t="shared" ca="1" si="115"/>
        <v>92.712994581038672</v>
      </c>
      <c r="U227" s="75">
        <f t="shared" ca="1" si="115"/>
        <v>84.909050271965398</v>
      </c>
      <c r="V227" s="75">
        <f t="shared" ca="1" si="115"/>
        <v>75.04633939412642</v>
      </c>
      <c r="W227" s="75">
        <f t="shared" ca="1" si="115"/>
        <v>62.997047300738117</v>
      </c>
      <c r="X227" s="75">
        <f t="shared" ca="1" si="115"/>
        <v>48.605771905951229</v>
      </c>
    </row>
    <row r="228" spans="1:24" x14ac:dyDescent="0.2">
      <c r="A228" s="108" t="s">
        <v>680</v>
      </c>
      <c r="B228" s="231"/>
      <c r="C228" s="74"/>
      <c r="D228" s="69">
        <f>SUM(Data!C$95,-Data!C$96)</f>
        <v>6.1579999999999995</v>
      </c>
      <c r="E228" s="69">
        <f>SUM(Data!D$95,-Data!D$96)</f>
        <v>6.3550000000000004</v>
      </c>
      <c r="F228" s="69">
        <f>SUM(Data!E$95,-Data!E$96)</f>
        <v>7.6170000000000009</v>
      </c>
      <c r="G228" s="69">
        <f>SUM(Data!F$95,-Data!F$96)</f>
        <v>5.3000000000000007</v>
      </c>
      <c r="H228" s="69">
        <f>SUM(Data!G$95,-Data!G$96)</f>
        <v>4.8699999999999992</v>
      </c>
      <c r="I228" s="69">
        <f>SUM(Data!H$95,-Data!H$96)</f>
        <v>4.5329999999999995</v>
      </c>
      <c r="J228" s="105">
        <f>SUM(Data!I$95,-Data!I$96)</f>
        <v>5.4350000000000005</v>
      </c>
      <c r="K228" s="105">
        <f>SUM(Data!J$95,-Data!J$96)</f>
        <v>5.4350000000000005</v>
      </c>
      <c r="L228" s="105">
        <f>SUM(Data!K$95,-Data!K$96)</f>
        <v>5.4350000000000005</v>
      </c>
      <c r="M228" s="105">
        <f>SUM(Data!L$95,-Data!L$96)</f>
        <v>5.4550000000000001</v>
      </c>
      <c r="N228" s="105">
        <f>SUM(Data!M$95,-Data!M$96)</f>
        <v>5.48</v>
      </c>
      <c r="O228" s="73">
        <f t="shared" ref="O228:X228" si="116">N$228</f>
        <v>5.48</v>
      </c>
      <c r="P228" s="73">
        <f t="shared" si="116"/>
        <v>5.48</v>
      </c>
      <c r="Q228" s="73">
        <f t="shared" si="116"/>
        <v>5.48</v>
      </c>
      <c r="R228" s="73">
        <f t="shared" si="116"/>
        <v>5.48</v>
      </c>
      <c r="S228" s="73">
        <f t="shared" si="116"/>
        <v>5.48</v>
      </c>
      <c r="T228" s="73">
        <f t="shared" si="116"/>
        <v>5.48</v>
      </c>
      <c r="U228" s="73">
        <f t="shared" si="116"/>
        <v>5.48</v>
      </c>
      <c r="V228" s="73">
        <f t="shared" si="116"/>
        <v>5.48</v>
      </c>
      <c r="W228" s="73">
        <f t="shared" si="116"/>
        <v>5.48</v>
      </c>
      <c r="X228" s="73">
        <f t="shared" si="116"/>
        <v>5.48</v>
      </c>
    </row>
    <row r="229" spans="1:24" x14ac:dyDescent="0.2">
      <c r="A229" s="108"/>
      <c r="C229" s="74"/>
      <c r="D229" s="72"/>
      <c r="E229" s="72"/>
      <c r="F229" s="72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</row>
    <row r="230" spans="1:24" ht="15.75" x14ac:dyDescent="0.25">
      <c r="A230" s="153" t="s">
        <v>388</v>
      </c>
      <c r="D230" s="163" t="s">
        <v>445</v>
      </c>
      <c r="E230" s="163" t="s">
        <v>446</v>
      </c>
      <c r="F230" s="163" t="s">
        <v>447</v>
      </c>
      <c r="G230" s="163" t="s">
        <v>448</v>
      </c>
      <c r="H230" s="163" t="s">
        <v>449</v>
      </c>
      <c r="I230" s="163" t="s">
        <v>450</v>
      </c>
      <c r="J230" s="140" t="s">
        <v>451</v>
      </c>
      <c r="K230" s="140" t="s">
        <v>452</v>
      </c>
      <c r="L230" s="140" t="s">
        <v>453</v>
      </c>
      <c r="M230" s="140" t="s">
        <v>454</v>
      </c>
      <c r="N230" s="140" t="s">
        <v>455</v>
      </c>
      <c r="O230" s="139" t="s">
        <v>456</v>
      </c>
      <c r="P230" s="139" t="s">
        <v>457</v>
      </c>
      <c r="Q230" s="139" t="s">
        <v>458</v>
      </c>
      <c r="R230" s="139" t="s">
        <v>459</v>
      </c>
      <c r="S230" s="139" t="s">
        <v>460</v>
      </c>
      <c r="T230" s="139" t="s">
        <v>461</v>
      </c>
      <c r="U230" s="139" t="s">
        <v>462</v>
      </c>
      <c r="V230" s="139" t="s">
        <v>463</v>
      </c>
      <c r="W230" s="139" t="s">
        <v>464</v>
      </c>
      <c r="X230" s="139" t="s">
        <v>465</v>
      </c>
    </row>
    <row r="231" spans="1:24" x14ac:dyDescent="0.2">
      <c r="A231" s="27" t="s">
        <v>154</v>
      </c>
      <c r="B231" s="231"/>
      <c r="D231" s="69">
        <f>Data!C$226</f>
        <v>134.864</v>
      </c>
      <c r="E231" s="69">
        <f>Data!D$226</f>
        <v>137.30000000000001</v>
      </c>
      <c r="F231" s="69">
        <f>Data!E$226</f>
        <v>134.495</v>
      </c>
      <c r="G231" s="69">
        <f>Data!F$226</f>
        <v>134.53700000000001</v>
      </c>
      <c r="H231" s="69">
        <f>Data!G$226</f>
        <v>136.232</v>
      </c>
      <c r="I231" s="69">
        <f>Data!H$226</f>
        <v>139.017</v>
      </c>
      <c r="J231" s="125">
        <f>Data!I$226</f>
        <v>142.197</v>
      </c>
      <c r="K231" s="125">
        <f>Data!J$226</f>
        <v>146.446</v>
      </c>
      <c r="L231" s="125">
        <f>Data!K$226</f>
        <v>150.10599999999999</v>
      </c>
      <c r="M231" s="125">
        <f>Data!L$226</f>
        <v>153.66200000000001</v>
      </c>
      <c r="N231" s="125">
        <f>Data!M$226</f>
        <v>157.31</v>
      </c>
      <c r="O231" s="100">
        <f ca="1">IF(OFFSET(Scenarios!$A$14,0,$C$1)&gt;=O$4,Data!Q$226,N$231*(1+O$248)*(O$240*(1-O$243)*O$246)/(N$240*(1-N$243)*N$246))</f>
        <v>161.08500000000001</v>
      </c>
      <c r="P231" s="100">
        <f ca="1">IF(OFFSET(Scenarios!$A$14,0,$C$1)&gt;=P$4,Data!R$226,O$231*(1+P$248)*(P$240*(1-P$243)*P$246)/(O$240*(1-O$243)*O$246))</f>
        <v>165.03200000000001</v>
      </c>
      <c r="Q231" s="100">
        <f ca="1">IF(OFFSET(Scenarios!$A$14,0,$C$1)&gt;=Q$4,Data!S$226,P$231*(1+Q$248)*(Q$240*(1-Q$243)*Q$246)/(P$240*(1-P$243)*P$246))</f>
        <v>169.26155321197155</v>
      </c>
      <c r="R231" s="100">
        <f ca="1">IF(OFFSET(Scenarios!$A$14,0,$C$1)&gt;=R$4,Data!T$226,Q$231*(1+R$248)*(R$240*(1-R$243)*R$246)/(Q$240*(1-Q$243)*Q$246))</f>
        <v>173.51527308025331</v>
      </c>
      <c r="S231" s="100">
        <f ca="1">IF(OFFSET(Scenarios!$A$14,0,$C$1)&gt;=S$4,Data!U$226,R$231*(1+S$248)*(S$240*(1-S$243)*S$246)/(R$240*(1-R$243)*R$246))</f>
        <v>177.9359604173267</v>
      </c>
      <c r="T231" s="100">
        <f ca="1">IF(OFFSET(Scenarios!$A$14,0,$C$1)&gt;=T$4,Data!V$226,S$231*(1+T$248)*(T$240*(1-T$243)*T$246)/(S$240*(1-S$243)*S$246))</f>
        <v>182.45705631926091</v>
      </c>
      <c r="U231" s="100">
        <f ca="1">IF(OFFSET(Scenarios!$A$14,0,$C$1)&gt;=U$4,Data!W$226,T$231*(1+U$248)*(U$240*(1-U$243)*U$246)/(T$240*(1-T$243)*T$246))</f>
        <v>186.92560473665074</v>
      </c>
      <c r="V231" s="100">
        <f ca="1">IF(OFFSET(Scenarios!$A$14,0,$C$1)&gt;=V$4,Data!X$226,U$231*(1+V$248)*(V$240*(1-V$243)*V$246)/(U$240*(1-U$243)*U$246))</f>
        <v>191.35759357263174</v>
      </c>
      <c r="W231" s="100">
        <f ca="1">IF(OFFSET(Scenarios!$A$14,0,$C$1)&gt;=W$4,Data!Y$226,V$231*(1+W$248)*(W$240*(1-W$243)*W$246)/(V$240*(1-V$243)*V$246))</f>
        <v>195.7914045067167</v>
      </c>
      <c r="X231" s="100">
        <f ca="1">IF(OFFSET(Scenarios!$A$14,0,$C$1)&gt;=X$4,Data!Z$226,W$231*(1+X$248)*(X$240*(1-X$243)*X$246)/(W$240*(1-W$243)*W$246))</f>
        <v>200.20411275674471</v>
      </c>
    </row>
    <row r="232" spans="1:24" x14ac:dyDescent="0.2">
      <c r="A232" s="162" t="s">
        <v>137</v>
      </c>
      <c r="D232" s="119"/>
      <c r="E232" s="119">
        <f t="shared" ref="E232:X232" si="117">E$231/D$231-1</f>
        <v>1.8062640882666958E-2</v>
      </c>
      <c r="F232" s="119">
        <f t="shared" si="117"/>
        <v>-2.0429715950473493E-2</v>
      </c>
      <c r="G232" s="119">
        <f t="shared" si="117"/>
        <v>3.1227926688726093E-4</v>
      </c>
      <c r="H232" s="119">
        <f t="shared" si="117"/>
        <v>1.2598764652103078E-2</v>
      </c>
      <c r="I232" s="119">
        <f t="shared" si="117"/>
        <v>2.0443067708027396E-2</v>
      </c>
      <c r="J232" s="123">
        <f t="shared" si="117"/>
        <v>2.2874900192062952E-2</v>
      </c>
      <c r="K232" s="123">
        <f t="shared" si="117"/>
        <v>2.9881080472865085E-2</v>
      </c>
      <c r="L232" s="123">
        <f t="shared" si="117"/>
        <v>2.4992147276128973E-2</v>
      </c>
      <c r="M232" s="123">
        <f t="shared" si="117"/>
        <v>2.368992578577811E-2</v>
      </c>
      <c r="N232" s="123">
        <f t="shared" si="117"/>
        <v>2.3740417279483506E-2</v>
      </c>
      <c r="O232" s="120">
        <f t="shared" ca="1" si="117"/>
        <v>2.3997202975017506E-2</v>
      </c>
      <c r="P232" s="120">
        <f t="shared" ca="1" si="117"/>
        <v>2.4502591799360651E-2</v>
      </c>
      <c r="Q232" s="120">
        <f t="shared" ca="1" si="117"/>
        <v>2.56286854184129E-2</v>
      </c>
      <c r="R232" s="120">
        <f t="shared" ca="1" si="117"/>
        <v>2.5131045931941154E-2</v>
      </c>
      <c r="S232" s="120">
        <f t="shared" ca="1" si="117"/>
        <v>2.5477223178093089E-2</v>
      </c>
      <c r="T232" s="120">
        <f t="shared" ca="1" si="117"/>
        <v>2.5408556490383205E-2</v>
      </c>
      <c r="U232" s="120">
        <f t="shared" ca="1" si="117"/>
        <v>2.4490959722439198E-2</v>
      </c>
      <c r="V232" s="120">
        <f t="shared" ca="1" si="117"/>
        <v>2.3709907704859257E-2</v>
      </c>
      <c r="W232" s="120">
        <f t="shared" ca="1" si="117"/>
        <v>2.3170289985916082E-2</v>
      </c>
      <c r="X232" s="120">
        <f t="shared" ca="1" si="117"/>
        <v>2.2537803746520479E-2</v>
      </c>
    </row>
    <row r="233" spans="1:24" x14ac:dyDescent="0.2">
      <c r="A233" s="27" t="s">
        <v>120</v>
      </c>
      <c r="B233" s="231"/>
      <c r="D233" s="69">
        <f>Data!C$227</f>
        <v>173.203</v>
      </c>
      <c r="E233" s="69">
        <f>Data!D$227</f>
        <v>185.917</v>
      </c>
      <c r="F233" s="69">
        <f>Data!E$227</f>
        <v>185.83799999999999</v>
      </c>
      <c r="G233" s="69">
        <f>Data!F$227</f>
        <v>191.31399999999999</v>
      </c>
      <c r="H233" s="69">
        <f>Data!G$227</f>
        <v>200.64099999999999</v>
      </c>
      <c r="I233" s="69">
        <f>Data!H$227</f>
        <v>208.21899999999999</v>
      </c>
      <c r="J233" s="125">
        <f>Data!I$227</f>
        <v>216.048</v>
      </c>
      <c r="K233" s="125">
        <f>Data!J$227</f>
        <v>228.797</v>
      </c>
      <c r="L233" s="125">
        <f>Data!K$227</f>
        <v>239.279</v>
      </c>
      <c r="M233" s="125">
        <f>Data!L$227</f>
        <v>249.023</v>
      </c>
      <c r="N233" s="125">
        <f>Data!M$227</f>
        <v>259.149</v>
      </c>
      <c r="O233" s="73">
        <f t="shared" ref="O233:X233" ca="1" si="118">N$233*(O$231/N$231)*(1+O$236)</f>
        <v>270.71551721752979</v>
      </c>
      <c r="P233" s="73">
        <f t="shared" ca="1" si="118"/>
        <v>282.89572401025703</v>
      </c>
      <c r="Q233" s="73">
        <f t="shared" ca="1" si="118"/>
        <v>295.94888891767266</v>
      </c>
      <c r="R233" s="73">
        <f t="shared" ca="1" si="118"/>
        <v>309.45412191934099</v>
      </c>
      <c r="S233" s="73">
        <f t="shared" ca="1" si="118"/>
        <v>323.68491671979808</v>
      </c>
      <c r="T233" s="73">
        <f t="shared" ca="1" si="118"/>
        <v>338.54746887558525</v>
      </c>
      <c r="U233" s="73">
        <f t="shared" ca="1" si="118"/>
        <v>353.77559772594998</v>
      </c>
      <c r="V233" s="73">
        <f t="shared" ca="1" si="118"/>
        <v>369.40685618618897</v>
      </c>
      <c r="W233" s="73">
        <f t="shared" ca="1" si="118"/>
        <v>385.52544257014478</v>
      </c>
      <c r="X233" s="73">
        <f t="shared" ca="1" si="118"/>
        <v>402.09862612076279</v>
      </c>
    </row>
    <row r="234" spans="1:24" x14ac:dyDescent="0.2">
      <c r="A234" s="162" t="s">
        <v>137</v>
      </c>
      <c r="D234" s="119"/>
      <c r="E234" s="119">
        <f t="shared" ref="E234:X234" si="119">E$233/D$233-1</f>
        <v>7.3405195060131767E-2</v>
      </c>
      <c r="F234" s="119">
        <f t="shared" si="119"/>
        <v>-4.2492079799050231E-4</v>
      </c>
      <c r="G234" s="119">
        <f t="shared" si="119"/>
        <v>2.9466524607453692E-2</v>
      </c>
      <c r="H234" s="119">
        <f t="shared" si="119"/>
        <v>4.8752312951482857E-2</v>
      </c>
      <c r="I234" s="119">
        <f t="shared" si="119"/>
        <v>3.7768950513603849E-2</v>
      </c>
      <c r="J234" s="123">
        <f t="shared" si="119"/>
        <v>3.7599834789332487E-2</v>
      </c>
      <c r="K234" s="123">
        <f t="shared" si="119"/>
        <v>5.9010034807079892E-2</v>
      </c>
      <c r="L234" s="123">
        <f t="shared" si="119"/>
        <v>4.5813537764918255E-2</v>
      </c>
      <c r="M234" s="123">
        <f t="shared" si="119"/>
        <v>4.0722336686462191E-2</v>
      </c>
      <c r="N234" s="123">
        <f t="shared" si="119"/>
        <v>4.0662910654839068E-2</v>
      </c>
      <c r="O234" s="120">
        <f t="shared" ca="1" si="119"/>
        <v>4.4632690913450457E-2</v>
      </c>
      <c r="P234" s="120">
        <f t="shared" ca="1" si="119"/>
        <v>4.4992643635348051E-2</v>
      </c>
      <c r="Q234" s="120">
        <f t="shared" ca="1" si="119"/>
        <v>4.6141259126781131E-2</v>
      </c>
      <c r="R234" s="120">
        <f t="shared" ca="1" si="119"/>
        <v>4.5633666850579901E-2</v>
      </c>
      <c r="S234" s="120">
        <f t="shared" ca="1" si="119"/>
        <v>4.5986767641654991E-2</v>
      </c>
      <c r="T234" s="120">
        <f t="shared" ca="1" si="119"/>
        <v>4.5916727620191056E-2</v>
      </c>
      <c r="U234" s="120">
        <f t="shared" ca="1" si="119"/>
        <v>4.498077891688812E-2</v>
      </c>
      <c r="V234" s="120">
        <f t="shared" ca="1" si="119"/>
        <v>4.4184105858956491E-2</v>
      </c>
      <c r="W234" s="120">
        <f t="shared" ca="1" si="119"/>
        <v>4.3633695785634474E-2</v>
      </c>
      <c r="X234" s="120">
        <f t="shared" ca="1" si="119"/>
        <v>4.2988559821451E-2</v>
      </c>
    </row>
    <row r="235" spans="1:24" x14ac:dyDescent="0.2">
      <c r="A235" s="27" t="s">
        <v>121</v>
      </c>
      <c r="B235" s="231"/>
      <c r="D235" s="179">
        <f>Data!C$228</f>
        <v>1020</v>
      </c>
      <c r="E235" s="179">
        <f>Data!D$228</f>
        <v>1061</v>
      </c>
      <c r="F235" s="179">
        <f>Data!E$228</f>
        <v>1081</v>
      </c>
      <c r="G235" s="179">
        <f>Data!F$228</f>
        <v>1099</v>
      </c>
      <c r="H235" s="179">
        <f>Data!G$228</f>
        <v>1157</v>
      </c>
      <c r="I235" s="179">
        <f>Data!H$228</f>
        <v>1168</v>
      </c>
      <c r="J235" s="171">
        <f>Data!I$228</f>
        <v>1185</v>
      </c>
      <c r="K235" s="171">
        <f>Data!J$228</f>
        <v>1210</v>
      </c>
      <c r="L235" s="171">
        <f>Data!K$228</f>
        <v>1237</v>
      </c>
      <c r="M235" s="171">
        <f>Data!L$228</f>
        <v>1264</v>
      </c>
      <c r="N235" s="171">
        <f>Data!M$228</f>
        <v>1292</v>
      </c>
      <c r="O235" s="172">
        <f t="shared" ref="O235:X235" ca="1" si="120">N$235*(1+O$236)</f>
        <v>1318.0362531645569</v>
      </c>
      <c r="P235" s="172">
        <f t="shared" ca="1" si="120"/>
        <v>1344.396978227848</v>
      </c>
      <c r="Q235" s="172">
        <f t="shared" ca="1" si="120"/>
        <v>1371.2849177924049</v>
      </c>
      <c r="R235" s="172">
        <f t="shared" ca="1" si="120"/>
        <v>1398.7106161482532</v>
      </c>
      <c r="S235" s="172">
        <f t="shared" ca="1" si="120"/>
        <v>1426.6848284712182</v>
      </c>
      <c r="T235" s="172">
        <f t="shared" ca="1" si="120"/>
        <v>1455.2185250406426</v>
      </c>
      <c r="U235" s="172">
        <f t="shared" ca="1" si="120"/>
        <v>1484.3228955414554</v>
      </c>
      <c r="V235" s="172">
        <f t="shared" ca="1" si="120"/>
        <v>1514.0093534522846</v>
      </c>
      <c r="W235" s="172">
        <f t="shared" ca="1" si="120"/>
        <v>1544.2895405213303</v>
      </c>
      <c r="X235" s="172">
        <f t="shared" ca="1" si="120"/>
        <v>1575.175331331757</v>
      </c>
    </row>
    <row r="236" spans="1:24" x14ac:dyDescent="0.2">
      <c r="A236" s="162" t="s">
        <v>137</v>
      </c>
      <c r="D236" s="119"/>
      <c r="E236" s="119">
        <f t="shared" ref="E236:N236" si="121">E$235/D$235-1</f>
        <v>4.0196078431372628E-2</v>
      </c>
      <c r="F236" s="119">
        <f t="shared" si="121"/>
        <v>1.8850141376060225E-2</v>
      </c>
      <c r="G236" s="119">
        <f t="shared" si="121"/>
        <v>1.6651248843663202E-2</v>
      </c>
      <c r="H236" s="119">
        <f t="shared" si="121"/>
        <v>5.277525022747942E-2</v>
      </c>
      <c r="I236" s="119">
        <f t="shared" si="121"/>
        <v>9.5073465859982775E-3</v>
      </c>
      <c r="J236" s="335">
        <f t="shared" si="121"/>
        <v>1.4554794520547976E-2</v>
      </c>
      <c r="K236" s="335">
        <f t="shared" si="121"/>
        <v>2.1097046413502074E-2</v>
      </c>
      <c r="L236" s="335">
        <f t="shared" si="121"/>
        <v>2.2314049586776852E-2</v>
      </c>
      <c r="M236" s="335">
        <f t="shared" si="121"/>
        <v>2.1827000808407382E-2</v>
      </c>
      <c r="N236" s="335">
        <f t="shared" si="121"/>
        <v>2.2151898734177111E-2</v>
      </c>
      <c r="O236" s="120">
        <f ca="1">IF(N$236&lt;OFFSET(Scenarios!$A$7,0,$C$1),MIN(N$236+OFFSET(Scenarios!$A$19,0,$C$1),OFFSET(Scenarios!$A$7,0,$C$1)),MAX(N$236-OFFSET(Scenarios!$A$19,0,$C$1),OFFSET(Scenarios!$A$7,0,$C$1)))</f>
        <v>2.0151898734177109E-2</v>
      </c>
      <c r="P236" s="120">
        <f ca="1">IF(O$236&lt;OFFSET(Scenarios!$A$7,0,$C$1),MIN(O$236+OFFSET(Scenarios!$A$19,0,$C$1),OFFSET(Scenarios!$A$7,0,$C$1)),MAX(O$236-OFFSET(Scenarios!$A$19,0,$C$1),OFFSET(Scenarios!$A$7,0,$C$1)))</f>
        <v>0.02</v>
      </c>
      <c r="Q236" s="120">
        <f ca="1">IF(P$236&lt;OFFSET(Scenarios!$A$7,0,$C$1),MIN(P$236+OFFSET(Scenarios!$A$19,0,$C$1),OFFSET(Scenarios!$A$7,0,$C$1)),MAX(P$236-OFFSET(Scenarios!$A$19,0,$C$1),OFFSET(Scenarios!$A$7,0,$C$1)))</f>
        <v>0.02</v>
      </c>
      <c r="R236" s="120">
        <f ca="1">IF(Q$236&lt;OFFSET(Scenarios!$A$7,0,$C$1),MIN(Q$236+OFFSET(Scenarios!$A$19,0,$C$1),OFFSET(Scenarios!$A$7,0,$C$1)),MAX(Q$236-OFFSET(Scenarios!$A$19,0,$C$1),OFFSET(Scenarios!$A$7,0,$C$1)))</f>
        <v>0.02</v>
      </c>
      <c r="S236" s="120">
        <f ca="1">IF(R$236&lt;OFFSET(Scenarios!$A$7,0,$C$1),MIN(R$236+OFFSET(Scenarios!$A$19,0,$C$1),OFFSET(Scenarios!$A$7,0,$C$1)),MAX(R$236-OFFSET(Scenarios!$A$19,0,$C$1),OFFSET(Scenarios!$A$7,0,$C$1)))</f>
        <v>0.02</v>
      </c>
      <c r="T236" s="120">
        <f ca="1">IF(S$236&lt;OFFSET(Scenarios!$A$7,0,$C$1),MIN(S$236+OFFSET(Scenarios!$A$19,0,$C$1),OFFSET(Scenarios!$A$7,0,$C$1)),MAX(S$236-OFFSET(Scenarios!$A$19,0,$C$1),OFFSET(Scenarios!$A$7,0,$C$1)))</f>
        <v>0.02</v>
      </c>
      <c r="U236" s="120">
        <f ca="1">IF(T$236&lt;OFFSET(Scenarios!$A$7,0,$C$1),MIN(T$236+OFFSET(Scenarios!$A$19,0,$C$1),OFFSET(Scenarios!$A$7,0,$C$1)),MAX(T$236-OFFSET(Scenarios!$A$19,0,$C$1),OFFSET(Scenarios!$A$7,0,$C$1)))</f>
        <v>0.02</v>
      </c>
      <c r="V236" s="120">
        <f ca="1">IF(U$236&lt;OFFSET(Scenarios!$A$7,0,$C$1),MIN(U$236+OFFSET(Scenarios!$A$19,0,$C$1),OFFSET(Scenarios!$A$7,0,$C$1)),MAX(U$236-OFFSET(Scenarios!$A$19,0,$C$1),OFFSET(Scenarios!$A$7,0,$C$1)))</f>
        <v>0.02</v>
      </c>
      <c r="W236" s="120">
        <f ca="1">IF(V$236&lt;OFFSET(Scenarios!$A$7,0,$C$1),MIN(V$236+OFFSET(Scenarios!$A$19,0,$C$1),OFFSET(Scenarios!$A$7,0,$C$1)),MAX(V$236-OFFSET(Scenarios!$A$19,0,$C$1),OFFSET(Scenarios!$A$7,0,$C$1)))</f>
        <v>0.02</v>
      </c>
      <c r="X236" s="120">
        <f ca="1">IF(W$236&lt;OFFSET(Scenarios!$A$7,0,$C$1),MIN(W$236+OFFSET(Scenarios!$A$19,0,$C$1),OFFSET(Scenarios!$A$7,0,$C$1)),MAX(W$236-OFFSET(Scenarios!$A$19,0,$C$1),OFFSET(Scenarios!$A$7,0,$C$1)))</f>
        <v>0.02</v>
      </c>
    </row>
    <row r="237" spans="1:24" x14ac:dyDescent="0.2">
      <c r="A237" s="27" t="s">
        <v>728</v>
      </c>
      <c r="B237" s="231"/>
      <c r="D237" s="119">
        <f>Data!C$236</f>
        <v>6.4100000000000004E-2</v>
      </c>
      <c r="E237" s="119">
        <f>Data!D$236</f>
        <v>6.8400000000000002E-2</v>
      </c>
      <c r="F237" s="119">
        <f>Data!E$236</f>
        <v>4.9599999999999998E-2</v>
      </c>
      <c r="G237" s="119">
        <f>Data!F$236</f>
        <v>5.0799999999999998E-2</v>
      </c>
      <c r="H237" s="119">
        <f>Data!G$236</f>
        <v>4.4699999999999997E-2</v>
      </c>
      <c r="I237" s="119">
        <f>Data!H$236</f>
        <v>3.5099999999999999E-2</v>
      </c>
      <c r="J237" s="123">
        <f>Data!I$236</f>
        <v>2.9899999999999999E-2</v>
      </c>
      <c r="K237" s="123">
        <f>Data!J$236</f>
        <v>3.4500000000000003E-2</v>
      </c>
      <c r="L237" s="123">
        <f>Data!K$236</f>
        <v>4.2799999999999998E-2</v>
      </c>
      <c r="M237" s="123">
        <f>Data!L$236</f>
        <v>4.8500000000000001E-2</v>
      </c>
      <c r="N237" s="123">
        <f>Data!M$236</f>
        <v>5.0799999999999998E-2</v>
      </c>
      <c r="O237" s="120">
        <f ca="1">IF(N$237&lt;OFFSET(Scenarios!$A$8,0,$C$1),MIN(N$237+OFFSET(Scenarios!$A$20,0,$C$1),OFFSET(Scenarios!$A$8,0,$C$1)),MAX(N$237-OFFSET(Scenarios!$A$20,0,$C$1),OFFSET(Scenarios!$A$8,0,$C$1)))</f>
        <v>5.1799999999999999E-2</v>
      </c>
      <c r="P237" s="120">
        <f ca="1">IF(O$237&lt;OFFSET(Scenarios!$A$8,0,$C$1),MIN(O$237+OFFSET(Scenarios!$A$20,0,$C$1),OFFSET(Scenarios!$A$8,0,$C$1)),MAX(O$237-OFFSET(Scenarios!$A$20,0,$C$1),OFFSET(Scenarios!$A$8,0,$C$1)))</f>
        <v>5.28E-2</v>
      </c>
      <c r="Q237" s="120">
        <f ca="1">IF(P$237&lt;OFFSET(Scenarios!$A$8,0,$C$1),MIN(P$237+OFFSET(Scenarios!$A$20,0,$C$1),OFFSET(Scenarios!$A$8,0,$C$1)),MAX(P$237-OFFSET(Scenarios!$A$20,0,$C$1),OFFSET(Scenarios!$A$8,0,$C$1)))</f>
        <v>5.3800000000000001E-2</v>
      </c>
      <c r="R237" s="325">
        <f ca="1">IF(Q$237&lt;OFFSET(Scenarios!$A$8,0,$C$1),MIN(Q$237+OFFSET(Scenarios!$A$20,0,$C$1),OFFSET(Scenarios!$A$8,0,$C$1)),MAX(Q$237-OFFSET(Scenarios!$A$20,0,$C$1),OFFSET(Scenarios!$A$8,0,$C$1)))</f>
        <v>5.4800000000000001E-2</v>
      </c>
      <c r="S237" s="325">
        <f ca="1">IF(R$237&lt;OFFSET(Scenarios!$A$8,0,$C$1),MIN(R$237+OFFSET(Scenarios!$A$20,0,$C$1),OFFSET(Scenarios!$A$8,0,$C$1)),MAX(R$237-OFFSET(Scenarios!$A$20,0,$C$1),OFFSET(Scenarios!$A$8,0,$C$1)))</f>
        <v>5.5E-2</v>
      </c>
      <c r="T237" s="120">
        <f ca="1">IF(S$237&lt;OFFSET(Scenarios!$A$8,0,$C$1),MIN(S$237+OFFSET(Scenarios!$A$20,0,$C$1),OFFSET(Scenarios!$A$8,0,$C$1)),MAX(S$237-OFFSET(Scenarios!$A$20,0,$C$1),OFFSET(Scenarios!$A$8,0,$C$1)))</f>
        <v>5.5E-2</v>
      </c>
      <c r="U237" s="120">
        <f ca="1">IF(T$237&lt;OFFSET(Scenarios!$A$8,0,$C$1),MIN(T$237+OFFSET(Scenarios!$A$20,0,$C$1),OFFSET(Scenarios!$A$8,0,$C$1)),MAX(T$237-OFFSET(Scenarios!$A$20,0,$C$1),OFFSET(Scenarios!$A$8,0,$C$1)))</f>
        <v>5.5E-2</v>
      </c>
      <c r="V237" s="120">
        <f ca="1">IF(U$237&lt;OFFSET(Scenarios!$A$8,0,$C$1),MIN(U$237+OFFSET(Scenarios!$A$20,0,$C$1),OFFSET(Scenarios!$A$8,0,$C$1)),MAX(U$237-OFFSET(Scenarios!$A$20,0,$C$1),OFFSET(Scenarios!$A$8,0,$C$1)))</f>
        <v>5.5E-2</v>
      </c>
      <c r="W237" s="120">
        <f ca="1">IF(V$237&lt;OFFSET(Scenarios!$A$8,0,$C$1),MIN(V$237+OFFSET(Scenarios!$A$20,0,$C$1),OFFSET(Scenarios!$A$8,0,$C$1)),MAX(V$237-OFFSET(Scenarios!$A$20,0,$C$1),OFFSET(Scenarios!$A$8,0,$C$1)))</f>
        <v>5.5E-2</v>
      </c>
      <c r="X237" s="120">
        <f ca="1">IF(W$237&lt;OFFSET(Scenarios!$A$8,0,$C$1),MIN(W$237+OFFSET(Scenarios!$A$20,0,$C$1),OFFSET(Scenarios!$A$8,0,$C$1)),MAX(W$237-OFFSET(Scenarios!$A$20,0,$C$1),OFFSET(Scenarios!$A$8,0,$C$1)))</f>
        <v>5.5E-2</v>
      </c>
    </row>
    <row r="238" spans="1:24" x14ac:dyDescent="0.2">
      <c r="A238" s="269" t="s">
        <v>816</v>
      </c>
      <c r="B238" s="233"/>
      <c r="D238" s="271">
        <f>Data!C$230</f>
        <v>3.2764000000000002</v>
      </c>
      <c r="E238" s="271">
        <f>Data!D$230</f>
        <v>3.3161999999999998</v>
      </c>
      <c r="F238" s="271">
        <f>Data!E$230</f>
        <v>3.3551000000000002</v>
      </c>
      <c r="G238" s="271">
        <f>Data!F$230</f>
        <v>3.4039999999999999</v>
      </c>
      <c r="H238" s="271">
        <f>Data!G$230</f>
        <v>3.4479000000000002</v>
      </c>
      <c r="I238" s="271">
        <f>Data!H$230</f>
        <v>3.4786000000000001</v>
      </c>
      <c r="J238" s="125">
        <f>Data!I$230</f>
        <v>3.5087000000000002</v>
      </c>
      <c r="K238" s="125">
        <f>Data!J$230</f>
        <v>3.5457000000000001</v>
      </c>
      <c r="L238" s="125">
        <f>Data!K$230</f>
        <v>3.5861999999999998</v>
      </c>
      <c r="M238" s="125">
        <f>Data!L$230</f>
        <v>3.6263000000000001</v>
      </c>
      <c r="N238" s="125">
        <f>Data!M$230</f>
        <v>3.6642999999999999</v>
      </c>
      <c r="O238" s="73">
        <f>'Labour Force'!O$4/1000</f>
        <v>3.7009662973524726</v>
      </c>
      <c r="P238" s="73">
        <f>'Labour Force'!P$4/1000</f>
        <v>3.7388515279145187</v>
      </c>
      <c r="Q238" s="73">
        <f>'Labour Force'!Q$4/1000</f>
        <v>3.7758717091020295</v>
      </c>
      <c r="R238" s="73">
        <f>'Labour Force'!R$4/1000</f>
        <v>3.8136881289183737</v>
      </c>
      <c r="S238" s="73">
        <f>'Labour Force'!S$4/1000</f>
        <v>3.853568871105769</v>
      </c>
      <c r="T238" s="73">
        <f>'Labour Force'!T$4/1000</f>
        <v>3.895012600231246</v>
      </c>
      <c r="U238" s="73">
        <f>'Labour Force'!U$4/1000</f>
        <v>3.9349424929512846</v>
      </c>
      <c r="V238" s="73">
        <f>'Labour Force'!V$4/1000</f>
        <v>3.9747937448190935</v>
      </c>
      <c r="W238" s="73">
        <f>'Labour Force'!W$4/1000</f>
        <v>4.0128952377247735</v>
      </c>
      <c r="X238" s="73">
        <f>'Labour Force'!X$4/1000</f>
        <v>4.0488341071941143</v>
      </c>
    </row>
    <row r="239" spans="1:24" x14ac:dyDescent="0.2">
      <c r="A239" s="162" t="s">
        <v>137</v>
      </c>
      <c r="D239" s="119"/>
      <c r="E239" s="119">
        <f t="shared" ref="E239:X239" si="122">E$238/D$238-1</f>
        <v>1.2147478940300216E-2</v>
      </c>
      <c r="F239" s="119">
        <f t="shared" si="122"/>
        <v>1.1730293709667716E-2</v>
      </c>
      <c r="G239" s="119">
        <f t="shared" si="122"/>
        <v>1.4574826383714212E-2</v>
      </c>
      <c r="H239" s="119">
        <f t="shared" si="122"/>
        <v>1.2896592244418414E-2</v>
      </c>
      <c r="I239" s="119">
        <f t="shared" si="122"/>
        <v>8.9039705327880192E-3</v>
      </c>
      <c r="J239" s="123">
        <f t="shared" si="122"/>
        <v>8.6529063416316276E-3</v>
      </c>
      <c r="K239" s="123">
        <f t="shared" si="122"/>
        <v>1.0545216176931493E-2</v>
      </c>
      <c r="L239" s="123">
        <f t="shared" si="122"/>
        <v>1.1422286149420424E-2</v>
      </c>
      <c r="M239" s="123">
        <f t="shared" si="122"/>
        <v>1.1181752272600542E-2</v>
      </c>
      <c r="N239" s="123">
        <f t="shared" si="122"/>
        <v>1.047900063425522E-2</v>
      </c>
      <c r="O239" s="120">
        <f t="shared" si="122"/>
        <v>1.0006357927154541E-2</v>
      </c>
      <c r="P239" s="120">
        <f t="shared" si="122"/>
        <v>1.0236578103709704E-2</v>
      </c>
      <c r="Q239" s="120">
        <f t="shared" si="122"/>
        <v>9.9014846968690229E-3</v>
      </c>
      <c r="R239" s="120">
        <f t="shared" si="122"/>
        <v>1.0015281961297751E-2</v>
      </c>
      <c r="S239" s="120">
        <f t="shared" si="122"/>
        <v>1.0457263635426317E-2</v>
      </c>
      <c r="T239" s="120">
        <f t="shared" si="122"/>
        <v>1.075463564080148E-2</v>
      </c>
      <c r="U239" s="120">
        <f t="shared" si="122"/>
        <v>1.025154391481764E-2</v>
      </c>
      <c r="V239" s="120">
        <f t="shared" si="122"/>
        <v>1.0127530945927443E-2</v>
      </c>
      <c r="W239" s="120">
        <f t="shared" si="122"/>
        <v>9.5857786219331054E-3</v>
      </c>
      <c r="X239" s="120">
        <f t="shared" si="122"/>
        <v>8.9558454283789057E-3</v>
      </c>
    </row>
    <row r="240" spans="1:24" x14ac:dyDescent="0.2">
      <c r="A240" s="27" t="s">
        <v>189</v>
      </c>
      <c r="B240" s="231"/>
      <c r="D240" s="69">
        <f>Data!C$229</f>
        <v>2.2385000000000002</v>
      </c>
      <c r="E240" s="69">
        <f>Data!D$229</f>
        <v>2.2618</v>
      </c>
      <c r="F240" s="69">
        <f>Data!E$229</f>
        <v>2.302</v>
      </c>
      <c r="G240" s="69">
        <f>Data!F$229</f>
        <v>2.3170000000000002</v>
      </c>
      <c r="H240" s="69">
        <f>Data!G$229</f>
        <v>2.3548</v>
      </c>
      <c r="I240" s="69">
        <f>Data!H$229</f>
        <v>2.3809999999999998</v>
      </c>
      <c r="J240" s="125">
        <f>Data!I$229</f>
        <v>2.3957000000000002</v>
      </c>
      <c r="K240" s="125">
        <f>Data!J$229</f>
        <v>2.4258000000000002</v>
      </c>
      <c r="L240" s="125">
        <f>Data!K$229</f>
        <v>2.4586999999999999</v>
      </c>
      <c r="M240" s="125">
        <f>Data!L$229</f>
        <v>2.4849000000000001</v>
      </c>
      <c r="N240" s="125">
        <f>Data!M$229</f>
        <v>2.5102000000000002</v>
      </c>
      <c r="O240" s="73">
        <f>'Labour Force'!O$5/1000</f>
        <v>2.5386849417987767</v>
      </c>
      <c r="P240" s="73">
        <f>'Labour Force'!P$5/1000</f>
        <v>2.5659850510235929</v>
      </c>
      <c r="Q240" s="73">
        <f>'Labour Force'!Q$5/1000</f>
        <v>2.5916988554799651</v>
      </c>
      <c r="R240" s="73">
        <f>'Labour Force'!R$5/1000</f>
        <v>2.6164040834477595</v>
      </c>
      <c r="S240" s="73">
        <f>'Labour Force'!S$5/1000</f>
        <v>2.6406392951878668</v>
      </c>
      <c r="T240" s="73">
        <f>'Labour Force'!T$5/1000</f>
        <v>2.6649234669516919</v>
      </c>
      <c r="U240" s="73">
        <f>'Labour Force'!U$5/1000</f>
        <v>2.6884340703407821</v>
      </c>
      <c r="V240" s="73">
        <f>'Labour Force'!V$5/1000</f>
        <v>2.7115040335164156</v>
      </c>
      <c r="W240" s="73">
        <f>'Labour Force'!W$5/1000</f>
        <v>2.7333304120896273</v>
      </c>
      <c r="X240" s="73">
        <f>'Labour Force'!X$5/1000</f>
        <v>2.7536292379228571</v>
      </c>
    </row>
    <row r="241" spans="1:24" x14ac:dyDescent="0.2">
      <c r="A241" s="162" t="s">
        <v>137</v>
      </c>
      <c r="D241" s="119"/>
      <c r="E241" s="119">
        <f t="shared" ref="E241:Q241" si="123">E$240/D$240-1</f>
        <v>1.0408755863301256E-2</v>
      </c>
      <c r="F241" s="119">
        <f t="shared" si="123"/>
        <v>1.7773454770536823E-2</v>
      </c>
      <c r="G241" s="119">
        <f t="shared" si="123"/>
        <v>6.5160729800173289E-3</v>
      </c>
      <c r="H241" s="119">
        <f t="shared" si="123"/>
        <v>1.6314199395770279E-2</v>
      </c>
      <c r="I241" s="119">
        <f t="shared" si="123"/>
        <v>1.1126210293867844E-2</v>
      </c>
      <c r="J241" s="123">
        <f t="shared" si="123"/>
        <v>6.1738765224697012E-3</v>
      </c>
      <c r="K241" s="123">
        <f t="shared" si="123"/>
        <v>1.25641774846601E-2</v>
      </c>
      <c r="L241" s="123">
        <f t="shared" si="123"/>
        <v>1.3562536070574449E-2</v>
      </c>
      <c r="M241" s="123">
        <f t="shared" si="123"/>
        <v>1.0656037743523195E-2</v>
      </c>
      <c r="N241" s="123">
        <f t="shared" si="123"/>
        <v>1.0181496237273269E-2</v>
      </c>
      <c r="O241" s="120">
        <f t="shared" si="123"/>
        <v>1.1347678192485278E-2</v>
      </c>
      <c r="P241" s="120">
        <f t="shared" si="123"/>
        <v>1.075364208268903E-2</v>
      </c>
      <c r="Q241" s="120">
        <f t="shared" si="123"/>
        <v>1.0021026601894967E-2</v>
      </c>
      <c r="R241" s="120">
        <f t="shared" ref="R241:X241" si="124">R$240/Q$240-1</f>
        <v>9.5324454519694068E-3</v>
      </c>
      <c r="S241" s="120">
        <f t="shared" si="124"/>
        <v>9.2627938831877366E-3</v>
      </c>
      <c r="T241" s="120">
        <f t="shared" si="124"/>
        <v>9.1963229540963365E-3</v>
      </c>
      <c r="U241" s="120">
        <f t="shared" si="124"/>
        <v>8.8222433704572278E-3</v>
      </c>
      <c r="V241" s="120">
        <f t="shared" si="124"/>
        <v>8.581189857004512E-3</v>
      </c>
      <c r="W241" s="120">
        <f t="shared" si="124"/>
        <v>8.0495467841537049E-3</v>
      </c>
      <c r="X241" s="120">
        <f t="shared" si="124"/>
        <v>7.4264076320400552E-3</v>
      </c>
    </row>
    <row r="242" spans="1:24" x14ac:dyDescent="0.2">
      <c r="A242" s="27" t="s">
        <v>139</v>
      </c>
      <c r="D242" s="119">
        <f t="shared" ref="D242:X242" si="125">D$240/D$238</f>
        <v>0.6832193871322183</v>
      </c>
      <c r="E242" s="119">
        <f t="shared" si="125"/>
        <v>0.68204571497497135</v>
      </c>
      <c r="F242" s="119">
        <f t="shared" si="125"/>
        <v>0.68611963875890436</v>
      </c>
      <c r="G242" s="119">
        <f t="shared" si="125"/>
        <v>0.68066980023501766</v>
      </c>
      <c r="H242" s="119">
        <f t="shared" si="125"/>
        <v>0.68296644334232426</v>
      </c>
      <c r="I242" s="119">
        <f t="shared" si="125"/>
        <v>0.68447076410050012</v>
      </c>
      <c r="J242" s="123">
        <f t="shared" si="125"/>
        <v>0.68278849716419188</v>
      </c>
      <c r="K242" s="123">
        <f t="shared" si="125"/>
        <v>0.68415263558676709</v>
      </c>
      <c r="L242" s="123">
        <f t="shared" si="125"/>
        <v>0.68560035692376331</v>
      </c>
      <c r="M242" s="123">
        <f t="shared" si="125"/>
        <v>0.68524391252792105</v>
      </c>
      <c r="N242" s="123">
        <f t="shared" si="125"/>
        <v>0.68504216357830972</v>
      </c>
      <c r="O242" s="120">
        <f t="shared" si="125"/>
        <v>0.68595192115498405</v>
      </c>
      <c r="P242" s="120">
        <f t="shared" si="125"/>
        <v>0.68630300825421253</v>
      </c>
      <c r="Q242" s="120">
        <f t="shared" si="125"/>
        <v>0.68638424585042856</v>
      </c>
      <c r="R242" s="120">
        <f t="shared" si="125"/>
        <v>0.68605612074257782</v>
      </c>
      <c r="S242" s="120">
        <f t="shared" si="125"/>
        <v>0.68524512822062111</v>
      </c>
      <c r="T242" s="120">
        <f t="shared" si="125"/>
        <v>0.68418866393230049</v>
      </c>
      <c r="U242" s="120">
        <f t="shared" si="125"/>
        <v>0.68322067607254999</v>
      </c>
      <c r="V242" s="120">
        <f t="shared" si="125"/>
        <v>0.68217477625114498</v>
      </c>
      <c r="W242" s="120">
        <f t="shared" si="125"/>
        <v>0.68113674795043189</v>
      </c>
      <c r="X242" s="120">
        <f t="shared" si="125"/>
        <v>0.6801042386572741</v>
      </c>
    </row>
    <row r="243" spans="1:24" x14ac:dyDescent="0.2">
      <c r="A243" s="27" t="s">
        <v>123</v>
      </c>
      <c r="B243" s="231"/>
      <c r="D243" s="119">
        <f>Data!C$231</f>
        <v>3.7999999999999999E-2</v>
      </c>
      <c r="E243" s="119">
        <f>Data!D$231</f>
        <v>3.7499999999999999E-2</v>
      </c>
      <c r="F243" s="119">
        <f>Data!E$231</f>
        <v>4.9500000000000002E-2</v>
      </c>
      <c r="G243" s="119">
        <f>Data!F$231</f>
        <v>6.6000000000000003E-2</v>
      </c>
      <c r="H243" s="119">
        <f>Data!G$231</f>
        <v>6.5500000000000003E-2</v>
      </c>
      <c r="I243" s="119">
        <f>Data!H$231</f>
        <v>6.6299999999999998E-2</v>
      </c>
      <c r="J243" s="123">
        <f>Data!I$231</f>
        <v>7.0099999999999996E-2</v>
      </c>
      <c r="K243" s="123">
        <f>Data!J$231</f>
        <v>6.2899999999999998E-2</v>
      </c>
      <c r="L243" s="123">
        <f>Data!K$231</f>
        <v>5.9200000000000003E-2</v>
      </c>
      <c r="M243" s="123">
        <f>Data!L$231</f>
        <v>5.62E-2</v>
      </c>
      <c r="N243" s="123">
        <f>Data!M$231</f>
        <v>5.1499999999999997E-2</v>
      </c>
      <c r="O243" s="325">
        <f ca="1">IF(N$243&lt;OFFSET(Scenarios!$A$9,0,$C$1),MIN(N$243+OFFSET(Scenarios!$A$21,0,$C$1),OFFSET(Scenarios!$A$9,0,$C$1)),MAX(N$243-OFFSET(Scenarios!$A$21,0,$C$1),OFFSET(Scenarios!$A$9,0,$C$1)))</f>
        <v>5.0499999999999996E-2</v>
      </c>
      <c r="P243" s="325">
        <f ca="1">IF(O$243&lt;OFFSET(Scenarios!$A$9,0,$C$1),MIN(O$243+OFFSET(Scenarios!$A$21,0,$C$1),OFFSET(Scenarios!$A$9,0,$C$1)),MAX(O$243-OFFSET(Scenarios!$A$21,0,$C$1),OFFSET(Scenarios!$A$9,0,$C$1)))</f>
        <v>4.9499999999999995E-2</v>
      </c>
      <c r="Q243" s="325">
        <f ca="1">IF(P$243&lt;OFFSET(Scenarios!$A$9,0,$C$1),MIN(P$243+OFFSET(Scenarios!$A$21,0,$C$1),OFFSET(Scenarios!$A$9,0,$C$1)),MAX(P$243-OFFSET(Scenarios!$A$21,0,$C$1),OFFSET(Scenarios!$A$9,0,$C$1)))</f>
        <v>4.8499999999999995E-2</v>
      </c>
      <c r="R243" s="325">
        <f ca="1">IF(Q$243&lt;OFFSET(Scenarios!$A$9,0,$C$1),MIN(Q$243+OFFSET(Scenarios!$A$21,0,$C$1),OFFSET(Scenarios!$A$9,0,$C$1)),MAX(Q$243-OFFSET(Scenarios!$A$21,0,$C$1),OFFSET(Scenarios!$A$9,0,$C$1)))</f>
        <v>4.7499999999999994E-2</v>
      </c>
      <c r="S243" s="325">
        <f ca="1">IF(R$243&lt;OFFSET(Scenarios!$A$9,0,$C$1),MIN(R$243+OFFSET(Scenarios!$A$21,0,$C$1),OFFSET(Scenarios!$A$9,0,$C$1)),MAX(R$243-OFFSET(Scenarios!$A$21,0,$C$1),OFFSET(Scenarios!$A$9,0,$C$1)))</f>
        <v>4.6499999999999993E-2</v>
      </c>
      <c r="T243" s="325">
        <f ca="1">IF(S$243&lt;OFFSET(Scenarios!$A$9,0,$C$1),MIN(S$243+OFFSET(Scenarios!$A$21,0,$C$1),OFFSET(Scenarios!$A$9,0,$C$1)),MAX(S$243-OFFSET(Scenarios!$A$21,0,$C$1),OFFSET(Scenarios!$A$9,0,$C$1)))</f>
        <v>4.5499999999999992E-2</v>
      </c>
      <c r="U243" s="325">
        <f ca="1">IF(T$243&lt;OFFSET(Scenarios!$A$9,0,$C$1),MIN(T$243+OFFSET(Scenarios!$A$21,0,$C$1),OFFSET(Scenarios!$A$9,0,$C$1)),MAX(T$243-OFFSET(Scenarios!$A$21,0,$C$1),OFFSET(Scenarios!$A$9,0,$C$1)))</f>
        <v>4.4999999999999998E-2</v>
      </c>
      <c r="V243" s="325">
        <f ca="1">IF(U$243&lt;OFFSET(Scenarios!$A$9,0,$C$1),MIN(U$243+OFFSET(Scenarios!$A$21,0,$C$1),OFFSET(Scenarios!$A$9,0,$C$1)),MAX(U$243-OFFSET(Scenarios!$A$21,0,$C$1),OFFSET(Scenarios!$A$9,0,$C$1)))</f>
        <v>4.4999999999999998E-2</v>
      </c>
      <c r="W243" s="325">
        <f ca="1">IF(V$243&lt;OFFSET(Scenarios!$A$9,0,$C$1),MIN(V$243+OFFSET(Scenarios!$A$21,0,$C$1),OFFSET(Scenarios!$A$9,0,$C$1)),MAX(V$243-OFFSET(Scenarios!$A$21,0,$C$1),OFFSET(Scenarios!$A$9,0,$C$1)))</f>
        <v>4.4999999999999998E-2</v>
      </c>
      <c r="X243" s="325">
        <f ca="1">IF(W$243&lt;OFFSET(Scenarios!$A$9,0,$C$1),MIN(W$243+OFFSET(Scenarios!$A$21,0,$C$1),OFFSET(Scenarios!$A$9,0,$C$1)),MAX(W$243-OFFSET(Scenarios!$A$21,0,$C$1),OFFSET(Scenarios!$A$9,0,$C$1)))</f>
        <v>4.4999999999999998E-2</v>
      </c>
    </row>
    <row r="244" spans="1:24" x14ac:dyDescent="0.2">
      <c r="A244" s="27" t="s">
        <v>515</v>
      </c>
      <c r="D244" s="69">
        <f t="shared" ref="D244:X244" si="126">D$240*(1-D$243)</f>
        <v>2.1534370000000003</v>
      </c>
      <c r="E244" s="69">
        <f t="shared" si="126"/>
        <v>2.1769825000000003</v>
      </c>
      <c r="F244" s="69">
        <f t="shared" si="126"/>
        <v>2.1880510000000002</v>
      </c>
      <c r="G244" s="69">
        <f t="shared" si="126"/>
        <v>2.1640779999999999</v>
      </c>
      <c r="H244" s="69">
        <f t="shared" si="126"/>
        <v>2.2005606000000002</v>
      </c>
      <c r="I244" s="69">
        <f t="shared" si="126"/>
        <v>2.2231396999999999</v>
      </c>
      <c r="J244" s="125">
        <f t="shared" si="126"/>
        <v>2.2277614300000002</v>
      </c>
      <c r="K244" s="125">
        <f t="shared" si="126"/>
        <v>2.2732171800000001</v>
      </c>
      <c r="L244" s="125">
        <f t="shared" si="126"/>
        <v>2.3131449599999998</v>
      </c>
      <c r="M244" s="125">
        <f t="shared" si="126"/>
        <v>2.34524862</v>
      </c>
      <c r="N244" s="125">
        <f t="shared" si="126"/>
        <v>2.3809247</v>
      </c>
      <c r="O244" s="73">
        <f t="shared" ca="1" si="126"/>
        <v>2.4104813522379387</v>
      </c>
      <c r="P244" s="73">
        <f t="shared" ca="1" si="126"/>
        <v>2.438968790997925</v>
      </c>
      <c r="Q244" s="73">
        <f t="shared" ca="1" si="126"/>
        <v>2.4660014609891867</v>
      </c>
      <c r="R244" s="73">
        <f t="shared" ca="1" si="126"/>
        <v>2.4921248894839909</v>
      </c>
      <c r="S244" s="73">
        <f t="shared" ca="1" si="126"/>
        <v>2.5178495679616311</v>
      </c>
      <c r="T244" s="73">
        <f t="shared" ca="1" si="126"/>
        <v>2.5436694492053902</v>
      </c>
      <c r="U244" s="73">
        <f t="shared" ca="1" si="126"/>
        <v>2.5674545371754469</v>
      </c>
      <c r="V244" s="73">
        <f t="shared" ca="1" si="126"/>
        <v>2.5894863520081768</v>
      </c>
      <c r="W244" s="73">
        <f t="shared" ca="1" si="126"/>
        <v>2.6103305435455941</v>
      </c>
      <c r="X244" s="73">
        <f t="shared" ca="1" si="126"/>
        <v>2.6297159222163282</v>
      </c>
    </row>
    <row r="245" spans="1:24" x14ac:dyDescent="0.2">
      <c r="A245" s="162" t="s">
        <v>137</v>
      </c>
      <c r="D245" s="119"/>
      <c r="E245" s="119">
        <f t="shared" ref="E245:X245" si="127">E$244/D$244-1</f>
        <v>1.0933916339321836E-2</v>
      </c>
      <c r="F245" s="119">
        <f t="shared" si="127"/>
        <v>5.0843311785924161E-3</v>
      </c>
      <c r="G245" s="119">
        <f t="shared" si="127"/>
        <v>-1.0956325972292347E-2</v>
      </c>
      <c r="H245" s="119">
        <f t="shared" si="127"/>
        <v>1.6858264813006008E-2</v>
      </c>
      <c r="I245" s="119">
        <f t="shared" si="127"/>
        <v>1.0260612682059245E-2</v>
      </c>
      <c r="J245" s="123">
        <f t="shared" si="127"/>
        <v>2.0789201866171503E-3</v>
      </c>
      <c r="K245" s="123">
        <f t="shared" si="127"/>
        <v>2.0404227036105782E-2</v>
      </c>
      <c r="L245" s="123">
        <f t="shared" si="127"/>
        <v>1.7564437024006452E-2</v>
      </c>
      <c r="M245" s="123">
        <f t="shared" si="127"/>
        <v>1.3878792965919429E-2</v>
      </c>
      <c r="N245" s="123">
        <f t="shared" si="127"/>
        <v>1.5212067367083693E-2</v>
      </c>
      <c r="O245" s="120">
        <f t="shared" ca="1" si="127"/>
        <v>1.241393826438042E-2</v>
      </c>
      <c r="P245" s="120">
        <f t="shared" ca="1" si="127"/>
        <v>1.1818153554076671E-2</v>
      </c>
      <c r="Q245" s="120">
        <f t="shared" ca="1" si="127"/>
        <v>1.1083647355816018E-2</v>
      </c>
      <c r="R245" s="120">
        <f t="shared" ca="1" si="127"/>
        <v>1.0593435935891682E-2</v>
      </c>
      <c r="S245" s="120">
        <f t="shared" ca="1" si="127"/>
        <v>1.0322387367579511E-2</v>
      </c>
      <c r="T245" s="120">
        <f t="shared" ca="1" si="127"/>
        <v>1.0254735458505637E-2</v>
      </c>
      <c r="U245" s="120">
        <f t="shared" ca="1" si="127"/>
        <v>9.3506992339302819E-3</v>
      </c>
      <c r="V245" s="120">
        <f t="shared" ca="1" si="127"/>
        <v>8.5811898570042899E-3</v>
      </c>
      <c r="W245" s="120">
        <f t="shared" ca="1" si="127"/>
        <v>8.0495467841537049E-3</v>
      </c>
      <c r="X245" s="120">
        <f t="shared" ca="1" si="127"/>
        <v>7.4264076320400552E-3</v>
      </c>
    </row>
    <row r="246" spans="1:24" x14ac:dyDescent="0.2">
      <c r="A246" s="27" t="s">
        <v>124</v>
      </c>
      <c r="B246" s="231"/>
      <c r="D246" s="406">
        <f>Data!C$232</f>
        <v>34.15</v>
      </c>
      <c r="E246" s="406">
        <f>Data!D$232</f>
        <v>33.799999999999997</v>
      </c>
      <c r="F246" s="406">
        <f>Data!E$232</f>
        <v>33.340000000000003</v>
      </c>
      <c r="G246" s="406">
        <f>Data!F$232</f>
        <v>33.229999999999997</v>
      </c>
      <c r="H246" s="406">
        <f>Data!G$232</f>
        <v>33.35</v>
      </c>
      <c r="I246" s="406">
        <f>Data!H$232</f>
        <v>33.25</v>
      </c>
      <c r="J246" s="294">
        <f>Data!I$232</f>
        <v>33.24</v>
      </c>
      <c r="K246" s="294">
        <f>Data!J$232</f>
        <v>33.22</v>
      </c>
      <c r="L246" s="294">
        <f>Data!K$232</f>
        <v>33.130000000000003</v>
      </c>
      <c r="M246" s="294">
        <f>Data!L$232</f>
        <v>33.090000000000003</v>
      </c>
      <c r="N246" s="294">
        <f>Data!M$232</f>
        <v>33.08</v>
      </c>
      <c r="O246" s="407">
        <f ca="1">IF(N$246&lt;OFFSET(Scenarios!$A$10,0,$C$1),MIN(N$246+OFFSET(Scenarios!$A$22,0,$C$1),OFFSET(Scenarios!$A$10,0,$C$1)),MAX(N$246-OFFSET(Scenarios!$A$22,0,$C$1),OFFSET(Scenarios!$A$10,0,$C$1)))</f>
        <v>33.059999999999995</v>
      </c>
      <c r="P246" s="407">
        <f ca="1">IF(O$246&lt;OFFSET(Scenarios!$A$10,0,$C$1),MIN(O$246+OFFSET(Scenarios!$A$22,0,$C$1),OFFSET(Scenarios!$A$10,0,$C$1)),MAX(O$246-OFFSET(Scenarios!$A$22,0,$C$1),OFFSET(Scenarios!$A$10,0,$C$1)))</f>
        <v>33.039999999999992</v>
      </c>
      <c r="Q246" s="407">
        <f ca="1">IF(P$246&lt;OFFSET(Scenarios!$A$10,0,$C$1),MIN(P$246+OFFSET(Scenarios!$A$22,0,$C$1),OFFSET(Scenarios!$A$10,0,$C$1)),MAX(P$246-OFFSET(Scenarios!$A$22,0,$C$1),OFFSET(Scenarios!$A$10,0,$C$1)))</f>
        <v>33.019999999999989</v>
      </c>
      <c r="R246" s="407">
        <f ca="1">IF(Q$246&lt;OFFSET(Scenarios!$A$10,0,$C$1),MIN(Q$246+OFFSET(Scenarios!$A$22,0,$C$1),OFFSET(Scenarios!$A$10,0,$C$1)),MAX(Q$246-OFFSET(Scenarios!$A$22,0,$C$1),OFFSET(Scenarios!$A$10,0,$C$1)))</f>
        <v>33</v>
      </c>
      <c r="S246" s="407">
        <f ca="1">IF(R$246&lt;OFFSET(Scenarios!$A$10,0,$C$1),MIN(R$246+OFFSET(Scenarios!$A$22,0,$C$1),OFFSET(Scenarios!$A$10,0,$C$1)),MAX(R$246-OFFSET(Scenarios!$A$22,0,$C$1),OFFSET(Scenarios!$A$10,0,$C$1)))</f>
        <v>33</v>
      </c>
      <c r="T246" s="407">
        <f ca="1">IF(S$246&lt;OFFSET(Scenarios!$A$10,0,$C$1),MIN(S$246+OFFSET(Scenarios!$A$22,0,$C$1),OFFSET(Scenarios!$A$10,0,$C$1)),MAX(S$246-OFFSET(Scenarios!$A$22,0,$C$1),OFFSET(Scenarios!$A$10,0,$C$1)))</f>
        <v>33</v>
      </c>
      <c r="U246" s="407">
        <f ca="1">IF(T$246&lt;OFFSET(Scenarios!$A$10,0,$C$1),MIN(T$246+OFFSET(Scenarios!$A$22,0,$C$1),OFFSET(Scenarios!$A$10,0,$C$1)),MAX(T$246-OFFSET(Scenarios!$A$22,0,$C$1),OFFSET(Scenarios!$A$10,0,$C$1)))</f>
        <v>33</v>
      </c>
      <c r="V246" s="407">
        <f ca="1">IF(U$246&lt;OFFSET(Scenarios!$A$10,0,$C$1),MIN(U$246+OFFSET(Scenarios!$A$22,0,$C$1),OFFSET(Scenarios!$A$10,0,$C$1)),MAX(U$246-OFFSET(Scenarios!$A$22,0,$C$1),OFFSET(Scenarios!$A$10,0,$C$1)))</f>
        <v>33</v>
      </c>
      <c r="W246" s="407">
        <f ca="1">IF(V$246&lt;OFFSET(Scenarios!$A$10,0,$C$1),MIN(V$246+OFFSET(Scenarios!$A$22,0,$C$1),OFFSET(Scenarios!$A$10,0,$C$1)),MAX(V$246-OFFSET(Scenarios!$A$22,0,$C$1),OFFSET(Scenarios!$A$10,0,$C$1)))</f>
        <v>33</v>
      </c>
      <c r="X246" s="407">
        <f ca="1">IF(W$246&lt;OFFSET(Scenarios!$A$10,0,$C$1),MIN(W$246+OFFSET(Scenarios!$A$22,0,$C$1),OFFSET(Scenarios!$A$10,0,$C$1)),MAX(W$246-OFFSET(Scenarios!$A$22,0,$C$1),OFFSET(Scenarios!$A$10,0,$C$1)))</f>
        <v>33</v>
      </c>
    </row>
    <row r="247" spans="1:24" x14ac:dyDescent="0.2">
      <c r="A247" s="27" t="s">
        <v>193</v>
      </c>
      <c r="B247" s="231"/>
      <c r="D247" s="119">
        <f>Data!C$234</f>
        <v>4.8099999999999997E-2</v>
      </c>
      <c r="E247" s="119">
        <f>Data!D$234</f>
        <v>4.5900000000000003E-2</v>
      </c>
      <c r="F247" s="119">
        <f>Data!E$234</f>
        <v>5.3100000000000001E-2</v>
      </c>
      <c r="G247" s="119">
        <f>Data!F$234</f>
        <v>2.1899999999999999E-2</v>
      </c>
      <c r="H247" s="119">
        <f>Data!G$234</f>
        <v>2.1399999999999999E-2</v>
      </c>
      <c r="I247" s="119">
        <f>Data!H$234</f>
        <v>3.1699999999999999E-2</v>
      </c>
      <c r="J247" s="123">
        <f>Data!I$234</f>
        <v>2.5000000000000001E-2</v>
      </c>
      <c r="K247" s="123">
        <f>Data!J$234</f>
        <v>2.4299999999999999E-2</v>
      </c>
      <c r="L247" s="123">
        <f>Data!K$234</f>
        <v>2.6700000000000002E-2</v>
      </c>
      <c r="M247" s="123">
        <f>Data!L$234</f>
        <v>2.58E-2</v>
      </c>
      <c r="N247" s="123">
        <f>Data!M$234</f>
        <v>2.6100000000000002E-2</v>
      </c>
      <c r="O247" s="120">
        <f t="shared" ref="O247:X247" ca="1" si="128">(1+O$236)*(1+O$248)-1</f>
        <v>3.2447908022562144E-2</v>
      </c>
      <c r="P247" s="120">
        <f t="shared" ca="1" si="128"/>
        <v>3.3412181917741757E-2</v>
      </c>
      <c r="Q247" s="120">
        <f t="shared" ca="1" si="128"/>
        <v>3.5299999999999887E-2</v>
      </c>
      <c r="R247" s="120">
        <f t="shared" ca="1" si="128"/>
        <v>3.5299999999999887E-2</v>
      </c>
      <c r="S247" s="120">
        <f t="shared" ca="1" si="128"/>
        <v>3.5299999999999887E-2</v>
      </c>
      <c r="T247" s="120">
        <f t="shared" ca="1" si="128"/>
        <v>3.5299999999999887E-2</v>
      </c>
      <c r="U247" s="120">
        <f t="shared" ca="1" si="128"/>
        <v>3.5299999999999887E-2</v>
      </c>
      <c r="V247" s="120">
        <f t="shared" ca="1" si="128"/>
        <v>3.5299999999999887E-2</v>
      </c>
      <c r="W247" s="120">
        <f t="shared" ca="1" si="128"/>
        <v>3.5299999999999887E-2</v>
      </c>
      <c r="X247" s="120">
        <f t="shared" ca="1" si="128"/>
        <v>3.5299999999999887E-2</v>
      </c>
    </row>
    <row r="248" spans="1:24" x14ac:dyDescent="0.2">
      <c r="A248" s="27" t="s">
        <v>279</v>
      </c>
      <c r="B248" s="231"/>
      <c r="D248" s="119">
        <f>Data!C$233</f>
        <v>1.5299999999999999E-2</v>
      </c>
      <c r="E248" s="119">
        <f>Data!D$233</f>
        <v>1.7299999999999999E-2</v>
      </c>
      <c r="F248" s="119">
        <f>Data!E$233</f>
        <v>-1.1900000000000001E-2</v>
      </c>
      <c r="G248" s="119">
        <f>Data!F$233</f>
        <v>1.46E-2</v>
      </c>
      <c r="H248" s="119">
        <f>Data!G$233</f>
        <v>-8.0000000000000002E-3</v>
      </c>
      <c r="I248" s="119">
        <f>Data!H$233</f>
        <v>1.2999999999999999E-2</v>
      </c>
      <c r="J248" s="123">
        <f>Data!I$233</f>
        <v>2.1299999999999999E-2</v>
      </c>
      <c r="K248" s="123">
        <f>Data!J$233</f>
        <v>9.9000000000000008E-3</v>
      </c>
      <c r="L248" s="123">
        <f>Data!K$233</f>
        <v>1.01E-2</v>
      </c>
      <c r="M248" s="123">
        <f>Data!L$233</f>
        <v>1.0699999999999999E-2</v>
      </c>
      <c r="N248" s="123">
        <f>Data!M$233</f>
        <v>8.8000000000000005E-3</v>
      </c>
      <c r="O248" s="120">
        <f ca="1">IF(OFFSET(Scenarios!$A$14,0,$C$1)&gt;=O$4,(O$231/N$231)/((O$240*(1-O$243)*O$246)/(N$240*(1-N$243)*N$246))-1,OFFSET(Scenarios!$A$6,0,$C$1))</f>
        <v>1.2053116113043716E-2</v>
      </c>
      <c r="P248" s="120">
        <f ca="1">IF(OFFSET(Scenarios!$A$14,0,$C$1)&gt;=P$4,(P$231/O$231)/((P$240*(1-P$243)*P$246)/(O$240*(1-O$243)*O$246))-1,OFFSET(Scenarios!$A$6,0,$C$1))</f>
        <v>1.314919795857028E-2</v>
      </c>
      <c r="Q248" s="120">
        <f ca="1">IF(OFFSET(Scenarios!$A$14,0,$C$1)&gt;=Q$4,(Q$231/P$231)/((Q$240*(1-Q$243)*Q$246)/(P$240*(1-P$243)*P$246))-1,OFFSET(Scenarios!$A$6,0,$C$1))</f>
        <v>1.4999999999999999E-2</v>
      </c>
      <c r="R248" s="120">
        <f ca="1">IF(OFFSET(Scenarios!$A$14,0,$C$1)&gt;=R$4,(R$231/Q$231)/((R$240*(1-R$243)*R$246)/(Q$240*(1-Q$243)*Q$246))-1,OFFSET(Scenarios!$A$6,0,$C$1))</f>
        <v>1.4999999999999999E-2</v>
      </c>
      <c r="S248" s="120">
        <f ca="1">IF(OFFSET(Scenarios!$A$14,0,$C$1)&gt;=S$4,(S$231/R$231)/((S$240*(1-S$243)*S$246)/(R$240*(1-R$243)*R$246))-1,OFFSET(Scenarios!$A$6,0,$C$1))</f>
        <v>1.4999999999999999E-2</v>
      </c>
      <c r="T248" s="120">
        <f ca="1">IF(OFFSET(Scenarios!$A$14,0,$C$1)&gt;=T$4,(T$231/S$231)/((T$240*(1-T$243)*T$246)/(S$240*(1-S$243)*S$246))-1,OFFSET(Scenarios!$A$6,0,$C$1))</f>
        <v>1.4999999999999999E-2</v>
      </c>
      <c r="U248" s="120">
        <f ca="1">IF(OFFSET(Scenarios!$A$14,0,$C$1)&gt;=U$4,(U$231/T$231)/((U$240*(1-U$243)*U$246)/(T$240*(1-T$243)*T$246))-1,OFFSET(Scenarios!$A$6,0,$C$1))</f>
        <v>1.4999999999999999E-2</v>
      </c>
      <c r="V248" s="120">
        <f ca="1">IF(OFFSET(Scenarios!$A$14,0,$C$1)&gt;=V$4,(V$231/U$231)/((V$240*(1-V$243)*V$246)/(U$240*(1-U$243)*U$246))-1,OFFSET(Scenarios!$A$6,0,$C$1))</f>
        <v>1.4999999999999999E-2</v>
      </c>
      <c r="W248" s="120">
        <f ca="1">IF(OFFSET(Scenarios!$A$14,0,$C$1)&gt;=W$4,(W$231/V$231)/((W$240*(1-W$243)*W$246)/(V$240*(1-V$243)*V$246))-1,OFFSET(Scenarios!$A$6,0,$C$1))</f>
        <v>1.4999999999999999E-2</v>
      </c>
      <c r="X248" s="120">
        <f ca="1">IF(OFFSET(Scenarios!$A$14,0,$C$1)&gt;=X$4,(X$231/W$231)/((X$240*(1-X$243)*X$246)/(W$240*(1-W$243)*W$246))-1,OFFSET(Scenarios!$A$6,0,$C$1))</f>
        <v>1.4999999999999999E-2</v>
      </c>
    </row>
    <row r="249" spans="1:24" x14ac:dyDescent="0.2">
      <c r="A249" s="27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</row>
    <row r="250" spans="1:24" ht="15.75" x14ac:dyDescent="0.25">
      <c r="A250" s="153" t="s">
        <v>280</v>
      </c>
      <c r="D250" s="72"/>
      <c r="E250" s="72"/>
      <c r="F250" s="72"/>
      <c r="K250" s="127"/>
    </row>
    <row r="251" spans="1:24" x14ac:dyDescent="0.2">
      <c r="A251" s="27" t="s">
        <v>250</v>
      </c>
      <c r="D251" s="72"/>
      <c r="E251" s="72"/>
      <c r="F251" s="72"/>
      <c r="K251" s="127"/>
    </row>
    <row r="252" spans="1:24" x14ac:dyDescent="0.2">
      <c r="A252" s="28" t="s">
        <v>175</v>
      </c>
      <c r="D252" s="72"/>
      <c r="E252" s="70">
        <f>Popn!E$199</f>
        <v>2.1245087429515364E-2</v>
      </c>
      <c r="F252" s="70">
        <f>Popn!F$199</f>
        <v>2.7347090537274577E-2</v>
      </c>
      <c r="G252" s="70">
        <f>Popn!G$199</f>
        <v>2.9948788476502397E-2</v>
      </c>
      <c r="H252" s="70">
        <f>Popn!H$199</f>
        <v>3.1379576920373964E-2</v>
      </c>
      <c r="I252" s="70">
        <f>Popn!I$199</f>
        <v>4.1157030424857854E-2</v>
      </c>
      <c r="J252" s="128">
        <f>Popn!J$199</f>
        <v>3.8172060604077407E-2</v>
      </c>
      <c r="K252" s="128">
        <f>Popn!K$199</f>
        <v>3.5208270949236509E-2</v>
      </c>
      <c r="L252" s="128">
        <f>Popn!L$199</f>
        <v>3.5122174012331531E-2</v>
      </c>
      <c r="M252" s="128">
        <f>Popn!M$199</f>
        <v>3.2930344746440854E-2</v>
      </c>
      <c r="N252" s="128">
        <f>Popn!N$199</f>
        <v>3.2435818940353967E-2</v>
      </c>
      <c r="O252" s="145">
        <f>Popn!O$199</f>
        <v>3.1665034685349314E-2</v>
      </c>
      <c r="P252" s="145">
        <f>Popn!P$199</f>
        <v>3.2337410600895566E-2</v>
      </c>
      <c r="Q252" s="145">
        <f>Popn!Q$199</f>
        <v>3.2295659380503494E-2</v>
      </c>
      <c r="R252" s="145">
        <f>Popn!R$199</f>
        <v>3.3141824932888531E-2</v>
      </c>
      <c r="S252" s="145">
        <f>Popn!S$199</f>
        <v>3.2722195240407981E-2</v>
      </c>
      <c r="T252" s="145">
        <f>Popn!T$199</f>
        <v>3.1873493621774163E-2</v>
      </c>
      <c r="U252" s="145">
        <f>Popn!U$199</f>
        <v>3.3201923296037217E-2</v>
      </c>
      <c r="V252" s="145">
        <f>Popn!V$199</f>
        <v>3.2300397000441183E-2</v>
      </c>
      <c r="W252" s="145">
        <f>Popn!W$199</f>
        <v>3.3041694708842106E-2</v>
      </c>
      <c r="X252" s="145">
        <f>Popn!X$199</f>
        <v>3.2295092138735493E-2</v>
      </c>
    </row>
    <row r="253" spans="1:24" x14ac:dyDescent="0.2">
      <c r="A253" s="28" t="s">
        <v>221</v>
      </c>
      <c r="D253" s="72"/>
      <c r="E253" s="70">
        <f t="shared" ref="E253:X253" si="129">E$236</f>
        <v>4.0196078431372628E-2</v>
      </c>
      <c r="F253" s="70">
        <f t="shared" si="129"/>
        <v>1.8850141376060225E-2</v>
      </c>
      <c r="G253" s="70">
        <f t="shared" si="129"/>
        <v>1.6651248843663202E-2</v>
      </c>
      <c r="H253" s="70">
        <f t="shared" si="129"/>
        <v>5.277525022747942E-2</v>
      </c>
      <c r="I253" s="70">
        <f t="shared" si="129"/>
        <v>9.5073465859982775E-3</v>
      </c>
      <c r="J253" s="128">
        <f t="shared" si="129"/>
        <v>1.4554794520547976E-2</v>
      </c>
      <c r="K253" s="128">
        <f t="shared" si="129"/>
        <v>2.1097046413502074E-2</v>
      </c>
      <c r="L253" s="128">
        <f t="shared" si="129"/>
        <v>2.2314049586776852E-2</v>
      </c>
      <c r="M253" s="128">
        <f t="shared" si="129"/>
        <v>2.1827000808407382E-2</v>
      </c>
      <c r="N253" s="128">
        <f t="shared" si="129"/>
        <v>2.2151898734177111E-2</v>
      </c>
      <c r="O253" s="145">
        <f t="shared" ca="1" si="129"/>
        <v>2.0151898734177109E-2</v>
      </c>
      <c r="P253" s="145">
        <f t="shared" ca="1" si="129"/>
        <v>0.02</v>
      </c>
      <c r="Q253" s="145">
        <f t="shared" ca="1" si="129"/>
        <v>0.02</v>
      </c>
      <c r="R253" s="145">
        <f t="shared" ca="1" si="129"/>
        <v>0.02</v>
      </c>
      <c r="S253" s="145">
        <f t="shared" ca="1" si="129"/>
        <v>0.02</v>
      </c>
      <c r="T253" s="145">
        <f t="shared" ca="1" si="129"/>
        <v>0.02</v>
      </c>
      <c r="U253" s="145">
        <f t="shared" ca="1" si="129"/>
        <v>0.02</v>
      </c>
      <c r="V253" s="145">
        <f t="shared" ca="1" si="129"/>
        <v>0.02</v>
      </c>
      <c r="W253" s="145">
        <f t="shared" ca="1" si="129"/>
        <v>0.02</v>
      </c>
      <c r="X253" s="145">
        <f t="shared" ca="1" si="129"/>
        <v>0.02</v>
      </c>
    </row>
    <row r="254" spans="1:24" x14ac:dyDescent="0.2">
      <c r="A254" s="28" t="s">
        <v>176</v>
      </c>
      <c r="D254" s="72"/>
      <c r="E254" s="221">
        <f t="shared" ref="E254:X254" si="130">E$71/D$71 -(1+E$252+E$253)</f>
        <v>1.7560302567893205E-2</v>
      </c>
      <c r="F254" s="221">
        <f t="shared" si="130"/>
        <v>7.6949836555275652E-3</v>
      </c>
      <c r="G254" s="221">
        <f t="shared" si="130"/>
        <v>2.3906161026941763E-2</v>
      </c>
      <c r="H254" s="221">
        <f t="shared" si="130"/>
        <v>-1.9016105796827887E-2</v>
      </c>
      <c r="I254" s="221">
        <f t="shared" si="130"/>
        <v>3.4726336465927599E-2</v>
      </c>
      <c r="J254" s="146">
        <f t="shared" si="130"/>
        <v>1.4468470417945634E-2</v>
      </c>
      <c r="K254" s="146">
        <f t="shared" si="130"/>
        <v>4.5081359028069645E-3</v>
      </c>
      <c r="L254" s="146">
        <f t="shared" si="130"/>
        <v>-5.3624908802143434E-3</v>
      </c>
      <c r="M254" s="146">
        <f t="shared" si="130"/>
        <v>2.8861060439253627E-3</v>
      </c>
      <c r="N254" s="146">
        <f t="shared" si="130"/>
        <v>-3.8132622781921199E-3</v>
      </c>
      <c r="O254" s="147">
        <f t="shared" ca="1" si="130"/>
        <v>3.5971839753101698E-3</v>
      </c>
      <c r="P254" s="147">
        <f t="shared" ca="1" si="130"/>
        <v>2.476326401668727E-3</v>
      </c>
      <c r="Q254" s="147">
        <f t="shared" ca="1" si="130"/>
        <v>5.0245244384297116E-3</v>
      </c>
      <c r="R254" s="147">
        <f t="shared" ca="1" si="130"/>
        <v>1.3384714294512268E-2</v>
      </c>
      <c r="S254" s="147">
        <f t="shared" ca="1" si="130"/>
        <v>1.3467687187443067E-2</v>
      </c>
      <c r="T254" s="147">
        <f t="shared" ca="1" si="130"/>
        <v>1.4239506078984387E-2</v>
      </c>
      <c r="U254" s="147">
        <f t="shared" ca="1" si="130"/>
        <v>1.6472027892350027E-2</v>
      </c>
      <c r="V254" s="147">
        <f t="shared" ca="1" si="130"/>
        <v>1.6440204014115833E-2</v>
      </c>
      <c r="W254" s="147">
        <f t="shared" ca="1" si="130"/>
        <v>1.6466371823222081E-2</v>
      </c>
      <c r="X254" s="147">
        <f t="shared" ca="1" si="130"/>
        <v>1.6440016752496955E-2</v>
      </c>
    </row>
    <row r="255" spans="1:24" x14ac:dyDescent="0.2">
      <c r="A255" s="82" t="s">
        <v>177</v>
      </c>
      <c r="D255" s="72"/>
      <c r="E255" s="222">
        <f t="shared" ref="E255:X255" si="131">E$71/D$71 -1</f>
        <v>7.9001468428781196E-2</v>
      </c>
      <c r="F255" s="222">
        <f t="shared" si="131"/>
        <v>5.3892215568862367E-2</v>
      </c>
      <c r="G255" s="222">
        <f t="shared" si="131"/>
        <v>7.0506198347107363E-2</v>
      </c>
      <c r="H255" s="222">
        <f t="shared" si="131"/>
        <v>6.5138721351025497E-2</v>
      </c>
      <c r="I255" s="222">
        <f t="shared" si="131"/>
        <v>8.5390713476783731E-2</v>
      </c>
      <c r="J255" s="122">
        <f t="shared" si="131"/>
        <v>6.7195325542571016E-2</v>
      </c>
      <c r="K255" s="122">
        <f t="shared" si="131"/>
        <v>6.0813453265545547E-2</v>
      </c>
      <c r="L255" s="122">
        <f t="shared" si="131"/>
        <v>5.2073732718894039E-2</v>
      </c>
      <c r="M255" s="122">
        <f t="shared" si="131"/>
        <v>5.7643451598773598E-2</v>
      </c>
      <c r="N255" s="122">
        <f t="shared" si="131"/>
        <v>5.0774455396338958E-2</v>
      </c>
      <c r="O255" s="121">
        <f t="shared" ca="1" si="131"/>
        <v>5.5414117394836593E-2</v>
      </c>
      <c r="P255" s="121">
        <f t="shared" ca="1" si="131"/>
        <v>5.4813737002564311E-2</v>
      </c>
      <c r="Q255" s="121">
        <f t="shared" ca="1" si="131"/>
        <v>5.7320183818933224E-2</v>
      </c>
      <c r="R255" s="121">
        <f t="shared" ca="1" si="131"/>
        <v>6.6526539227400816E-2</v>
      </c>
      <c r="S255" s="121">
        <f t="shared" ca="1" si="131"/>
        <v>6.6189882427851066E-2</v>
      </c>
      <c r="T255" s="121">
        <f t="shared" ca="1" si="131"/>
        <v>6.6112999700758568E-2</v>
      </c>
      <c r="U255" s="121">
        <f t="shared" ca="1" si="131"/>
        <v>6.9673951188387262E-2</v>
      </c>
      <c r="V255" s="121">
        <f t="shared" ca="1" si="131"/>
        <v>6.8740601014557035E-2</v>
      </c>
      <c r="W255" s="121">
        <f t="shared" ca="1" si="131"/>
        <v>6.9508066532064205E-2</v>
      </c>
      <c r="X255" s="121">
        <f t="shared" ca="1" si="131"/>
        <v>6.8735108891232466E-2</v>
      </c>
    </row>
    <row r="256" spans="1:24" x14ac:dyDescent="0.2">
      <c r="A256" s="27" t="s">
        <v>178</v>
      </c>
      <c r="D256" s="72"/>
      <c r="E256" s="72"/>
      <c r="F256" s="72"/>
      <c r="G256" s="72"/>
      <c r="H256" s="72"/>
      <c r="I256" s="72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">
      <c r="A257" s="28" t="s">
        <v>175</v>
      </c>
      <c r="D257" s="72"/>
      <c r="E257" s="70">
        <f>SUM(D$72*((E$240*E$243)/(D$240*D$243)-1),D$73*(SUMPRODUCT(Popn!E$202:E$212,Tracks!$H$86:$H$96)+SUMPRODUCT(Popn!E$213:E$223,Tracks!$I$86:$I$96)),D$80*AVERAGE(Popn!E$195,Popn!E$200))/(D$82-D$71)</f>
        <v>2.7329379136585286E-3</v>
      </c>
      <c r="F257" s="70">
        <f>SUM(E$72*((F$240*F$243)/(E$240*E$243)-1),E$73*(SUMPRODUCT(Popn!F$202:F$212,Tracks!$H$86:$H$96)+SUMPRODUCT(Popn!F$213:F$223,Tracks!$I$86:$I$96)),E$80*AVERAGE(Popn!F$195,Popn!F$200))/(E$82-E$71)</f>
        <v>1.7783898869316587E-2</v>
      </c>
      <c r="G257" s="70">
        <f>SUM(F$72*((G$240*G$243)/(F$240*F$243)-1),F$73*(SUMPRODUCT(Popn!G$202:G$212,Tracks!$H$86:$H$96)+SUMPRODUCT(Popn!G$213:G$223,Tracks!$I$86:$I$96)),F$80*AVERAGE(Popn!G$195,Popn!G$200))/(F$82-F$71)</f>
        <v>2.0140102838312492E-2</v>
      </c>
      <c r="H257" s="70">
        <f>SUM(G$72*((H$240*H$243)/(G$240*G$243)-1),G$73*(SUMPRODUCT(Popn!H$202:H$212,Tracks!$H$86:$H$96)+SUMPRODUCT(Popn!H$213:H$223,Tracks!$I$86:$I$96)),G$80*AVERAGE(Popn!H$195,Popn!H$200))/(G$82-G$71)</f>
        <v>2.2880253433385776E-3</v>
      </c>
      <c r="I257" s="70">
        <f>SUM(H$72*((I$240*I$243)/(H$240*H$243)-1),H$73*(SUMPRODUCT(Popn!I$202:I$212,Tracks!$H$86:$H$96)+SUMPRODUCT(Popn!I$213:I$223,Tracks!$I$86:$I$96)),H$80*AVERAGE(Popn!I$195,Popn!I$200))/(H$82-H$71)</f>
        <v>2.2550778277050897E-3</v>
      </c>
      <c r="J257" s="128">
        <f>SUM(I$72*((J$240*J$243)/(I$240*I$243)-1),I$73*(SUMPRODUCT(Popn!J$202:J$212,Tracks!$H$86:$H$96)+SUMPRODUCT(Popn!J$213:J$223,Tracks!$I$86:$I$96)),I$80*AVERAGE(Popn!J$195,Popn!J$200))/(I$82-I$71)</f>
        <v>5.3923371852565467E-3</v>
      </c>
      <c r="K257" s="128">
        <f ca="1">SUM(J$72*((K$240*K$243)/(J$240*J$243)-1),J$73*(SUMPRODUCT(Popn!K$202:K$212,Tracks!$H$86:$H$96)+SUMPRODUCT(Popn!K$213:K$223,Tracks!$I$86:$I$96)),J$80*AVERAGE(Popn!K$195,Popn!K$200))/(J$82-J$71)</f>
        <v>-5.0030516033948372E-3</v>
      </c>
      <c r="L257" s="128">
        <f ca="1">SUM(K$72*((L$240*L$243)/(K$240*K$243)-1),K$73*(SUMPRODUCT(Popn!L$202:L$212,Tracks!$H$86:$H$96)+SUMPRODUCT(Popn!L$213:L$223,Tracks!$I$86:$I$96)),K$80*AVERAGE(Popn!L$195,Popn!L$200))/(K$82-K$71)</f>
        <v>-1.8251226699725605E-3</v>
      </c>
      <c r="M257" s="128">
        <f ca="1">SUM(L$72*((M$240*M$243)/(L$240*L$243)-1),L$73*(SUMPRODUCT(Popn!M$202:M$212,Tracks!$H$86:$H$96)+SUMPRODUCT(Popn!M$213:M$223,Tracks!$I$86:$I$96)),L$80*AVERAGE(Popn!M$195,Popn!M$200))/(L$82-L$71)</f>
        <v>-1.3986005329863032E-3</v>
      </c>
      <c r="N257" s="128">
        <f ca="1">SUM(M$72*((N$240*N$243)/(M$240*M$243)-1),M$73*(SUMPRODUCT(Popn!N$202:N$212,Tracks!$H$86:$H$96)+SUMPRODUCT(Popn!N$213:N$223,Tracks!$I$86:$I$96)),M$80*AVERAGE(Popn!N$195,Popn!N$200))/(M$82-M$71)</f>
        <v>-3.6538522881045259E-3</v>
      </c>
      <c r="O257" s="145">
        <f ca="1">SUM(N$72*((O$240*O$243)/(N$240*N$243)-1),N$73*(SUMPRODUCT(Popn!O$202:O$212,Tracks!$H$86:$H$96)+SUMPRODUCT(Popn!O$213:O$223,Tracks!$I$86:$I$96)),N$80*AVERAGE(Popn!O$195,Popn!O$200))/(N$82-N$71)</f>
        <v>5.9415170527806263E-4</v>
      </c>
      <c r="P257" s="145">
        <f ca="1">SUM(O$72*((P$240*P$243)/(O$240*O$243)-1),O$73*(SUMPRODUCT(Popn!P$202:P$212,Tracks!$H$86:$H$96)+SUMPRODUCT(Popn!P$213:P$223,Tracks!$I$86:$I$96)),O$80*AVERAGE(Popn!P$195,Popn!P$200))/(O$82-O$71)</f>
        <v>3.8597371125377177E-4</v>
      </c>
      <c r="Q257" s="145">
        <f ca="1">SUM(P$72*((Q$240*Q$243)/(P$240*P$243)-1),P$73*(SUMPRODUCT(Popn!Q$202:Q$212,Tracks!$H$86:$H$96)+SUMPRODUCT(Popn!Q$213:Q$223,Tracks!$I$86:$I$96)),P$80*AVERAGE(Popn!Q$195,Popn!Q$200))/(P$82-P$71)</f>
        <v>2.9544677744408067E-4</v>
      </c>
      <c r="R257" s="145">
        <f ca="1">SUM(Q$72*((R$240*R$243)/(Q$240*Q$243)-1),Q$73*(SUMPRODUCT(Popn!R$202:R$212,Tracks!$H$86:$H$96)+SUMPRODUCT(Popn!R$213:R$223,Tracks!$I$86:$I$96)),Q$80*AVERAGE(Popn!R$195,Popn!R$200))/(Q$82-Q$71)</f>
        <v>2.011444091335402E-4</v>
      </c>
      <c r="S257" s="145">
        <f ca="1">SUM(R$72*((S$240*S$243)/(R$240*R$243)-1),R$73*(SUMPRODUCT(Popn!S$202:S$212,Tracks!$H$86:$H$96)+SUMPRODUCT(Popn!S$213:S$223,Tracks!$I$86:$I$96)),R$80*AVERAGE(Popn!S$195,Popn!S$200))/(R$82-R$71)</f>
        <v>1.2860324054503214E-4</v>
      </c>
      <c r="T257" s="145">
        <f ca="1">SUM(S$72*((T$240*T$243)/(S$240*S$243)-1),S$73*(SUMPRODUCT(Popn!T$202:T$212,Tracks!$H$86:$H$96)+SUMPRODUCT(Popn!T$213:T$223,Tracks!$I$86:$I$96)),S$80*AVERAGE(Popn!T$195,Popn!T$200))/(S$82-S$71)</f>
        <v>3.0455766069752463E-5</v>
      </c>
      <c r="U257" s="145">
        <f ca="1">SUM(T$72*((U$240*U$243)/(T$240*T$243)-1),T$73*(SUMPRODUCT(Popn!U$202:U$212,Tracks!$H$86:$H$96)+SUMPRODUCT(Popn!U$213:U$223,Tracks!$I$86:$I$96)),T$80*AVERAGE(Popn!U$195,Popn!U$200))/(T$82-T$71)</f>
        <v>6.3109930962483411E-4</v>
      </c>
      <c r="V257" s="145">
        <f ca="1">SUM(U$72*((V$240*V$243)/(U$240*U$243)-1),U$73*(SUMPRODUCT(Popn!V$202:V$212,Tracks!$H$86:$H$96)+SUMPRODUCT(Popn!V$213:V$223,Tracks!$I$86:$I$96)),U$80*AVERAGE(Popn!V$195,Popn!V$200))/(U$82-U$71)</f>
        <v>1.262182299955613E-3</v>
      </c>
      <c r="W257" s="145">
        <f ca="1">SUM(V$72*((W$240*W$243)/(V$240*V$243)-1),V$73*(SUMPRODUCT(Popn!W$202:W$212,Tracks!$H$86:$H$96)+SUMPRODUCT(Popn!W$213:W$223,Tracks!$I$86:$I$96)),V$80*AVERAGE(Popn!W$195,Popn!W$200))/(V$82-V$71)</f>
        <v>1.1936974718754364E-3</v>
      </c>
      <c r="X257" s="145">
        <f ca="1">SUM(W$72*((X$240*X$243)/(W$240*W$243)-1),W$73*(SUMPRODUCT(Popn!X$202:X$212,Tracks!$H$86:$H$96)+SUMPRODUCT(Popn!X$213:X$223,Tracks!$I$86:$I$96)),W$80*AVERAGE(Popn!X$195,Popn!X$200))/(W$82-W$71)</f>
        <v>1.0830513041785968E-3</v>
      </c>
    </row>
    <row r="258" spans="1:24" x14ac:dyDescent="0.2">
      <c r="A258" s="28" t="s">
        <v>221</v>
      </c>
      <c r="D258" s="72"/>
      <c r="E258" s="70">
        <f t="shared" ref="E258:X258" si="132">E$236</f>
        <v>4.0196078431372628E-2</v>
      </c>
      <c r="F258" s="70">
        <f t="shared" si="132"/>
        <v>1.8850141376060225E-2</v>
      </c>
      <c r="G258" s="70">
        <f t="shared" si="132"/>
        <v>1.6651248843663202E-2</v>
      </c>
      <c r="H258" s="70">
        <f t="shared" si="132"/>
        <v>5.277525022747942E-2</v>
      </c>
      <c r="I258" s="70">
        <f t="shared" si="132"/>
        <v>9.5073465859982775E-3</v>
      </c>
      <c r="J258" s="128">
        <f t="shared" si="132"/>
        <v>1.4554794520547976E-2</v>
      </c>
      <c r="K258" s="128">
        <f t="shared" si="132"/>
        <v>2.1097046413502074E-2</v>
      </c>
      <c r="L258" s="128">
        <f t="shared" si="132"/>
        <v>2.2314049586776852E-2</v>
      </c>
      <c r="M258" s="128">
        <f t="shared" si="132"/>
        <v>2.1827000808407382E-2</v>
      </c>
      <c r="N258" s="128">
        <f t="shared" si="132"/>
        <v>2.2151898734177111E-2</v>
      </c>
      <c r="O258" s="145">
        <f t="shared" ca="1" si="132"/>
        <v>2.0151898734177109E-2</v>
      </c>
      <c r="P258" s="145">
        <f t="shared" ca="1" si="132"/>
        <v>0.02</v>
      </c>
      <c r="Q258" s="145">
        <f t="shared" ca="1" si="132"/>
        <v>0.02</v>
      </c>
      <c r="R258" s="145">
        <f t="shared" ca="1" si="132"/>
        <v>0.02</v>
      </c>
      <c r="S258" s="145">
        <f t="shared" ca="1" si="132"/>
        <v>0.02</v>
      </c>
      <c r="T258" s="145">
        <f t="shared" ca="1" si="132"/>
        <v>0.02</v>
      </c>
      <c r="U258" s="145">
        <f t="shared" ca="1" si="132"/>
        <v>0.02</v>
      </c>
      <c r="V258" s="145">
        <f t="shared" ca="1" si="132"/>
        <v>0.02</v>
      </c>
      <c r="W258" s="145">
        <f t="shared" ca="1" si="132"/>
        <v>0.02</v>
      </c>
      <c r="X258" s="145">
        <f t="shared" ca="1" si="132"/>
        <v>0.02</v>
      </c>
    </row>
    <row r="259" spans="1:24" x14ac:dyDescent="0.2">
      <c r="A259" s="28" t="s">
        <v>181</v>
      </c>
      <c r="D259" s="72"/>
      <c r="E259" s="221">
        <f t="shared" ref="E259:X259" si="133">(E$82-E$71)/(D$82-D$71) -(1+E$257+E$258)</f>
        <v>1.4411815147236107E-2</v>
      </c>
      <c r="F259" s="221">
        <f t="shared" si="133"/>
        <v>6.8694101078585756E-2</v>
      </c>
      <c r="G259" s="221">
        <f t="shared" si="133"/>
        <v>7.1216897158030923E-2</v>
      </c>
      <c r="H259" s="221">
        <f t="shared" si="133"/>
        <v>-3.3349432996176764E-2</v>
      </c>
      <c r="I259" s="221">
        <f t="shared" si="133"/>
        <v>-6.724629538144522E-2</v>
      </c>
      <c r="J259" s="146">
        <f t="shared" ca="1" si="133"/>
        <v>-3.392969057138373E-3</v>
      </c>
      <c r="K259" s="146">
        <f t="shared" ca="1" si="133"/>
        <v>-8.3469592369849188E-3</v>
      </c>
      <c r="L259" s="146">
        <f t="shared" ca="1" si="133"/>
        <v>-2.4411110788784107E-2</v>
      </c>
      <c r="M259" s="146">
        <f t="shared" ca="1" si="133"/>
        <v>-2.9091181815821154E-2</v>
      </c>
      <c r="N259" s="146">
        <f t="shared" ca="1" si="133"/>
        <v>-8.5679542948173815E-3</v>
      </c>
      <c r="O259" s="147">
        <f t="shared" ca="1" si="133"/>
        <v>-2.0781959737324329E-2</v>
      </c>
      <c r="P259" s="147">
        <f t="shared" ca="1" si="133"/>
        <v>-6.9459675529093268E-4</v>
      </c>
      <c r="Q259" s="147">
        <f t="shared" ca="1" si="133"/>
        <v>-5.3189775796980143E-4</v>
      </c>
      <c r="R259" s="147">
        <f t="shared" ca="1" si="133"/>
        <v>-2.1531060946333724E-4</v>
      </c>
      <c r="S259" s="147">
        <f t="shared" ca="1" si="133"/>
        <v>-5.2431885817272317E-5</v>
      </c>
      <c r="T259" s="147">
        <f t="shared" ca="1" si="133"/>
        <v>-8.4444423888996312E-5</v>
      </c>
      <c r="U259" s="147">
        <f t="shared" ca="1" si="133"/>
        <v>-4.1224677751916516E-5</v>
      </c>
      <c r="V259" s="147">
        <f t="shared" ca="1" si="133"/>
        <v>-7.7813803106563384E-5</v>
      </c>
      <c r="W259" s="147">
        <f t="shared" ca="1" si="133"/>
        <v>-3.8297025361910819E-4</v>
      </c>
      <c r="X259" s="147">
        <f t="shared" ca="1" si="133"/>
        <v>-7.1826836469002231E-4</v>
      </c>
    </row>
    <row r="260" spans="1:24" x14ac:dyDescent="0.2">
      <c r="A260" s="82" t="s">
        <v>177</v>
      </c>
      <c r="D260" s="72"/>
      <c r="E260" s="222">
        <f t="shared" ref="E260:X260" si="134">(E$82-E$71)/(D$82-D$71) -1</f>
        <v>5.7340831492267208E-2</v>
      </c>
      <c r="F260" s="222">
        <f t="shared" si="134"/>
        <v>0.10532814132396262</v>
      </c>
      <c r="G260" s="222">
        <f t="shared" si="134"/>
        <v>0.1080082488400067</v>
      </c>
      <c r="H260" s="222">
        <f t="shared" si="134"/>
        <v>2.1713842574641262E-2</v>
      </c>
      <c r="I260" s="222">
        <f t="shared" si="134"/>
        <v>-5.5483870967741877E-2</v>
      </c>
      <c r="J260" s="122">
        <f t="shared" ca="1" si="134"/>
        <v>1.6554162648666049E-2</v>
      </c>
      <c r="K260" s="122">
        <f t="shared" ca="1" si="134"/>
        <v>7.7470355731223961E-3</v>
      </c>
      <c r="L260" s="122">
        <f t="shared" ca="1" si="134"/>
        <v>-3.9221838719798452E-3</v>
      </c>
      <c r="M260" s="122">
        <f t="shared" ca="1" si="134"/>
        <v>-8.6627815404000108E-3</v>
      </c>
      <c r="N260" s="122">
        <f t="shared" ca="1" si="134"/>
        <v>9.9300921512550655E-3</v>
      </c>
      <c r="O260" s="121">
        <f t="shared" ca="1" si="134"/>
        <v>-3.5909297869118895E-5</v>
      </c>
      <c r="P260" s="121">
        <f t="shared" ca="1" si="134"/>
        <v>1.9691376955962792E-2</v>
      </c>
      <c r="Q260" s="121">
        <f t="shared" ca="1" si="134"/>
        <v>1.9763549019474302E-2</v>
      </c>
      <c r="R260" s="121">
        <f t="shared" ca="1" si="134"/>
        <v>1.9985833799670116E-2</v>
      </c>
      <c r="S260" s="121">
        <f t="shared" ca="1" si="134"/>
        <v>2.0076171354727723E-2</v>
      </c>
      <c r="T260" s="121">
        <f t="shared" ca="1" si="134"/>
        <v>1.9946011342180769E-2</v>
      </c>
      <c r="U260" s="121">
        <f t="shared" ca="1" si="134"/>
        <v>2.0589874631872895E-2</v>
      </c>
      <c r="V260" s="121">
        <f t="shared" ca="1" si="134"/>
        <v>2.1184368496849126E-2</v>
      </c>
      <c r="W260" s="121">
        <f t="shared" ca="1" si="134"/>
        <v>2.0810727218256275E-2</v>
      </c>
      <c r="X260" s="121">
        <f t="shared" ca="1" si="134"/>
        <v>2.0364782939488624E-2</v>
      </c>
    </row>
    <row r="261" spans="1:24" x14ac:dyDescent="0.2">
      <c r="A261" s="27" t="s">
        <v>435</v>
      </c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</row>
    <row r="262" spans="1:24" x14ac:dyDescent="0.2">
      <c r="A262" s="28" t="s">
        <v>175</v>
      </c>
      <c r="D262" s="72"/>
      <c r="E262" s="70">
        <f t="shared" ref="E262:X262" si="135">SUM(E$100,E$101)/SUM(D$100,D$101)-1</f>
        <v>1.6397870270594916E-2</v>
      </c>
      <c r="F262" s="70">
        <f t="shared" si="135"/>
        <v>1.711707705029486E-2</v>
      </c>
      <c r="G262" s="70">
        <f t="shared" si="135"/>
        <v>1.8741381994941353E-2</v>
      </c>
      <c r="H262" s="70">
        <f t="shared" si="135"/>
        <v>1.5889953073744634E-2</v>
      </c>
      <c r="I262" s="70">
        <f t="shared" si="135"/>
        <v>1.3678687421145419E-2</v>
      </c>
      <c r="J262" s="128">
        <f t="shared" si="135"/>
        <v>1.3283785605454401E-2</v>
      </c>
      <c r="K262" s="128">
        <f t="shared" si="135"/>
        <v>1.4689458309397274E-2</v>
      </c>
      <c r="L262" s="128">
        <f t="shared" si="135"/>
        <v>1.5898196228698369E-2</v>
      </c>
      <c r="M262" s="128">
        <f t="shared" si="135"/>
        <v>1.6476777356024819E-2</v>
      </c>
      <c r="N262" s="128">
        <f t="shared" si="135"/>
        <v>1.6967393891114124E-2</v>
      </c>
      <c r="O262" s="145">
        <f t="shared" si="135"/>
        <v>1.6212064152021366E-2</v>
      </c>
      <c r="P262" s="145">
        <f t="shared" si="135"/>
        <v>1.6436999112397599E-2</v>
      </c>
      <c r="Q262" s="145">
        <f t="shared" si="135"/>
        <v>1.6594077278740738E-2</v>
      </c>
      <c r="R262" s="145">
        <f t="shared" si="135"/>
        <v>1.6979353243258943E-2</v>
      </c>
      <c r="S262" s="145">
        <f t="shared" si="135"/>
        <v>1.7554871323708365E-2</v>
      </c>
      <c r="T262" s="145">
        <f t="shared" si="135"/>
        <v>1.6640666263334269E-2</v>
      </c>
      <c r="U262" s="145">
        <f t="shared" si="135"/>
        <v>1.6747855622376573E-2</v>
      </c>
      <c r="V262" s="145">
        <f t="shared" si="135"/>
        <v>1.6793340128973933E-2</v>
      </c>
      <c r="W262" s="145">
        <f t="shared" si="135"/>
        <v>1.6926368023884031E-2</v>
      </c>
      <c r="X262" s="145">
        <f t="shared" si="135"/>
        <v>1.7172716774673358E-2</v>
      </c>
    </row>
    <row r="263" spans="1:24" x14ac:dyDescent="0.2">
      <c r="A263" s="28" t="s">
        <v>221</v>
      </c>
      <c r="D263" s="72"/>
      <c r="E263" s="70">
        <f t="shared" ref="E263:X263" si="136">E$236</f>
        <v>4.0196078431372628E-2</v>
      </c>
      <c r="F263" s="70">
        <f t="shared" si="136"/>
        <v>1.8850141376060225E-2</v>
      </c>
      <c r="G263" s="70">
        <f t="shared" si="136"/>
        <v>1.6651248843663202E-2</v>
      </c>
      <c r="H263" s="70">
        <f t="shared" si="136"/>
        <v>5.277525022747942E-2</v>
      </c>
      <c r="I263" s="70">
        <f t="shared" si="136"/>
        <v>9.5073465859982775E-3</v>
      </c>
      <c r="J263" s="128">
        <f t="shared" si="136"/>
        <v>1.4554794520547976E-2</v>
      </c>
      <c r="K263" s="128">
        <f t="shared" si="136"/>
        <v>2.1097046413502074E-2</v>
      </c>
      <c r="L263" s="128">
        <f t="shared" si="136"/>
        <v>2.2314049586776852E-2</v>
      </c>
      <c r="M263" s="128">
        <f t="shared" si="136"/>
        <v>2.1827000808407382E-2</v>
      </c>
      <c r="N263" s="128">
        <f t="shared" si="136"/>
        <v>2.2151898734177111E-2</v>
      </c>
      <c r="O263" s="145">
        <f t="shared" ca="1" si="136"/>
        <v>2.0151898734177109E-2</v>
      </c>
      <c r="P263" s="145">
        <f t="shared" ca="1" si="136"/>
        <v>0.02</v>
      </c>
      <c r="Q263" s="145">
        <f t="shared" ca="1" si="136"/>
        <v>0.02</v>
      </c>
      <c r="R263" s="145">
        <f t="shared" ca="1" si="136"/>
        <v>0.02</v>
      </c>
      <c r="S263" s="145">
        <f t="shared" ca="1" si="136"/>
        <v>0.02</v>
      </c>
      <c r="T263" s="145">
        <f t="shared" ca="1" si="136"/>
        <v>0.02</v>
      </c>
      <c r="U263" s="145">
        <f t="shared" ca="1" si="136"/>
        <v>0.02</v>
      </c>
      <c r="V263" s="145">
        <f t="shared" ca="1" si="136"/>
        <v>0.02</v>
      </c>
      <c r="W263" s="145">
        <f t="shared" ca="1" si="136"/>
        <v>0.02</v>
      </c>
      <c r="X263" s="145">
        <f t="shared" ca="1" si="136"/>
        <v>0.02</v>
      </c>
    </row>
    <row r="264" spans="1:24" x14ac:dyDescent="0.2">
      <c r="A264" s="28" t="s">
        <v>183</v>
      </c>
      <c r="D264" s="72"/>
      <c r="E264" s="221">
        <f t="shared" ref="E264:X264" si="137">E$98/D$98 -(1+E$262+E$263)</f>
        <v>3.4376596928162861E-2</v>
      </c>
      <c r="F264" s="221">
        <f t="shared" si="137"/>
        <v>5.8836711820613008E-2</v>
      </c>
      <c r="G264" s="221">
        <f t="shared" si="137"/>
        <v>2.6056269549493694E-2</v>
      </c>
      <c r="H264" s="221">
        <f t="shared" si="137"/>
        <v>-2.1057037548634083E-2</v>
      </c>
      <c r="I264" s="221">
        <f t="shared" si="137"/>
        <v>6.4075092197886097E-3</v>
      </c>
      <c r="J264" s="146">
        <f t="shared" ca="1" si="137"/>
        <v>1.3192493320325349E-2</v>
      </c>
      <c r="K264" s="146">
        <f t="shared" ca="1" si="137"/>
        <v>-4.3384361042009267E-2</v>
      </c>
      <c r="L264" s="146">
        <f t="shared" ca="1" si="137"/>
        <v>-4.0468039102781184E-2</v>
      </c>
      <c r="M264" s="146">
        <f t="shared" ca="1" si="137"/>
        <v>-3.9879552349140313E-2</v>
      </c>
      <c r="N264" s="146">
        <f t="shared" ca="1" si="137"/>
        <v>-4.1246514199435258E-2</v>
      </c>
      <c r="O264" s="147">
        <f t="shared" ca="1" si="137"/>
        <v>-3.6363962886198475E-2</v>
      </c>
      <c r="P264" s="147">
        <f t="shared" ca="1" si="137"/>
        <v>-3.6436999112397617E-2</v>
      </c>
      <c r="Q264" s="147">
        <f t="shared" ca="1" si="137"/>
        <v>-3.6594077278740755E-2</v>
      </c>
      <c r="R264" s="147">
        <f t="shared" ca="1" si="137"/>
        <v>-3.6979353243258961E-2</v>
      </c>
      <c r="S264" s="147">
        <f t="shared" ca="1" si="137"/>
        <v>-3.7554871323708383E-2</v>
      </c>
      <c r="T264" s="147">
        <f t="shared" ca="1" si="137"/>
        <v>-3.6640666263334287E-2</v>
      </c>
      <c r="U264" s="147">
        <f t="shared" ca="1" si="137"/>
        <v>-3.6747855622376591E-2</v>
      </c>
      <c r="V264" s="147">
        <f t="shared" ca="1" si="137"/>
        <v>-3.679334012897395E-2</v>
      </c>
      <c r="W264" s="147">
        <f t="shared" ca="1" si="137"/>
        <v>-3.6926368023884049E-2</v>
      </c>
      <c r="X264" s="147">
        <f t="shared" ca="1" si="137"/>
        <v>-3.7172716774673376E-2</v>
      </c>
    </row>
    <row r="265" spans="1:24" x14ac:dyDescent="0.2">
      <c r="A265" s="82" t="s">
        <v>177</v>
      </c>
      <c r="D265" s="72"/>
      <c r="E265" s="222">
        <f t="shared" ref="E265:X265" si="138">E$98/D$98 -1</f>
        <v>9.0970545630130406E-2</v>
      </c>
      <c r="F265" s="222">
        <f t="shared" si="138"/>
        <v>9.4803930246968093E-2</v>
      </c>
      <c r="G265" s="222">
        <f t="shared" si="138"/>
        <v>6.1448900388098249E-2</v>
      </c>
      <c r="H265" s="222">
        <f t="shared" si="138"/>
        <v>4.760816575258997E-2</v>
      </c>
      <c r="I265" s="222">
        <f t="shared" si="138"/>
        <v>2.9593543226932306E-2</v>
      </c>
      <c r="J265" s="122">
        <f t="shared" ca="1" si="138"/>
        <v>4.1031073446327726E-2</v>
      </c>
      <c r="K265" s="122">
        <f t="shared" ca="1" si="138"/>
        <v>-7.5978563191099191E-3</v>
      </c>
      <c r="L265" s="122">
        <f t="shared" ca="1" si="138"/>
        <v>-2.2557932873059627E-3</v>
      </c>
      <c r="M265" s="122">
        <f t="shared" ca="1" si="138"/>
        <v>-1.5757741847081119E-3</v>
      </c>
      <c r="N265" s="122">
        <f t="shared" ca="1" si="138"/>
        <v>-2.1272215741440226E-3</v>
      </c>
      <c r="O265" s="121">
        <f t="shared" ca="1" si="138"/>
        <v>0</v>
      </c>
      <c r="P265" s="121">
        <f t="shared" ca="1" si="138"/>
        <v>0</v>
      </c>
      <c r="Q265" s="121">
        <f t="shared" ca="1" si="138"/>
        <v>0</v>
      </c>
      <c r="R265" s="121">
        <f t="shared" ca="1" si="138"/>
        <v>0</v>
      </c>
      <c r="S265" s="121">
        <f t="shared" ca="1" si="138"/>
        <v>0</v>
      </c>
      <c r="T265" s="121">
        <f t="shared" ca="1" si="138"/>
        <v>0</v>
      </c>
      <c r="U265" s="121">
        <f t="shared" ca="1" si="138"/>
        <v>0</v>
      </c>
      <c r="V265" s="121">
        <f t="shared" ca="1" si="138"/>
        <v>0</v>
      </c>
      <c r="W265" s="121">
        <f t="shared" ca="1" si="138"/>
        <v>0</v>
      </c>
      <c r="X265" s="121">
        <f t="shared" ca="1" si="138"/>
        <v>0</v>
      </c>
    </row>
    <row r="266" spans="1:24" x14ac:dyDescent="0.2">
      <c r="A266" s="27" t="s">
        <v>533</v>
      </c>
      <c r="D266" s="72"/>
      <c r="E266" s="70"/>
      <c r="F266" s="70"/>
      <c r="G266" s="70"/>
      <c r="H266" s="70"/>
      <c r="I266" s="70"/>
      <c r="J266" s="128"/>
      <c r="K266" s="128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</row>
    <row r="267" spans="1:24" x14ac:dyDescent="0.2">
      <c r="A267" s="28" t="s">
        <v>175</v>
      </c>
      <c r="D267" s="72"/>
      <c r="E267" s="70">
        <f>AVERAGE(Popn!E$196:E$198)</f>
        <v>1.050387508174703E-2</v>
      </c>
      <c r="F267" s="70">
        <f>AVERAGE(Popn!F$196:F$198)</f>
        <v>1.536943655150865E-2</v>
      </c>
      <c r="G267" s="70">
        <f>AVERAGE(Popn!G$196:G$198)</f>
        <v>1.4666109437243224E-2</v>
      </c>
      <c r="H267" s="70">
        <f>AVERAGE(Popn!H$196:H$198)</f>
        <v>8.444610105723319E-3</v>
      </c>
      <c r="I267" s="70">
        <f>AVERAGE(Popn!I$196:I$198)</f>
        <v>4.9159925590402942E-4</v>
      </c>
      <c r="J267" s="128">
        <f>AVERAGE(Popn!J$196:J$198)</f>
        <v>-4.5019592189975048E-3</v>
      </c>
      <c r="K267" s="128">
        <f>AVERAGE(Popn!K$196:K$198)</f>
        <v>-3.156221619180092E-3</v>
      </c>
      <c r="L267" s="128">
        <f>AVERAGE(Popn!L$196:L$198)</f>
        <v>-4.5764379346257726E-3</v>
      </c>
      <c r="M267" s="128">
        <f>AVERAGE(Popn!M$196:M$198)</f>
        <v>-4.44389686121401E-3</v>
      </c>
      <c r="N267" s="128">
        <f>AVERAGE(Popn!N$196:N$198)</f>
        <v>-1.6966102811629691E-3</v>
      </c>
      <c r="O267" s="145">
        <f>AVERAGE(Popn!O$196:O$198)</f>
        <v>-5.0994178139588764E-4</v>
      </c>
      <c r="P267" s="145">
        <f>AVERAGE(Popn!P$196:P$198)</f>
        <v>7.4160888098158864E-5</v>
      </c>
      <c r="Q267" s="145">
        <f>AVERAGE(Popn!Q$196:Q$198)</f>
        <v>-5.7218752595777911E-4</v>
      </c>
      <c r="R267" s="145">
        <f>AVERAGE(Popn!R$196:R$198)</f>
        <v>3.5932983218286047E-4</v>
      </c>
      <c r="S267" s="145">
        <f>AVERAGE(Popn!S$196:S$198)</f>
        <v>2.2392768627520856E-3</v>
      </c>
      <c r="T267" s="145">
        <f>AVERAGE(Popn!T$196:T$198)</f>
        <v>2.1510763902641652E-3</v>
      </c>
      <c r="U267" s="145">
        <f>AVERAGE(Popn!U$196:U$198)</f>
        <v>3.2928148407012081E-3</v>
      </c>
      <c r="V267" s="145">
        <f>AVERAGE(Popn!V$196:V$198)</f>
        <v>2.6437124377133672E-3</v>
      </c>
      <c r="W267" s="145">
        <f>AVERAGE(Popn!W$196:W$198)</f>
        <v>4.220163047237639E-3</v>
      </c>
      <c r="X267" s="145">
        <f>AVERAGE(Popn!X$196:X$198)</f>
        <v>5.402380569866712E-3</v>
      </c>
    </row>
    <row r="268" spans="1:24" x14ac:dyDescent="0.2">
      <c r="A268" s="28" t="s">
        <v>221</v>
      </c>
      <c r="D268" s="72"/>
      <c r="E268" s="70">
        <f t="shared" ref="E268:X268" si="139">E$236</f>
        <v>4.0196078431372628E-2</v>
      </c>
      <c r="F268" s="70">
        <f t="shared" si="139"/>
        <v>1.8850141376060225E-2</v>
      </c>
      <c r="G268" s="70">
        <f t="shared" si="139"/>
        <v>1.6651248843663202E-2</v>
      </c>
      <c r="H268" s="70">
        <f t="shared" si="139"/>
        <v>5.277525022747942E-2</v>
      </c>
      <c r="I268" s="70">
        <f t="shared" si="139"/>
        <v>9.5073465859982775E-3</v>
      </c>
      <c r="J268" s="128">
        <f t="shared" si="139"/>
        <v>1.4554794520547976E-2</v>
      </c>
      <c r="K268" s="128">
        <f t="shared" si="139"/>
        <v>2.1097046413502074E-2</v>
      </c>
      <c r="L268" s="128">
        <f t="shared" si="139"/>
        <v>2.2314049586776852E-2</v>
      </c>
      <c r="M268" s="128">
        <f t="shared" si="139"/>
        <v>2.1827000808407382E-2</v>
      </c>
      <c r="N268" s="128">
        <f t="shared" si="139"/>
        <v>2.2151898734177111E-2</v>
      </c>
      <c r="O268" s="145">
        <f t="shared" ca="1" si="139"/>
        <v>2.0151898734177109E-2</v>
      </c>
      <c r="P268" s="145">
        <f t="shared" ca="1" si="139"/>
        <v>0.02</v>
      </c>
      <c r="Q268" s="145">
        <f t="shared" ca="1" si="139"/>
        <v>0.02</v>
      </c>
      <c r="R268" s="145">
        <f t="shared" ca="1" si="139"/>
        <v>0.02</v>
      </c>
      <c r="S268" s="145">
        <f t="shared" ca="1" si="139"/>
        <v>0.02</v>
      </c>
      <c r="T268" s="145">
        <f t="shared" ca="1" si="139"/>
        <v>0.02</v>
      </c>
      <c r="U268" s="145">
        <f t="shared" ca="1" si="139"/>
        <v>0.02</v>
      </c>
      <c r="V268" s="145">
        <f t="shared" ca="1" si="139"/>
        <v>0.02</v>
      </c>
      <c r="W268" s="145">
        <f t="shared" ca="1" si="139"/>
        <v>0.02</v>
      </c>
      <c r="X268" s="145">
        <f t="shared" ca="1" si="139"/>
        <v>0.02</v>
      </c>
    </row>
    <row r="269" spans="1:24" x14ac:dyDescent="0.2">
      <c r="A269" s="28" t="s">
        <v>144</v>
      </c>
      <c r="D269" s="72"/>
      <c r="E269" s="221">
        <f t="shared" ref="E269:X269" si="140">E$107/D$107 -(1+E$267+E$268)</f>
        <v>-2.0275959554763912E-2</v>
      </c>
      <c r="F269" s="221">
        <f t="shared" si="140"/>
        <v>0.16513127538622019</v>
      </c>
      <c r="G269" s="221">
        <f t="shared" si="140"/>
        <v>-7.8341631696015046E-3</v>
      </c>
      <c r="H269" s="221">
        <f t="shared" si="140"/>
        <v>-6.7531699296014103E-2</v>
      </c>
      <c r="I269" s="221">
        <f t="shared" si="140"/>
        <v>-9.6555982024173481E-3</v>
      </c>
      <c r="J269" s="146">
        <f t="shared" ca="1" si="140"/>
        <v>5.3959520970974006E-2</v>
      </c>
      <c r="K269" s="146">
        <f t="shared" ca="1" si="140"/>
        <v>-3.2860179633031783E-2</v>
      </c>
      <c r="L269" s="146">
        <f t="shared" ca="1" si="140"/>
        <v>-1.0451488033649259E-2</v>
      </c>
      <c r="M269" s="146">
        <f t="shared" ca="1" si="140"/>
        <v>-9.9871351565561373E-3</v>
      </c>
      <c r="N269" s="146">
        <f t="shared" ca="1" si="140"/>
        <v>-1.6663436899968298E-2</v>
      </c>
      <c r="O269" s="147">
        <f t="shared" ca="1" si="140"/>
        <v>-1.7362680764607674E-2</v>
      </c>
      <c r="P269" s="147">
        <f t="shared" ca="1" si="140"/>
        <v>-1.6931728937852775E-2</v>
      </c>
      <c r="Q269" s="147">
        <f t="shared" ca="1" si="140"/>
        <v>-1.5984650467408157E-2</v>
      </c>
      <c r="R269" s="147">
        <f t="shared" ca="1" si="140"/>
        <v>-1.7185482051329304E-2</v>
      </c>
      <c r="S269" s="147">
        <f t="shared" ca="1" si="140"/>
        <v>-1.8459121446662063E-2</v>
      </c>
      <c r="T269" s="147">
        <f t="shared" ca="1" si="140"/>
        <v>-1.795222603934743E-2</v>
      </c>
      <c r="U269" s="147">
        <f t="shared" ca="1" si="140"/>
        <v>-1.9838986015371152E-2</v>
      </c>
      <c r="V269" s="147">
        <f t="shared" ca="1" si="140"/>
        <v>-1.8955047771069378E-2</v>
      </c>
      <c r="W269" s="147">
        <f t="shared" ca="1" si="140"/>
        <v>-1.9738186449788753E-2</v>
      </c>
      <c r="X269" s="147">
        <f t="shared" ca="1" si="140"/>
        <v>-2.0405367027436894E-2</v>
      </c>
    </row>
    <row r="270" spans="1:24" x14ac:dyDescent="0.2">
      <c r="A270" s="82" t="s">
        <v>177</v>
      </c>
      <c r="D270" s="72"/>
      <c r="E270" s="222">
        <f t="shared" ref="E270:X270" si="141">E$107/D$107 -1</f>
        <v>3.0423993958355711E-2</v>
      </c>
      <c r="F270" s="222">
        <f t="shared" si="141"/>
        <v>0.1993508533137891</v>
      </c>
      <c r="G270" s="222">
        <f t="shared" si="141"/>
        <v>2.3483195111305033E-2</v>
      </c>
      <c r="H270" s="222">
        <f t="shared" si="141"/>
        <v>-6.3118389628112892E-3</v>
      </c>
      <c r="I270" s="222">
        <f t="shared" si="141"/>
        <v>3.4334763948495883E-4</v>
      </c>
      <c r="J270" s="122">
        <f t="shared" ca="1" si="141"/>
        <v>6.4012356272524551E-2</v>
      </c>
      <c r="K270" s="122">
        <f t="shared" ca="1" si="141"/>
        <v>-1.4919354838709764E-2</v>
      </c>
      <c r="L270" s="122">
        <f t="shared" ca="1" si="141"/>
        <v>7.286123618501783E-3</v>
      </c>
      <c r="M270" s="122">
        <f t="shared" ca="1" si="141"/>
        <v>7.3959687906370863E-3</v>
      </c>
      <c r="N270" s="122">
        <f t="shared" ca="1" si="141"/>
        <v>3.7918515530457331E-3</v>
      </c>
      <c r="O270" s="121">
        <f t="shared" ca="1" si="141"/>
        <v>2.2792761881735846E-3</v>
      </c>
      <c r="P270" s="121">
        <f t="shared" ca="1" si="141"/>
        <v>3.142431950245328E-3</v>
      </c>
      <c r="Q270" s="121">
        <f t="shared" ca="1" si="141"/>
        <v>3.4431620066339708E-3</v>
      </c>
      <c r="R270" s="121">
        <f t="shared" ca="1" si="141"/>
        <v>3.1738477808536114E-3</v>
      </c>
      <c r="S270" s="121">
        <f t="shared" ca="1" si="141"/>
        <v>3.7801554160901141E-3</v>
      </c>
      <c r="T270" s="121">
        <f t="shared" ca="1" si="141"/>
        <v>4.1988503509167163E-3</v>
      </c>
      <c r="U270" s="121">
        <f t="shared" ca="1" si="141"/>
        <v>3.4538288253300742E-3</v>
      </c>
      <c r="V270" s="121">
        <f t="shared" ca="1" si="141"/>
        <v>3.6886646666440814E-3</v>
      </c>
      <c r="W270" s="121">
        <f t="shared" ca="1" si="141"/>
        <v>4.4819765974488668E-3</v>
      </c>
      <c r="X270" s="121">
        <f t="shared" ca="1" si="141"/>
        <v>4.9970135424297624E-3</v>
      </c>
    </row>
    <row r="271" spans="1:24" x14ac:dyDescent="0.2">
      <c r="A271" s="27" t="s">
        <v>184</v>
      </c>
      <c r="D271" s="72"/>
      <c r="E271" s="70"/>
      <c r="F271" s="70"/>
      <c r="G271" s="70"/>
      <c r="H271" s="70"/>
      <c r="I271" s="70"/>
      <c r="J271" s="128"/>
      <c r="K271" s="128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</row>
    <row r="272" spans="1:24" x14ac:dyDescent="0.2">
      <c r="A272" s="28" t="s">
        <v>175</v>
      </c>
      <c r="D272" s="72"/>
      <c r="E272" s="270">
        <f>E$239</f>
        <v>1.2147478940300216E-2</v>
      </c>
      <c r="F272" s="270">
        <f>F$239</f>
        <v>1.1730293709667716E-2</v>
      </c>
      <c r="G272" s="270">
        <f>G$239</f>
        <v>1.4574826383714212E-2</v>
      </c>
      <c r="H272" s="270">
        <f>H$239</f>
        <v>1.2896592244418414E-2</v>
      </c>
      <c r="I272" s="270">
        <f>I$239</f>
        <v>8.9039705327880192E-3</v>
      </c>
      <c r="J272" s="286">
        <f t="shared" ref="J272:X272" si="142">J$239</f>
        <v>8.6529063416316276E-3</v>
      </c>
      <c r="K272" s="286">
        <f t="shared" si="142"/>
        <v>1.0545216176931493E-2</v>
      </c>
      <c r="L272" s="286">
        <f t="shared" si="142"/>
        <v>1.1422286149420424E-2</v>
      </c>
      <c r="M272" s="286">
        <f t="shared" si="142"/>
        <v>1.1181752272600542E-2</v>
      </c>
      <c r="N272" s="286">
        <f t="shared" si="142"/>
        <v>1.047900063425522E-2</v>
      </c>
      <c r="O272" s="287">
        <f t="shared" si="142"/>
        <v>1.0006357927154541E-2</v>
      </c>
      <c r="P272" s="287">
        <f t="shared" si="142"/>
        <v>1.0236578103709704E-2</v>
      </c>
      <c r="Q272" s="287">
        <f t="shared" si="142"/>
        <v>9.9014846968690229E-3</v>
      </c>
      <c r="R272" s="287">
        <f t="shared" si="142"/>
        <v>1.0015281961297751E-2</v>
      </c>
      <c r="S272" s="287">
        <f t="shared" si="142"/>
        <v>1.0457263635426317E-2</v>
      </c>
      <c r="T272" s="287">
        <f t="shared" si="142"/>
        <v>1.075463564080148E-2</v>
      </c>
      <c r="U272" s="287">
        <f t="shared" si="142"/>
        <v>1.025154391481764E-2</v>
      </c>
      <c r="V272" s="287">
        <f t="shared" si="142"/>
        <v>1.0127530945927443E-2</v>
      </c>
      <c r="W272" s="287">
        <f t="shared" si="142"/>
        <v>9.5857786219331054E-3</v>
      </c>
      <c r="X272" s="287">
        <f t="shared" si="142"/>
        <v>8.9558454283789057E-3</v>
      </c>
    </row>
    <row r="273" spans="1:24" x14ac:dyDescent="0.2">
      <c r="A273" s="28" t="s">
        <v>221</v>
      </c>
      <c r="D273" s="72"/>
      <c r="E273" s="70">
        <f t="shared" ref="E273:X273" si="143">E$236</f>
        <v>4.0196078431372628E-2</v>
      </c>
      <c r="F273" s="70">
        <f t="shared" si="143"/>
        <v>1.8850141376060225E-2</v>
      </c>
      <c r="G273" s="70">
        <f t="shared" si="143"/>
        <v>1.6651248843663202E-2</v>
      </c>
      <c r="H273" s="70">
        <f t="shared" si="143"/>
        <v>5.277525022747942E-2</v>
      </c>
      <c r="I273" s="70">
        <f t="shared" si="143"/>
        <v>9.5073465859982775E-3</v>
      </c>
      <c r="J273" s="128">
        <f t="shared" si="143"/>
        <v>1.4554794520547976E-2</v>
      </c>
      <c r="K273" s="128">
        <f t="shared" si="143"/>
        <v>2.1097046413502074E-2</v>
      </c>
      <c r="L273" s="128">
        <f t="shared" si="143"/>
        <v>2.2314049586776852E-2</v>
      </c>
      <c r="M273" s="128">
        <f t="shared" si="143"/>
        <v>2.1827000808407382E-2</v>
      </c>
      <c r="N273" s="128">
        <f t="shared" si="143"/>
        <v>2.2151898734177111E-2</v>
      </c>
      <c r="O273" s="145">
        <f t="shared" ca="1" si="143"/>
        <v>2.0151898734177109E-2</v>
      </c>
      <c r="P273" s="145">
        <f t="shared" ca="1" si="143"/>
        <v>0.02</v>
      </c>
      <c r="Q273" s="145">
        <f t="shared" ca="1" si="143"/>
        <v>0.02</v>
      </c>
      <c r="R273" s="145">
        <f t="shared" ca="1" si="143"/>
        <v>0.02</v>
      </c>
      <c r="S273" s="145">
        <f t="shared" ca="1" si="143"/>
        <v>0.02</v>
      </c>
      <c r="T273" s="145">
        <f t="shared" ca="1" si="143"/>
        <v>0.02</v>
      </c>
      <c r="U273" s="145">
        <f t="shared" ca="1" si="143"/>
        <v>0.02</v>
      </c>
      <c r="V273" s="145">
        <f t="shared" ca="1" si="143"/>
        <v>0.02</v>
      </c>
      <c r="W273" s="145">
        <f t="shared" ca="1" si="143"/>
        <v>0.02</v>
      </c>
      <c r="X273" s="145">
        <f t="shared" ca="1" si="143"/>
        <v>0.02</v>
      </c>
    </row>
    <row r="274" spans="1:24" x14ac:dyDescent="0.2">
      <c r="A274" s="28" t="s">
        <v>428</v>
      </c>
      <c r="D274" s="72"/>
      <c r="E274" s="221">
        <f t="shared" ref="E274:X274" si="144">E$133/D$133 -(1+E$272+E$273)</f>
        <v>-0.13696938133444925</v>
      </c>
      <c r="F274" s="221">
        <f t="shared" si="144"/>
        <v>0.20567922815688555</v>
      </c>
      <c r="G274" s="221">
        <f t="shared" si="144"/>
        <v>-0.21728055526849432</v>
      </c>
      <c r="H274" s="221">
        <f t="shared" si="144"/>
        <v>0.36097517920774846</v>
      </c>
      <c r="I274" s="221">
        <f t="shared" si="144"/>
        <v>-0.10567894768827579</v>
      </c>
      <c r="J274" s="146">
        <f t="shared" ca="1" si="144"/>
        <v>9.6407590498040374E-2</v>
      </c>
      <c r="K274" s="146">
        <f t="shared" ca="1" si="144"/>
        <v>-0.16323830676858997</v>
      </c>
      <c r="L274" s="146">
        <f t="shared" ca="1" si="144"/>
        <v>-4.8782054771941308E-2</v>
      </c>
      <c r="M274" s="146">
        <f t="shared" ca="1" si="144"/>
        <v>-2.777624400851253E-2</v>
      </c>
      <c r="N274" s="146">
        <f t="shared" ca="1" si="144"/>
        <v>-2.1380794423423444E-2</v>
      </c>
      <c r="O274" s="147">
        <f t="shared" ca="1" si="144"/>
        <v>-4.6762656827375571E-2</v>
      </c>
      <c r="P274" s="147">
        <f t="shared" ca="1" si="144"/>
        <v>-7.6247553198686702E-2</v>
      </c>
      <c r="Q274" s="147">
        <f t="shared" ca="1" si="144"/>
        <v>-2.9901484696869041E-2</v>
      </c>
      <c r="R274" s="147">
        <f t="shared" ca="1" si="144"/>
        <v>-3.0015281961297768E-2</v>
      </c>
      <c r="S274" s="147">
        <f t="shared" ca="1" si="144"/>
        <v>-3.0457263635426335E-2</v>
      </c>
      <c r="T274" s="147">
        <f t="shared" ca="1" si="144"/>
        <v>-3.0754635640801498E-2</v>
      </c>
      <c r="U274" s="147">
        <f t="shared" ca="1" si="144"/>
        <v>-3.0251543914817658E-2</v>
      </c>
      <c r="V274" s="147">
        <f t="shared" ca="1" si="144"/>
        <v>-3.0127530945927461E-2</v>
      </c>
      <c r="W274" s="147">
        <f t="shared" ca="1" si="144"/>
        <v>-2.9585778621933123E-2</v>
      </c>
      <c r="X274" s="147">
        <f t="shared" ca="1" si="144"/>
        <v>-2.8955845428378924E-2</v>
      </c>
    </row>
    <row r="275" spans="1:24" x14ac:dyDescent="0.2">
      <c r="A275" s="82" t="s">
        <v>177</v>
      </c>
      <c r="D275" s="72"/>
      <c r="E275" s="222">
        <f t="shared" ref="E275:X275" si="145">E$133/D$133 -1</f>
        <v>-8.4625823962776403E-2</v>
      </c>
      <c r="F275" s="222">
        <f t="shared" si="145"/>
        <v>0.23625966324261349</v>
      </c>
      <c r="G275" s="222">
        <f t="shared" si="145"/>
        <v>-0.18605448004111691</v>
      </c>
      <c r="H275" s="222">
        <f t="shared" si="145"/>
        <v>0.4266470216796463</v>
      </c>
      <c r="I275" s="222">
        <f t="shared" si="145"/>
        <v>-8.7267630569489496E-2</v>
      </c>
      <c r="J275" s="122">
        <f t="shared" ca="1" si="145"/>
        <v>0.11961529136021998</v>
      </c>
      <c r="K275" s="122">
        <f t="shared" ca="1" si="145"/>
        <v>-0.1315960441781564</v>
      </c>
      <c r="L275" s="122">
        <f t="shared" ca="1" si="145"/>
        <v>-1.5045719035744032E-2</v>
      </c>
      <c r="M275" s="122">
        <f t="shared" ca="1" si="145"/>
        <v>5.2325090724953949E-3</v>
      </c>
      <c r="N275" s="122">
        <f t="shared" ca="1" si="145"/>
        <v>1.1250104945008887E-2</v>
      </c>
      <c r="O275" s="121">
        <f t="shared" ca="1" si="145"/>
        <v>-1.660440016604392E-2</v>
      </c>
      <c r="P275" s="121">
        <f t="shared" ca="1" si="145"/>
        <v>-4.601097509497698E-2</v>
      </c>
      <c r="Q275" s="121">
        <f t="shared" ca="1" si="145"/>
        <v>0</v>
      </c>
      <c r="R275" s="121">
        <f t="shared" ca="1" si="145"/>
        <v>0</v>
      </c>
      <c r="S275" s="121">
        <f t="shared" ca="1" si="145"/>
        <v>0</v>
      </c>
      <c r="T275" s="121">
        <f t="shared" ca="1" si="145"/>
        <v>0</v>
      </c>
      <c r="U275" s="121">
        <f t="shared" ca="1" si="145"/>
        <v>0</v>
      </c>
      <c r="V275" s="121">
        <f t="shared" ca="1" si="145"/>
        <v>0</v>
      </c>
      <c r="W275" s="121">
        <f t="shared" ca="1" si="145"/>
        <v>0</v>
      </c>
      <c r="X275" s="121">
        <f t="shared" ca="1" si="145"/>
        <v>0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4177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4</xdr:row>
                    <xdr:rowOff>0</xdr:rowOff>
                  </from>
                  <to>
                    <xdr:col>0</xdr:col>
                    <xdr:colOff>4714875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Offsets</vt:lpstr>
      <vt:lpstr>Describe</vt:lpstr>
      <vt:lpstr>Popn</vt:lpstr>
      <vt:lpstr>Labour Force</vt:lpstr>
      <vt:lpstr>Tracks</vt:lpstr>
      <vt:lpstr>Scenarios</vt:lpstr>
      <vt:lpstr>Forecast Adjuster</vt:lpstr>
      <vt:lpstr>Data</vt:lpstr>
      <vt:lpstr>HYEFU 2012</vt:lpstr>
      <vt:lpstr>Option</vt:lpstr>
      <vt:lpstr>Preliminary HYEFU 2012 with ACC</vt:lpstr>
    </vt:vector>
  </TitlesOfParts>
  <Company>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File - Fiscal Strategy Model - HYEFU 2012 Update - The Treasury</dc:title>
  <dc:creator>New Zealand Treasury</dc:creator>
  <cp:lastModifiedBy>Christine Dewes [CASS]</cp:lastModifiedBy>
  <cp:lastPrinted>2011-10-04T21:54:32Z</cp:lastPrinted>
  <dcterms:created xsi:type="dcterms:W3CDTF">2001-06-18T01:52:26Z</dcterms:created>
  <dcterms:modified xsi:type="dcterms:W3CDTF">2017-12-12T21:59:19Z</dcterms:modified>
</cp:coreProperties>
</file>