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amlet\UserShares\TSY\data\DewesC\desktop\PDF upload to pre-live\"/>
    </mc:Choice>
  </mc:AlternateContent>
  <bookViews>
    <workbookView xWindow="0" yWindow="0" windowWidth="18870" windowHeight="7665" tabRatio="771"/>
  </bookViews>
  <sheets>
    <sheet name="Describe" sheetId="171" r:id="rId1"/>
    <sheet name="Offsets" sheetId="180" state="hidden" r:id="rId2"/>
    <sheet name="Popn" sheetId="212" r:id="rId3"/>
    <sheet name="Tracks" sheetId="210" r:id="rId4"/>
    <sheet name="Scenarios" sheetId="177" r:id="rId5"/>
    <sheet name="ReadyReckoner" sheetId="164" r:id="rId6"/>
    <sheet name="Data" sheetId="211" r:id="rId7"/>
    <sheet name="OldBase" sheetId="214" state="hidden" r:id="rId8"/>
    <sheet name="Base" sheetId="217" r:id="rId9"/>
    <sheet name="Option" sheetId="219" r:id="rId10"/>
  </sheets>
  <definedNames>
    <definedName name="ALLOC_NCE" localSheetId="0">#REF!</definedName>
    <definedName name="ALLOC_NI" localSheetId="0">#REF!</definedName>
    <definedName name="CON_FC_GS" localSheetId="0">#REF!</definedName>
    <definedName name="CON_FC_STB" localSheetId="0">#REF!</definedName>
    <definedName name="CON_GS" localSheetId="0">#REF!</definedName>
    <definedName name="CON_STB" localSheetId="0">#REF!</definedName>
    <definedName name="CON_UNEMP" localSheetId="0">#REF!</definedName>
    <definedName name="DEF_EGF" localSheetId="0">#REF!</definedName>
    <definedName name="DEMO_KEY" localSheetId="0">#REF!</definedName>
    <definedName name="DRAG_RATE" localSheetId="0">#REF!</definedName>
    <definedName name="EDUC_ANI" localSheetId="0">#REF!</definedName>
    <definedName name="FISCAL_DRAG" localSheetId="0">#REF!</definedName>
    <definedName name="GROWTH_NCE" localSheetId="0">#REF!</definedName>
    <definedName name="GROWTH_NI" localSheetId="0">#REF!</definedName>
    <definedName name="GROWTH_SB" localSheetId="0">#REF!</definedName>
    <definedName name="GROWTH_WB" localSheetId="0">#REF!</definedName>
    <definedName name="GST_RATE" localSheetId="0">#REF!</definedName>
    <definedName name="HEALTH_ANI" localSheetId="0">#REF!</definedName>
    <definedName name="HEALTH_EGF" localSheetId="0">#REF!</definedName>
    <definedName name="INFLATION" localSheetId="0">#REF!</definedName>
    <definedName name="LP" localSheetId="0">#REF!</definedName>
    <definedName name="MIGRATION" localSheetId="0">#REF!</definedName>
    <definedName name="NZS_FLOOR" localSheetId="0">#REF!</definedName>
    <definedName name="OED_ANI" localSheetId="0">#REF!</definedName>
    <definedName name="OED_EGF" localSheetId="0">#REF!</definedName>
    <definedName name="OEXP_EGF" localSheetId="0">#REF!</definedName>
    <definedName name="OSW_EGF" localSheetId="0">#REF!</definedName>
    <definedName name="OTHER_ANI" localSheetId="0">#REF!</definedName>
    <definedName name="PHYS_ACE" localSheetId="0">#REF!</definedName>
    <definedName name="PRIMED_ANI" localSheetId="0">#REF!</definedName>
    <definedName name="_xlnm.Print_Area" localSheetId="6">Data!$C$139:$G$155</definedName>
    <definedName name="R_INT_FC_GS" localSheetId="0">#REF!</definedName>
    <definedName name="R_INT_FC_STB" localSheetId="0">#REF!</definedName>
    <definedName name="R_INT_GS" localSheetId="0">#REF!</definedName>
    <definedName name="R_INT_STB" localSheetId="0">#REF!</definedName>
    <definedName name="REMOVE_GST" localSheetId="0">#REF!</definedName>
    <definedName name="SECED_ANI" localSheetId="0">#REF!</definedName>
    <definedName name="SH_ACE" localSheetId="0">#REF!</definedName>
    <definedName name="TARIFF" localSheetId="0">#REF!</definedName>
    <definedName name="tax" localSheetId="8">Base!$A$46</definedName>
    <definedName name="tax" localSheetId="7">OldBase!$A$46</definedName>
    <definedName name="tax" localSheetId="9">Option!$A$46</definedName>
    <definedName name="TAX_BEN" localSheetId="0">#REF!</definedName>
    <definedName name="TAX_NZS" localSheetId="0">#REF!</definedName>
    <definedName name="TAXCUTS_ANI" localSheetId="0">#REF!</definedName>
    <definedName name="TERTED_ANI" localSheetId="0">#REF!</definedName>
    <definedName name="TERTED_EGF" localSheetId="0">#REF!</definedName>
    <definedName name="TOP_DOWN" localSheetId="0">#REF!</definedName>
    <definedName name="UNEMP" localSheetId="0">#REF!</definedName>
    <definedName name="WAGEFLOOR" localSheetId="0">#REF!</definedName>
  </definedNames>
  <calcPr calcId="162913"/>
</workbook>
</file>

<file path=xl/calcChain.xml><?xml version="1.0" encoding="utf-8"?>
<calcChain xmlns="http://schemas.openxmlformats.org/spreadsheetml/2006/main">
  <c r="G205" i="219" l="1"/>
  <c r="H205" i="219"/>
  <c r="I205" i="219"/>
  <c r="J205" i="219"/>
  <c r="F205" i="219"/>
  <c r="G202" i="219"/>
  <c r="H202" i="219"/>
  <c r="I202" i="219"/>
  <c r="J202" i="219"/>
  <c r="F202" i="219"/>
  <c r="G163" i="219"/>
  <c r="G165" i="219"/>
  <c r="H163" i="219"/>
  <c r="H165" i="219"/>
  <c r="I163" i="219"/>
  <c r="I165" i="219"/>
  <c r="J163" i="219"/>
  <c r="J165" i="219"/>
  <c r="F163" i="219"/>
  <c r="F165" i="219"/>
  <c r="G110" i="219"/>
  <c r="H110" i="219"/>
  <c r="I110" i="219"/>
  <c r="J110" i="219"/>
  <c r="G111" i="219"/>
  <c r="H111" i="219"/>
  <c r="I111" i="219"/>
  <c r="J111" i="219"/>
  <c r="F111" i="219"/>
  <c r="F110" i="219"/>
  <c r="G37" i="219"/>
  <c r="H37" i="219"/>
  <c r="I37" i="219"/>
  <c r="J37" i="219"/>
  <c r="F37" i="219"/>
  <c r="G22" i="219"/>
  <c r="H22" i="219"/>
  <c r="I22" i="219"/>
  <c r="J22" i="219"/>
  <c r="F22" i="219"/>
  <c r="G15" i="219"/>
  <c r="H15" i="219"/>
  <c r="I15" i="219"/>
  <c r="J15" i="219"/>
  <c r="F15" i="219"/>
  <c r="J125" i="219"/>
  <c r="K125" i="219"/>
  <c r="L125" i="219"/>
  <c r="M125" i="219" s="1"/>
  <c r="N125" i="219" s="1"/>
  <c r="O125" i="219" s="1"/>
  <c r="P125" i="219" s="1"/>
  <c r="Q125" i="219" s="1"/>
  <c r="R125" i="219" s="1"/>
  <c r="S125" i="219" s="1"/>
  <c r="T125" i="219" s="1"/>
  <c r="I125" i="219"/>
  <c r="H125" i="219"/>
  <c r="G125" i="219"/>
  <c r="F125" i="219"/>
  <c r="E125" i="219"/>
  <c r="J124" i="219"/>
  <c r="I124" i="219"/>
  <c r="H124" i="219"/>
  <c r="G124" i="219"/>
  <c r="F124" i="219"/>
  <c r="E124" i="219"/>
  <c r="E123" i="219"/>
  <c r="E122" i="219"/>
  <c r="T119" i="219"/>
  <c r="S119" i="219"/>
  <c r="R119" i="219"/>
  <c r="Q119" i="219"/>
  <c r="P119" i="219"/>
  <c r="O119" i="219"/>
  <c r="N119" i="219"/>
  <c r="M119" i="219"/>
  <c r="L119" i="219"/>
  <c r="K119" i="219"/>
  <c r="J119" i="219"/>
  <c r="I119" i="219"/>
  <c r="H119" i="219"/>
  <c r="G119" i="219"/>
  <c r="F119" i="219"/>
  <c r="E119" i="219"/>
  <c r="J118" i="219"/>
  <c r="K118" i="219" s="1"/>
  <c r="L118" i="219" s="1"/>
  <c r="M118" i="219" s="1"/>
  <c r="N118" i="219"/>
  <c r="O118" i="219" s="1"/>
  <c r="P118" i="219" s="1"/>
  <c r="Q118" i="219" s="1"/>
  <c r="R118" i="219" s="1"/>
  <c r="S118" i="219" s="1"/>
  <c r="T118" i="219" s="1"/>
  <c r="H118" i="219"/>
  <c r="F118" i="219"/>
  <c r="J117" i="219"/>
  <c r="K117" i="219" s="1"/>
  <c r="I117" i="219"/>
  <c r="H117" i="219"/>
  <c r="G117" i="219"/>
  <c r="F117" i="219"/>
  <c r="E117" i="219"/>
  <c r="J116" i="219"/>
  <c r="I116" i="219"/>
  <c r="H116" i="219"/>
  <c r="G116" i="219"/>
  <c r="F116" i="219"/>
  <c r="E116" i="219"/>
  <c r="E61" i="219" s="1"/>
  <c r="T115" i="219"/>
  <c r="S115" i="219"/>
  <c r="R115" i="219"/>
  <c r="Q115" i="219"/>
  <c r="P115" i="219"/>
  <c r="O115" i="219"/>
  <c r="N115" i="219"/>
  <c r="M115" i="219"/>
  <c r="L115" i="219"/>
  <c r="K115" i="219"/>
  <c r="J115" i="219"/>
  <c r="I115" i="219"/>
  <c r="H115" i="219"/>
  <c r="G115" i="219"/>
  <c r="F115" i="219"/>
  <c r="E115" i="219"/>
  <c r="K116" i="219"/>
  <c r="L116" i="219" s="1"/>
  <c r="G268" i="219"/>
  <c r="H268" i="219"/>
  <c r="I268" i="219"/>
  <c r="J268" i="219"/>
  <c r="F268" i="219"/>
  <c r="D37" i="217"/>
  <c r="G37" i="214"/>
  <c r="H37" i="214"/>
  <c r="I37" i="214"/>
  <c r="J37" i="214"/>
  <c r="I219" i="211"/>
  <c r="H219" i="211"/>
  <c r="G219" i="211"/>
  <c r="F219" i="211"/>
  <c r="E219" i="211"/>
  <c r="E216" i="211"/>
  <c r="F216" i="211"/>
  <c r="G216" i="211"/>
  <c r="H216" i="211"/>
  <c r="I216" i="211"/>
  <c r="I215" i="211"/>
  <c r="H215" i="211"/>
  <c r="G215" i="211"/>
  <c r="F215" i="211"/>
  <c r="E215" i="211"/>
  <c r="I157" i="211"/>
  <c r="H157" i="211"/>
  <c r="G157" i="211"/>
  <c r="F157" i="211"/>
  <c r="E157" i="211"/>
  <c r="I151" i="211"/>
  <c r="H151" i="211"/>
  <c r="G151" i="211"/>
  <c r="F151" i="211"/>
  <c r="F152" i="211"/>
  <c r="E151" i="211"/>
  <c r="I148" i="211"/>
  <c r="H148" i="211"/>
  <c r="G148" i="211"/>
  <c r="F148" i="211"/>
  <c r="E148" i="211"/>
  <c r="G223" i="219"/>
  <c r="H223" i="219"/>
  <c r="I223" i="219"/>
  <c r="I225" i="219" s="1"/>
  <c r="J223" i="219"/>
  <c r="F223" i="219"/>
  <c r="J260" i="219"/>
  <c r="J264" i="219"/>
  <c r="I260" i="219"/>
  <c r="H260" i="219"/>
  <c r="H270" i="219"/>
  <c r="G260" i="219"/>
  <c r="G267" i="219"/>
  <c r="G70" i="219"/>
  <c r="F260" i="219"/>
  <c r="F273" i="219"/>
  <c r="E260" i="219"/>
  <c r="D260" i="219"/>
  <c r="J231" i="219"/>
  <c r="I231" i="219"/>
  <c r="H231" i="219"/>
  <c r="G231" i="219"/>
  <c r="F231" i="219"/>
  <c r="E231" i="219"/>
  <c r="D231" i="219"/>
  <c r="J230" i="219"/>
  <c r="I230" i="219"/>
  <c r="H230" i="219"/>
  <c r="G230" i="219"/>
  <c r="F230" i="219"/>
  <c r="E230" i="219"/>
  <c r="D230" i="219"/>
  <c r="J229" i="219"/>
  <c r="K229" i="219"/>
  <c r="L229" i="219"/>
  <c r="M229" i="219" s="1"/>
  <c r="N229" i="219" s="1"/>
  <c r="O229" i="219"/>
  <c r="P229" i="219" s="1"/>
  <c r="Q229" i="219" s="1"/>
  <c r="R229" i="219" s="1"/>
  <c r="S229" i="219"/>
  <c r="T229" i="219" s="1"/>
  <c r="I229" i="219"/>
  <c r="H229" i="219"/>
  <c r="G229" i="219"/>
  <c r="F229" i="219"/>
  <c r="E229" i="219"/>
  <c r="D229" i="219"/>
  <c r="J226" i="219"/>
  <c r="F226" i="219"/>
  <c r="F227" i="219" s="1"/>
  <c r="E226" i="219"/>
  <c r="D226" i="219"/>
  <c r="E223" i="219"/>
  <c r="D223" i="219"/>
  <c r="T221" i="219"/>
  <c r="S221" i="219"/>
  <c r="R221" i="219"/>
  <c r="Q221" i="219"/>
  <c r="P221" i="219"/>
  <c r="O221" i="219"/>
  <c r="O222" i="219" s="1"/>
  <c r="N221" i="219"/>
  <c r="M221" i="219"/>
  <c r="L221" i="219"/>
  <c r="K221" i="219"/>
  <c r="J221" i="219"/>
  <c r="I221" i="219"/>
  <c r="H221" i="219"/>
  <c r="H225" i="219" s="1"/>
  <c r="G221" i="219"/>
  <c r="G225" i="219" s="1"/>
  <c r="F221" i="219"/>
  <c r="E221" i="219"/>
  <c r="D221" i="219"/>
  <c r="D225" i="219" s="1"/>
  <c r="J219" i="219"/>
  <c r="I219" i="219"/>
  <c r="H219" i="219"/>
  <c r="G219" i="219"/>
  <c r="F219" i="219"/>
  <c r="E219" i="219"/>
  <c r="D219" i="219"/>
  <c r="E217" i="219"/>
  <c r="D217" i="219"/>
  <c r="J214" i="219"/>
  <c r="I214" i="219"/>
  <c r="J215" i="219" s="1"/>
  <c r="H214" i="219"/>
  <c r="G214" i="219"/>
  <c r="G215" i="219" s="1"/>
  <c r="F214" i="219"/>
  <c r="E214" i="219"/>
  <c r="D214" i="219"/>
  <c r="J212" i="219"/>
  <c r="J213" i="219" s="1"/>
  <c r="I212" i="219"/>
  <c r="H212" i="219"/>
  <c r="G212" i="219"/>
  <c r="F212" i="219"/>
  <c r="E212" i="219"/>
  <c r="D212" i="219"/>
  <c r="D209" i="219"/>
  <c r="E209" i="219"/>
  <c r="F209" i="219" s="1"/>
  <c r="G209" i="219" s="1"/>
  <c r="H209" i="219" s="1"/>
  <c r="I209" i="219" s="1"/>
  <c r="J209" i="219" s="1"/>
  <c r="J208" i="219"/>
  <c r="I208" i="219"/>
  <c r="H208" i="219"/>
  <c r="G208" i="219"/>
  <c r="F208" i="219"/>
  <c r="E208" i="219"/>
  <c r="D208" i="219"/>
  <c r="E205" i="219"/>
  <c r="D205" i="219"/>
  <c r="J203" i="219"/>
  <c r="I203" i="219"/>
  <c r="H203" i="219"/>
  <c r="G203" i="219"/>
  <c r="F203" i="219"/>
  <c r="E203" i="219"/>
  <c r="D203" i="219"/>
  <c r="E202" i="219"/>
  <c r="E204" i="219" s="1"/>
  <c r="E34" i="219" s="1"/>
  <c r="D202" i="219"/>
  <c r="D204" i="219"/>
  <c r="J199" i="219"/>
  <c r="I199" i="219"/>
  <c r="H199" i="219"/>
  <c r="G199" i="219"/>
  <c r="F199" i="219"/>
  <c r="E199" i="219"/>
  <c r="D199" i="219"/>
  <c r="T193" i="219"/>
  <c r="S193" i="219"/>
  <c r="R193" i="219"/>
  <c r="Q193" i="219"/>
  <c r="P193" i="219"/>
  <c r="O193" i="219"/>
  <c r="N193" i="219"/>
  <c r="M193" i="219"/>
  <c r="L193" i="219"/>
  <c r="K193" i="219"/>
  <c r="J193" i="219"/>
  <c r="I193" i="219"/>
  <c r="H193" i="219"/>
  <c r="G193" i="219"/>
  <c r="F193" i="219"/>
  <c r="E193" i="219"/>
  <c r="D193" i="219"/>
  <c r="T192" i="219"/>
  <c r="S192" i="219"/>
  <c r="R192" i="219"/>
  <c r="Q192" i="219"/>
  <c r="P192" i="219"/>
  <c r="O192" i="219"/>
  <c r="N192" i="219"/>
  <c r="M192" i="219"/>
  <c r="L192" i="219"/>
  <c r="K192" i="219"/>
  <c r="J192" i="219"/>
  <c r="I192" i="219"/>
  <c r="H192" i="219"/>
  <c r="G192" i="219"/>
  <c r="F192" i="219"/>
  <c r="E192" i="219"/>
  <c r="D192" i="219"/>
  <c r="J190" i="219"/>
  <c r="I190" i="219"/>
  <c r="H190" i="219"/>
  <c r="G190" i="219"/>
  <c r="F190" i="219"/>
  <c r="E190" i="219"/>
  <c r="D190" i="219"/>
  <c r="J189" i="219"/>
  <c r="I189" i="219"/>
  <c r="H189" i="219"/>
  <c r="G189" i="219"/>
  <c r="F189" i="219"/>
  <c r="E189" i="219"/>
  <c r="D189" i="219"/>
  <c r="J186" i="219"/>
  <c r="I186" i="219"/>
  <c r="H186" i="219"/>
  <c r="G186" i="219"/>
  <c r="F186" i="219"/>
  <c r="E186" i="219"/>
  <c r="D186" i="219"/>
  <c r="T184" i="219"/>
  <c r="S184" i="219"/>
  <c r="R184" i="219"/>
  <c r="Q184" i="219"/>
  <c r="P184" i="219"/>
  <c r="O184" i="219"/>
  <c r="N184" i="219"/>
  <c r="M184" i="219"/>
  <c r="L184" i="219"/>
  <c r="K184" i="219"/>
  <c r="J184" i="219"/>
  <c r="I184" i="219"/>
  <c r="H184" i="219"/>
  <c r="G184" i="219"/>
  <c r="G185" i="219" s="1"/>
  <c r="F184" i="219"/>
  <c r="E184" i="219"/>
  <c r="D184" i="219"/>
  <c r="J183" i="219"/>
  <c r="I183" i="219"/>
  <c r="H183" i="219"/>
  <c r="G183" i="219"/>
  <c r="F183" i="219"/>
  <c r="E183" i="219"/>
  <c r="D183" i="219"/>
  <c r="J182" i="219"/>
  <c r="I182" i="219"/>
  <c r="H182" i="219"/>
  <c r="G182" i="219"/>
  <c r="F182" i="219"/>
  <c r="E182" i="219"/>
  <c r="E185" i="219" s="1"/>
  <c r="D182" i="219"/>
  <c r="D185" i="219" s="1"/>
  <c r="E179" i="219"/>
  <c r="D179" i="219"/>
  <c r="J175" i="219"/>
  <c r="I175" i="219"/>
  <c r="H175" i="219"/>
  <c r="G175" i="219"/>
  <c r="F175" i="219"/>
  <c r="E175" i="219"/>
  <c r="D174" i="219"/>
  <c r="J171" i="219"/>
  <c r="I171" i="219"/>
  <c r="H171" i="219"/>
  <c r="G171" i="219"/>
  <c r="F171" i="219"/>
  <c r="E171" i="219"/>
  <c r="D171" i="219"/>
  <c r="J170" i="219"/>
  <c r="I170" i="219"/>
  <c r="H170" i="219"/>
  <c r="G170" i="219"/>
  <c r="F170" i="219"/>
  <c r="E170" i="219"/>
  <c r="D170" i="219"/>
  <c r="J167" i="219"/>
  <c r="K167" i="219" s="1"/>
  <c r="L167" i="219"/>
  <c r="M167" i="219"/>
  <c r="N167" i="219" s="1"/>
  <c r="O167" i="219" s="1"/>
  <c r="P167" i="219" s="1"/>
  <c r="Q167" i="219" s="1"/>
  <c r="R167" i="219" s="1"/>
  <c r="S167" i="219" s="1"/>
  <c r="T167" i="219" s="1"/>
  <c r="I167" i="219"/>
  <c r="H167" i="219"/>
  <c r="G167" i="219"/>
  <c r="F167" i="219"/>
  <c r="E167" i="219"/>
  <c r="D167" i="219"/>
  <c r="E163" i="219"/>
  <c r="D163" i="219"/>
  <c r="D165" i="219" s="1"/>
  <c r="J159" i="219"/>
  <c r="I159" i="219"/>
  <c r="H159" i="219"/>
  <c r="G159" i="219"/>
  <c r="F159" i="219"/>
  <c r="E159" i="219"/>
  <c r="D159" i="219"/>
  <c r="J158" i="219"/>
  <c r="J62" i="219"/>
  <c r="I158" i="219"/>
  <c r="I62" i="219"/>
  <c r="H158" i="219"/>
  <c r="H62" i="219"/>
  <c r="G158" i="219"/>
  <c r="F158" i="219"/>
  <c r="F62" i="219" s="1"/>
  <c r="F60" i="219" s="1"/>
  <c r="E158" i="219"/>
  <c r="E62" i="219" s="1"/>
  <c r="D158" i="219"/>
  <c r="D62" i="219"/>
  <c r="J157" i="219"/>
  <c r="K157" i="219"/>
  <c r="L157" i="219" s="1"/>
  <c r="M157" i="219"/>
  <c r="N157" i="219" s="1"/>
  <c r="O157" i="219" s="1"/>
  <c r="P157" i="219" s="1"/>
  <c r="Q157" i="219" s="1"/>
  <c r="R157" i="219" s="1"/>
  <c r="S157" i="219" s="1"/>
  <c r="T157" i="219" s="1"/>
  <c r="I157" i="219"/>
  <c r="H157" i="219"/>
  <c r="G157" i="219"/>
  <c r="F157" i="219"/>
  <c r="E157" i="219"/>
  <c r="D157" i="219"/>
  <c r="J156" i="219"/>
  <c r="I156" i="219"/>
  <c r="H156" i="219"/>
  <c r="G156" i="219"/>
  <c r="F156" i="219"/>
  <c r="E156" i="219"/>
  <c r="D156" i="219"/>
  <c r="J155" i="219"/>
  <c r="K155" i="219"/>
  <c r="I155" i="219"/>
  <c r="H155" i="219"/>
  <c r="G155" i="219"/>
  <c r="F155" i="219"/>
  <c r="E155" i="219"/>
  <c r="D155" i="219"/>
  <c r="D160" i="219" s="1"/>
  <c r="E154" i="219" s="1"/>
  <c r="D154" i="219"/>
  <c r="E144" i="219"/>
  <c r="D144" i="219"/>
  <c r="J141" i="219"/>
  <c r="I141" i="219"/>
  <c r="H141" i="219"/>
  <c r="G141" i="219"/>
  <c r="F141" i="219"/>
  <c r="E141" i="219"/>
  <c r="D141" i="219"/>
  <c r="J140" i="219"/>
  <c r="I140" i="219"/>
  <c r="H140" i="219"/>
  <c r="G140" i="219"/>
  <c r="F140" i="219"/>
  <c r="E140" i="219"/>
  <c r="E65" i="219" s="1"/>
  <c r="D140" i="219"/>
  <c r="G139" i="219"/>
  <c r="G149" i="219"/>
  <c r="E139" i="219"/>
  <c r="E149" i="219" s="1"/>
  <c r="D139" i="219"/>
  <c r="D149" i="219"/>
  <c r="E138" i="219"/>
  <c r="D138" i="219"/>
  <c r="T135" i="219"/>
  <c r="S135" i="219"/>
  <c r="R135" i="219"/>
  <c r="Q135" i="219"/>
  <c r="P135" i="219"/>
  <c r="O135" i="219"/>
  <c r="N135" i="219"/>
  <c r="M135" i="219"/>
  <c r="L135" i="219"/>
  <c r="K135" i="219"/>
  <c r="J135" i="219"/>
  <c r="I135" i="219"/>
  <c r="H135" i="219"/>
  <c r="G135" i="219"/>
  <c r="F135" i="219"/>
  <c r="E135" i="219"/>
  <c r="D135" i="219"/>
  <c r="J134" i="219"/>
  <c r="J133" i="219" s="1"/>
  <c r="I134" i="219"/>
  <c r="H134" i="219"/>
  <c r="G134" i="219"/>
  <c r="F134" i="219"/>
  <c r="E134" i="219"/>
  <c r="D134" i="219"/>
  <c r="J132" i="219"/>
  <c r="I132" i="219"/>
  <c r="H132" i="219"/>
  <c r="G132" i="219"/>
  <c r="F132" i="219"/>
  <c r="E132" i="219"/>
  <c r="D132" i="219"/>
  <c r="J131" i="219"/>
  <c r="J65" i="219"/>
  <c r="I131" i="219"/>
  <c r="H131" i="219"/>
  <c r="H65" i="219" s="1"/>
  <c r="G131" i="219"/>
  <c r="F131" i="219"/>
  <c r="F65" i="219"/>
  <c r="E131" i="219"/>
  <c r="D131" i="219"/>
  <c r="D65" i="219"/>
  <c r="J130" i="219"/>
  <c r="J148" i="219" s="1"/>
  <c r="I130" i="219"/>
  <c r="I148" i="219" s="1"/>
  <c r="H130" i="219"/>
  <c r="H148" i="219" s="1"/>
  <c r="G130" i="219"/>
  <c r="G148" i="219" s="1"/>
  <c r="F130" i="219"/>
  <c r="F148" i="219" s="1"/>
  <c r="E130" i="219"/>
  <c r="E148" i="219"/>
  <c r="D130" i="219"/>
  <c r="D148" i="219" s="1"/>
  <c r="J129" i="219"/>
  <c r="I129" i="219"/>
  <c r="H129" i="219"/>
  <c r="G129" i="219"/>
  <c r="F129" i="219"/>
  <c r="E129" i="219"/>
  <c r="D129" i="219"/>
  <c r="J128" i="219"/>
  <c r="J196" i="219"/>
  <c r="I128" i="219"/>
  <c r="H128" i="219"/>
  <c r="G128" i="219"/>
  <c r="F128" i="219"/>
  <c r="F196" i="219"/>
  <c r="E128" i="219"/>
  <c r="D128" i="219"/>
  <c r="D196" i="219" s="1"/>
  <c r="D125" i="219"/>
  <c r="D124" i="219"/>
  <c r="D123" i="219"/>
  <c r="E145" i="219"/>
  <c r="D122" i="219"/>
  <c r="D145" i="219" s="1"/>
  <c r="D119" i="219"/>
  <c r="D117" i="219"/>
  <c r="D116" i="219"/>
  <c r="D115" i="219"/>
  <c r="D114" i="219"/>
  <c r="E111" i="219"/>
  <c r="D111" i="219"/>
  <c r="E110" i="219"/>
  <c r="D110" i="219"/>
  <c r="T105" i="219"/>
  <c r="S105" i="219"/>
  <c r="R105" i="219"/>
  <c r="Q105" i="219"/>
  <c r="P105" i="219"/>
  <c r="O105" i="219"/>
  <c r="N105" i="219"/>
  <c r="M105" i="219"/>
  <c r="L105" i="219"/>
  <c r="K105" i="219"/>
  <c r="J105" i="219"/>
  <c r="I105" i="219"/>
  <c r="H105" i="219"/>
  <c r="G105" i="219"/>
  <c r="F105" i="219"/>
  <c r="E105" i="219"/>
  <c r="D105" i="219"/>
  <c r="P100" i="219"/>
  <c r="O100" i="219"/>
  <c r="N100" i="219"/>
  <c r="M100" i="219"/>
  <c r="L100" i="219"/>
  <c r="K100" i="219"/>
  <c r="J100" i="219"/>
  <c r="I100" i="219"/>
  <c r="H100" i="219"/>
  <c r="G100" i="219"/>
  <c r="F100" i="219"/>
  <c r="E100" i="219"/>
  <c r="D100" i="219"/>
  <c r="J99" i="219"/>
  <c r="K99" i="219" s="1"/>
  <c r="L99" i="219" s="1"/>
  <c r="M99" i="219" s="1"/>
  <c r="N99" i="219" s="1"/>
  <c r="I99" i="219"/>
  <c r="H99" i="219"/>
  <c r="G99" i="219"/>
  <c r="F99" i="219"/>
  <c r="E99" i="219"/>
  <c r="D99" i="219"/>
  <c r="E86" i="219"/>
  <c r="D86" i="219"/>
  <c r="J85" i="219"/>
  <c r="I85" i="219"/>
  <c r="H85" i="219"/>
  <c r="G85" i="219"/>
  <c r="F85" i="219"/>
  <c r="E85" i="219"/>
  <c r="D85" i="219"/>
  <c r="E84" i="219"/>
  <c r="D84" i="219"/>
  <c r="E83" i="219"/>
  <c r="D83" i="219"/>
  <c r="E82" i="219"/>
  <c r="D82" i="219"/>
  <c r="J79" i="219"/>
  <c r="I79" i="219"/>
  <c r="H79" i="219"/>
  <c r="G79" i="219"/>
  <c r="F79" i="219"/>
  <c r="E79" i="219"/>
  <c r="D79" i="219"/>
  <c r="J78" i="219"/>
  <c r="I78" i="219"/>
  <c r="H78" i="219"/>
  <c r="G78" i="219"/>
  <c r="F78" i="219"/>
  <c r="E78" i="219"/>
  <c r="D78" i="219"/>
  <c r="E75" i="219"/>
  <c r="D75" i="219"/>
  <c r="E74" i="219"/>
  <c r="D74" i="219"/>
  <c r="E73" i="219"/>
  <c r="D73" i="219"/>
  <c r="E70" i="219"/>
  <c r="F69" i="219" s="1"/>
  <c r="D70" i="219"/>
  <c r="D69" i="219" s="1"/>
  <c r="J63" i="219"/>
  <c r="I63" i="219"/>
  <c r="H63" i="219"/>
  <c r="G63" i="219"/>
  <c r="F63" i="219"/>
  <c r="E63" i="219"/>
  <c r="D63" i="219"/>
  <c r="D60" i="219" s="1"/>
  <c r="D64" i="219" s="1"/>
  <c r="D66" i="219" s="1"/>
  <c r="D67" i="219" s="1"/>
  <c r="G62" i="219"/>
  <c r="F61" i="219"/>
  <c r="T57" i="219"/>
  <c r="S57" i="219"/>
  <c r="R57" i="219"/>
  <c r="Q57" i="219"/>
  <c r="P57" i="219"/>
  <c r="O57" i="219"/>
  <c r="N57" i="219"/>
  <c r="M57" i="219"/>
  <c r="L57" i="219"/>
  <c r="K57" i="219"/>
  <c r="J57" i="219"/>
  <c r="I57" i="219"/>
  <c r="H57" i="219"/>
  <c r="G57" i="219"/>
  <c r="F57" i="219"/>
  <c r="E57" i="219"/>
  <c r="D57" i="219"/>
  <c r="E56" i="219"/>
  <c r="D56" i="219"/>
  <c r="E55" i="219"/>
  <c r="D55" i="219"/>
  <c r="E52" i="219"/>
  <c r="E18" i="219"/>
  <c r="D52" i="219"/>
  <c r="D18" i="219" s="1"/>
  <c r="E49" i="219"/>
  <c r="D49" i="219"/>
  <c r="E48" i="219"/>
  <c r="E50" i="219" s="1"/>
  <c r="E9" i="219" s="1"/>
  <c r="D48" i="219"/>
  <c r="E47" i="219"/>
  <c r="D47" i="219"/>
  <c r="E37" i="219"/>
  <c r="D37" i="219"/>
  <c r="E22" i="219"/>
  <c r="E15" i="219"/>
  <c r="D15" i="219"/>
  <c r="C1" i="219"/>
  <c r="E38" i="219"/>
  <c r="D38" i="219"/>
  <c r="D61" i="219"/>
  <c r="D27" i="219"/>
  <c r="H102" i="219"/>
  <c r="J104" i="219"/>
  <c r="E102" i="219"/>
  <c r="G102" i="219"/>
  <c r="F103" i="219"/>
  <c r="F101" i="219"/>
  <c r="D101" i="219"/>
  <c r="E27" i="219"/>
  <c r="D50" i="219"/>
  <c r="D9" i="219" s="1"/>
  <c r="D176" i="219"/>
  <c r="F185" i="219"/>
  <c r="E215" i="219"/>
  <c r="H226" i="219"/>
  <c r="H227" i="219" s="1"/>
  <c r="H185" i="219"/>
  <c r="E60" i="219"/>
  <c r="E64" i="219" s="1"/>
  <c r="G65" i="219"/>
  <c r="I65" i="219"/>
  <c r="E213" i="219"/>
  <c r="I213" i="219"/>
  <c r="F215" i="219"/>
  <c r="G222" i="219"/>
  <c r="H262" i="219"/>
  <c r="G263" i="219"/>
  <c r="H264" i="219"/>
  <c r="F266" i="219"/>
  <c r="J266" i="219"/>
  <c r="F270" i="219"/>
  <c r="J270" i="219"/>
  <c r="F275" i="219"/>
  <c r="F191" i="219"/>
  <c r="F195" i="219" s="1"/>
  <c r="D76" i="219"/>
  <c r="D77" i="219" s="1"/>
  <c r="E160" i="219"/>
  <c r="F262" i="219"/>
  <c r="F269" i="219" s="1"/>
  <c r="F271" i="219" s="1"/>
  <c r="F276" i="219" s="1"/>
  <c r="J262" i="219"/>
  <c r="F264" i="219"/>
  <c r="H266" i="219"/>
  <c r="H215" i="219"/>
  <c r="D51" i="219"/>
  <c r="E51" i="219"/>
  <c r="D95" i="219"/>
  <c r="D96" i="219" s="1"/>
  <c r="O231" i="219"/>
  <c r="M231" i="219"/>
  <c r="L231" i="219"/>
  <c r="L178" i="219"/>
  <c r="G174" i="219"/>
  <c r="G176" i="219" s="1"/>
  <c r="E174" i="219"/>
  <c r="E176" i="219" s="1"/>
  <c r="E178" i="219"/>
  <c r="H174" i="219"/>
  <c r="H176" i="219" s="1"/>
  <c r="N231" i="219"/>
  <c r="K178" i="219"/>
  <c r="E238" i="219"/>
  <c r="E196" i="219"/>
  <c r="G196" i="219"/>
  <c r="G197" i="219" s="1"/>
  <c r="G28" i="219" s="1"/>
  <c r="I196" i="219"/>
  <c r="D227" i="219"/>
  <c r="F225" i="219"/>
  <c r="J227" i="219"/>
  <c r="J228" i="219" s="1"/>
  <c r="J225" i="219"/>
  <c r="E218" i="219"/>
  <c r="F217" i="219"/>
  <c r="F218" i="219" s="1"/>
  <c r="E222" i="219"/>
  <c r="I222" i="219"/>
  <c r="M222" i="219"/>
  <c r="Q222" i="219"/>
  <c r="H224" i="219"/>
  <c r="F265" i="219"/>
  <c r="E165" i="219"/>
  <c r="J185" i="219"/>
  <c r="E206" i="219"/>
  <c r="E30" i="219" s="1"/>
  <c r="F213" i="219"/>
  <c r="H213" i="219"/>
  <c r="F222" i="219"/>
  <c r="H222" i="219"/>
  <c r="J222" i="219"/>
  <c r="N222" i="219"/>
  <c r="P222" i="219"/>
  <c r="R222" i="219"/>
  <c r="E224" i="219"/>
  <c r="I224" i="219"/>
  <c r="J224" i="219"/>
  <c r="G273" i="219"/>
  <c r="G265" i="219"/>
  <c r="G270" i="219"/>
  <c r="G266" i="219"/>
  <c r="G264" i="219"/>
  <c r="G262" i="219"/>
  <c r="G269" i="219" s="1"/>
  <c r="G226" i="219"/>
  <c r="G227" i="219" s="1"/>
  <c r="I270" i="219"/>
  <c r="I266" i="219"/>
  <c r="I264" i="219"/>
  <c r="I262" i="219"/>
  <c r="I226" i="219"/>
  <c r="I227" i="219" s="1"/>
  <c r="G224" i="219"/>
  <c r="I263" i="219"/>
  <c r="I267" i="219"/>
  <c r="I70" i="219"/>
  <c r="F263" i="219"/>
  <c r="H263" i="219"/>
  <c r="J263" i="219"/>
  <c r="J269" i="219" s="1"/>
  <c r="F267" i="219"/>
  <c r="F70" i="219"/>
  <c r="H267" i="219"/>
  <c r="H70" i="219"/>
  <c r="J267" i="219"/>
  <c r="F274" i="219"/>
  <c r="F179" i="219"/>
  <c r="F236" i="219"/>
  <c r="G217" i="219"/>
  <c r="F194" i="219"/>
  <c r="F251" i="219"/>
  <c r="F241" i="219"/>
  <c r="E66" i="219"/>
  <c r="E67" i="219" s="1"/>
  <c r="E10" i="219" s="1"/>
  <c r="G275" i="219"/>
  <c r="H275" i="219"/>
  <c r="H191" i="219"/>
  <c r="H195" i="219" s="1"/>
  <c r="D80" i="219"/>
  <c r="I69" i="219"/>
  <c r="G274" i="219"/>
  <c r="F154" i="219"/>
  <c r="F160" i="219" s="1"/>
  <c r="G69" i="219"/>
  <c r="J70" i="219"/>
  <c r="H273" i="219"/>
  <c r="E31" i="219"/>
  <c r="H228" i="219"/>
  <c r="C120" i="211"/>
  <c r="D175" i="219" s="1"/>
  <c r="C114" i="211"/>
  <c r="D22" i="219" s="1"/>
  <c r="D114" i="211"/>
  <c r="C89" i="211"/>
  <c r="D118" i="219" s="1"/>
  <c r="D79" i="211"/>
  <c r="C79" i="211"/>
  <c r="C66" i="211"/>
  <c r="D22" i="211"/>
  <c r="H217" i="219"/>
  <c r="I218" i="219" s="1"/>
  <c r="G218" i="219"/>
  <c r="G191" i="219"/>
  <c r="G195" i="219"/>
  <c r="H194" i="219"/>
  <c r="H35" i="219"/>
  <c r="I275" i="219"/>
  <c r="J275" i="219"/>
  <c r="J191" i="219"/>
  <c r="G179" i="219"/>
  <c r="G178" i="219" s="1"/>
  <c r="H274" i="219"/>
  <c r="I273" i="219"/>
  <c r="K70" i="219"/>
  <c r="J69" i="219"/>
  <c r="O99" i="219"/>
  <c r="P99" i="219" s="1"/>
  <c r="Q99" i="219" s="1"/>
  <c r="R99" i="219" s="1"/>
  <c r="S99" i="219" s="1"/>
  <c r="H265" i="219"/>
  <c r="D6" i="219"/>
  <c r="I217" i="219"/>
  <c r="H218" i="219"/>
  <c r="H236" i="219" s="1"/>
  <c r="H237" i="219" s="1"/>
  <c r="G255" i="219"/>
  <c r="G246" i="219"/>
  <c r="G236" i="219"/>
  <c r="G251" i="219"/>
  <c r="G241" i="219"/>
  <c r="E6" i="219"/>
  <c r="G194" i="219"/>
  <c r="G35" i="219" s="1"/>
  <c r="J194" i="219"/>
  <c r="J195" i="219"/>
  <c r="I191" i="219"/>
  <c r="I195" i="219" s="1"/>
  <c r="I274" i="219"/>
  <c r="H179" i="219"/>
  <c r="H178" i="219"/>
  <c r="J273" i="219"/>
  <c r="J265" i="219"/>
  <c r="I265" i="219"/>
  <c r="J217" i="219"/>
  <c r="J218" i="219" s="1"/>
  <c r="K218" i="219" s="1"/>
  <c r="K189" i="219" s="1"/>
  <c r="H246" i="219"/>
  <c r="I194" i="219"/>
  <c r="I197" i="219" s="1"/>
  <c r="I28" i="219" s="1"/>
  <c r="I179" i="219"/>
  <c r="I178" i="219"/>
  <c r="J274" i="219"/>
  <c r="J179" i="219"/>
  <c r="K179" i="219" s="1"/>
  <c r="I251" i="219"/>
  <c r="I255" i="219"/>
  <c r="I236" i="219"/>
  <c r="I35" i="219"/>
  <c r="J178" i="219"/>
  <c r="J255" i="219"/>
  <c r="J251" i="219"/>
  <c r="J236" i="219"/>
  <c r="J246" i="219"/>
  <c r="J241" i="219"/>
  <c r="K183" i="219"/>
  <c r="K170" i="219"/>
  <c r="L170" i="219" s="1"/>
  <c r="M170" i="219" s="1"/>
  <c r="L218" i="219"/>
  <c r="L230" i="219" s="1"/>
  <c r="K246" i="219"/>
  <c r="K251" i="219"/>
  <c r="K241" i="219"/>
  <c r="K186" i="219"/>
  <c r="K236" i="219"/>
  <c r="K255" i="219"/>
  <c r="K191" i="219"/>
  <c r="K194" i="219" s="1"/>
  <c r="K35" i="219" s="1"/>
  <c r="K195" i="219"/>
  <c r="K217" i="219"/>
  <c r="T99" i="219"/>
  <c r="L195" i="219"/>
  <c r="L186" i="219"/>
  <c r="L183" i="219"/>
  <c r="L189" i="219"/>
  <c r="L241" i="219"/>
  <c r="L251" i="219"/>
  <c r="L70" i="219"/>
  <c r="M70" i="219" s="1"/>
  <c r="L236" i="219"/>
  <c r="M218" i="219"/>
  <c r="M251" i="219" s="1"/>
  <c r="L246" i="219"/>
  <c r="L179" i="219"/>
  <c r="M179" i="219" s="1"/>
  <c r="M241" i="219"/>
  <c r="M236" i="219"/>
  <c r="M195" i="219"/>
  <c r="I223" i="211"/>
  <c r="H223" i="211"/>
  <c r="G223" i="211"/>
  <c r="F223" i="211"/>
  <c r="E223" i="211"/>
  <c r="I66" i="211"/>
  <c r="H66" i="211"/>
  <c r="G66" i="211"/>
  <c r="F66" i="211"/>
  <c r="E66" i="211"/>
  <c r="N9" i="210"/>
  <c r="M9" i="210"/>
  <c r="L9" i="210"/>
  <c r="K9" i="210"/>
  <c r="J9" i="210"/>
  <c r="J8" i="210"/>
  <c r="J10" i="210" s="1"/>
  <c r="N10" i="210"/>
  <c r="I156" i="211"/>
  <c r="J123" i="219" s="1"/>
  <c r="H156" i="211"/>
  <c r="G156" i="211"/>
  <c r="H123" i="219" s="1"/>
  <c r="F156" i="211"/>
  <c r="G123" i="219" s="1"/>
  <c r="E156" i="211"/>
  <c r="F123" i="219" s="1"/>
  <c r="I149" i="211"/>
  <c r="H149" i="211"/>
  <c r="I122" i="219" s="1"/>
  <c r="G149" i="211"/>
  <c r="H122" i="219" s="1"/>
  <c r="F149" i="211"/>
  <c r="G122" i="219" s="1"/>
  <c r="E149" i="211"/>
  <c r="F124" i="210"/>
  <c r="O178" i="219"/>
  <c r="G124" i="210"/>
  <c r="P178" i="219"/>
  <c r="H124" i="210"/>
  <c r="Q178" i="219"/>
  <c r="I124" i="210"/>
  <c r="R178" i="219"/>
  <c r="J124" i="210"/>
  <c r="S178" i="219" s="1"/>
  <c r="K124" i="210"/>
  <c r="T178" i="219"/>
  <c r="E124" i="210"/>
  <c r="N178" i="219" s="1"/>
  <c r="D215" i="211"/>
  <c r="I153" i="211"/>
  <c r="H153" i="211"/>
  <c r="G153" i="211"/>
  <c r="F153" i="211"/>
  <c r="E153" i="211"/>
  <c r="I158" i="211"/>
  <c r="J138" i="219" s="1"/>
  <c r="H158" i="211"/>
  <c r="G158" i="211"/>
  <c r="H138" i="219" s="1"/>
  <c r="F158" i="211"/>
  <c r="G138" i="219" s="1"/>
  <c r="E158" i="211"/>
  <c r="F138" i="219" s="1"/>
  <c r="I152" i="211"/>
  <c r="J139" i="219" s="1"/>
  <c r="J149" i="219" s="1"/>
  <c r="H152" i="211"/>
  <c r="I139" i="219" s="1"/>
  <c r="I149" i="219" s="1"/>
  <c r="G152" i="211"/>
  <c r="H139" i="219" s="1"/>
  <c r="H149" i="219" s="1"/>
  <c r="E152" i="211"/>
  <c r="F139" i="219" s="1"/>
  <c r="F149" i="219" s="1"/>
  <c r="H89" i="211"/>
  <c r="F89" i="211"/>
  <c r="G118" i="219" s="1"/>
  <c r="G145" i="219"/>
  <c r="G61" i="219"/>
  <c r="G60" i="219" s="1"/>
  <c r="I15" i="210"/>
  <c r="J231" i="217"/>
  <c r="I231" i="217"/>
  <c r="H231" i="217"/>
  <c r="G231" i="217"/>
  <c r="F231" i="217"/>
  <c r="E231" i="217"/>
  <c r="D231" i="217"/>
  <c r="J230" i="217"/>
  <c r="I230" i="217"/>
  <c r="H230" i="217"/>
  <c r="G230" i="217"/>
  <c r="F230" i="217"/>
  <c r="E230" i="217"/>
  <c r="D230" i="217"/>
  <c r="J229" i="217"/>
  <c r="K229" i="217"/>
  <c r="L229" i="217" s="1"/>
  <c r="M229" i="217" s="1"/>
  <c r="N229" i="217" s="1"/>
  <c r="O229" i="217" s="1"/>
  <c r="P229" i="217" s="1"/>
  <c r="Q229" i="217" s="1"/>
  <c r="R229" i="217" s="1"/>
  <c r="S229" i="217" s="1"/>
  <c r="T229" i="217" s="1"/>
  <c r="I229" i="217"/>
  <c r="H229" i="217"/>
  <c r="G229" i="217"/>
  <c r="F229" i="217"/>
  <c r="E229" i="217"/>
  <c r="D229" i="217"/>
  <c r="J226" i="217"/>
  <c r="J227" i="217" s="1"/>
  <c r="I226" i="217"/>
  <c r="H226" i="217"/>
  <c r="G226" i="217"/>
  <c r="F226" i="217"/>
  <c r="F227" i="217" s="1"/>
  <c r="E226" i="217"/>
  <c r="D226" i="217"/>
  <c r="J223" i="217"/>
  <c r="I223" i="217"/>
  <c r="H223" i="217"/>
  <c r="G223" i="217"/>
  <c r="F223" i="217"/>
  <c r="E223" i="217"/>
  <c r="D223" i="217"/>
  <c r="T221" i="217"/>
  <c r="S221" i="217"/>
  <c r="R221" i="217"/>
  <c r="Q221" i="217"/>
  <c r="P221" i="217"/>
  <c r="O221" i="217"/>
  <c r="N221" i="217"/>
  <c r="O222" i="217" s="1"/>
  <c r="M221" i="217"/>
  <c r="L221" i="217"/>
  <c r="K221" i="217"/>
  <c r="J221" i="217"/>
  <c r="I221" i="217"/>
  <c r="H221" i="217"/>
  <c r="G221" i="217"/>
  <c r="F221" i="217"/>
  <c r="G222" i="217" s="1"/>
  <c r="E221" i="217"/>
  <c r="D221" i="217"/>
  <c r="J219" i="217"/>
  <c r="I219" i="217"/>
  <c r="H219" i="217"/>
  <c r="G219" i="217"/>
  <c r="F219" i="217"/>
  <c r="E219" i="217"/>
  <c r="D219" i="217"/>
  <c r="J217" i="217"/>
  <c r="I217" i="217"/>
  <c r="H217" i="217"/>
  <c r="G217" i="217"/>
  <c r="F217" i="217"/>
  <c r="E217" i="217"/>
  <c r="D217" i="217"/>
  <c r="J214" i="217"/>
  <c r="I214" i="217"/>
  <c r="H214" i="217"/>
  <c r="G214" i="217"/>
  <c r="H215" i="217" s="1"/>
  <c r="F214" i="217"/>
  <c r="E214" i="217"/>
  <c r="D214" i="217"/>
  <c r="J212" i="217"/>
  <c r="I212" i="217"/>
  <c r="H212" i="217"/>
  <c r="G212" i="217"/>
  <c r="F212" i="217"/>
  <c r="E212" i="217"/>
  <c r="D212" i="217"/>
  <c r="D209" i="217"/>
  <c r="E209" i="217"/>
  <c r="F209" i="217" s="1"/>
  <c r="G209" i="217" s="1"/>
  <c r="H209" i="217" s="1"/>
  <c r="I209" i="217" s="1"/>
  <c r="J209" i="217" s="1"/>
  <c r="J208" i="217"/>
  <c r="I208" i="217"/>
  <c r="H208" i="217"/>
  <c r="G208" i="217"/>
  <c r="F208" i="217"/>
  <c r="E208" i="217"/>
  <c r="D208" i="217"/>
  <c r="J205" i="217"/>
  <c r="I205" i="217"/>
  <c r="H205" i="217"/>
  <c r="G205" i="217"/>
  <c r="F205" i="217"/>
  <c r="E205" i="217"/>
  <c r="D205" i="217"/>
  <c r="J203" i="217"/>
  <c r="I203" i="217"/>
  <c r="H203" i="217"/>
  <c r="G203" i="217"/>
  <c r="F203" i="217"/>
  <c r="F204" i="217" s="1"/>
  <c r="E203" i="217"/>
  <c r="D203" i="217"/>
  <c r="J202" i="217"/>
  <c r="I202" i="217"/>
  <c r="H202" i="217"/>
  <c r="G202" i="217"/>
  <c r="F202" i="217"/>
  <c r="E202" i="217"/>
  <c r="D202" i="217"/>
  <c r="J199" i="217"/>
  <c r="I199" i="217"/>
  <c r="H199" i="217"/>
  <c r="H27" i="217" s="1"/>
  <c r="G199" i="217"/>
  <c r="F199" i="217"/>
  <c r="E199" i="217"/>
  <c r="D199" i="217"/>
  <c r="D27" i="217"/>
  <c r="T193" i="217"/>
  <c r="S193" i="217"/>
  <c r="R193" i="217"/>
  <c r="Q193" i="217"/>
  <c r="P193" i="217"/>
  <c r="O193" i="217"/>
  <c r="N193" i="217"/>
  <c r="M193" i="217"/>
  <c r="L193" i="217"/>
  <c r="K193" i="217"/>
  <c r="J193" i="217"/>
  <c r="I193" i="217"/>
  <c r="H193" i="217"/>
  <c r="G193" i="217"/>
  <c r="F193" i="217"/>
  <c r="E193" i="217"/>
  <c r="D193" i="217"/>
  <c r="T192" i="217"/>
  <c r="S192" i="217"/>
  <c r="R192" i="217"/>
  <c r="Q192" i="217"/>
  <c r="P192" i="217"/>
  <c r="O192" i="217"/>
  <c r="N192" i="217"/>
  <c r="M192" i="217"/>
  <c r="L192" i="217"/>
  <c r="K192" i="217"/>
  <c r="J192" i="217"/>
  <c r="I192" i="217"/>
  <c r="H192" i="217"/>
  <c r="H194" i="217" s="1"/>
  <c r="H35" i="217" s="1"/>
  <c r="G192" i="217"/>
  <c r="F192" i="217"/>
  <c r="E192" i="217"/>
  <c r="D192" i="217"/>
  <c r="J190" i="217"/>
  <c r="I190" i="217"/>
  <c r="H190" i="217"/>
  <c r="G190" i="217"/>
  <c r="F190" i="217"/>
  <c r="E190" i="217"/>
  <c r="D190" i="217"/>
  <c r="J189" i="217"/>
  <c r="I189" i="217"/>
  <c r="H189" i="217"/>
  <c r="G189" i="217"/>
  <c r="F189" i="217"/>
  <c r="E189" i="217"/>
  <c r="D189" i="217"/>
  <c r="J186" i="217"/>
  <c r="I186" i="217"/>
  <c r="H186" i="217"/>
  <c r="G186" i="217"/>
  <c r="F186" i="217"/>
  <c r="E186" i="217"/>
  <c r="D186" i="217"/>
  <c r="T184" i="217"/>
  <c r="S184" i="217"/>
  <c r="R184" i="217"/>
  <c r="Q184" i="217"/>
  <c r="P184" i="217"/>
  <c r="O184" i="217"/>
  <c r="N184" i="217"/>
  <c r="M184" i="217"/>
  <c r="L184" i="217"/>
  <c r="K184" i="217"/>
  <c r="J184" i="217"/>
  <c r="I184" i="217"/>
  <c r="H184" i="217"/>
  <c r="G184" i="217"/>
  <c r="F184" i="217"/>
  <c r="E184" i="217"/>
  <c r="D184" i="217"/>
  <c r="J183" i="217"/>
  <c r="I183" i="217"/>
  <c r="I185" i="217" s="1"/>
  <c r="H183" i="217"/>
  <c r="G183" i="217"/>
  <c r="F183" i="217"/>
  <c r="J182" i="217"/>
  <c r="I182" i="217"/>
  <c r="H182" i="217"/>
  <c r="G182" i="217"/>
  <c r="F182" i="217"/>
  <c r="E182" i="217"/>
  <c r="D182" i="217"/>
  <c r="J179" i="217"/>
  <c r="I179" i="217"/>
  <c r="J178" i="217" s="1"/>
  <c r="H179" i="217"/>
  <c r="G179" i="217"/>
  <c r="F179" i="217"/>
  <c r="E179" i="217"/>
  <c r="E178" i="217" s="1"/>
  <c r="D179" i="217"/>
  <c r="J175" i="217"/>
  <c r="I175" i="217"/>
  <c r="H175" i="217"/>
  <c r="G175" i="217"/>
  <c r="F175" i="217"/>
  <c r="E175" i="217"/>
  <c r="D175" i="217"/>
  <c r="D176" i="217" s="1"/>
  <c r="D174" i="217"/>
  <c r="J171" i="217"/>
  <c r="I171" i="217"/>
  <c r="H171" i="217"/>
  <c r="G171" i="217"/>
  <c r="F171" i="217"/>
  <c r="E171" i="217"/>
  <c r="D171" i="217"/>
  <c r="J170" i="217"/>
  <c r="I170" i="217"/>
  <c r="H170" i="217"/>
  <c r="G170" i="217"/>
  <c r="F170" i="217"/>
  <c r="E170" i="217"/>
  <c r="D170" i="217"/>
  <c r="J167" i="217"/>
  <c r="K167" i="217" s="1"/>
  <c r="L167" i="217" s="1"/>
  <c r="M167" i="217" s="1"/>
  <c r="N167" i="217" s="1"/>
  <c r="O167" i="217" s="1"/>
  <c r="P167" i="217" s="1"/>
  <c r="Q167" i="217" s="1"/>
  <c r="R167" i="217" s="1"/>
  <c r="S167" i="217" s="1"/>
  <c r="T167" i="217" s="1"/>
  <c r="I167" i="217"/>
  <c r="H167" i="217"/>
  <c r="G167" i="217"/>
  <c r="F167" i="217"/>
  <c r="E167" i="217"/>
  <c r="D167" i="217"/>
  <c r="J163" i="217"/>
  <c r="J165" i="217"/>
  <c r="K165" i="217" s="1"/>
  <c r="L165" i="217"/>
  <c r="M165" i="217" s="1"/>
  <c r="N165" i="217" s="1"/>
  <c r="O165" i="217" s="1"/>
  <c r="P165" i="217"/>
  <c r="Q165" i="217" s="1"/>
  <c r="R165" i="217" s="1"/>
  <c r="S165" i="217" s="1"/>
  <c r="T165" i="217" s="1"/>
  <c r="I163" i="217"/>
  <c r="H163" i="217"/>
  <c r="H165" i="217" s="1"/>
  <c r="G163" i="217"/>
  <c r="F163" i="217"/>
  <c r="F165" i="217"/>
  <c r="E163" i="217"/>
  <c r="D163" i="217"/>
  <c r="J159" i="217"/>
  <c r="I159" i="217"/>
  <c r="H159" i="217"/>
  <c r="G159" i="217"/>
  <c r="F159" i="217"/>
  <c r="E159" i="217"/>
  <c r="D159" i="217"/>
  <c r="J158" i="217"/>
  <c r="I158" i="217"/>
  <c r="I62" i="217" s="1"/>
  <c r="H158" i="217"/>
  <c r="H62" i="217" s="1"/>
  <c r="G158" i="217"/>
  <c r="F158" i="217"/>
  <c r="E158" i="217"/>
  <c r="E62" i="217"/>
  <c r="D158" i="217"/>
  <c r="J157" i="217"/>
  <c r="K157" i="217" s="1"/>
  <c r="L157" i="217" s="1"/>
  <c r="M157" i="217" s="1"/>
  <c r="N157" i="217" s="1"/>
  <c r="O157" i="217" s="1"/>
  <c r="P157" i="217" s="1"/>
  <c r="Q157" i="217" s="1"/>
  <c r="R157" i="217" s="1"/>
  <c r="S157" i="217" s="1"/>
  <c r="T157" i="217" s="1"/>
  <c r="I157" i="217"/>
  <c r="H157" i="217"/>
  <c r="G157" i="217"/>
  <c r="F157" i="217"/>
  <c r="E157" i="217"/>
  <c r="D157" i="217"/>
  <c r="J156" i="217"/>
  <c r="I156" i="217"/>
  <c r="H156" i="217"/>
  <c r="G156" i="217"/>
  <c r="F156" i="217"/>
  <c r="E156" i="217"/>
  <c r="D156" i="217"/>
  <c r="J155" i="217"/>
  <c r="K155" i="217" s="1"/>
  <c r="L155" i="217" s="1"/>
  <c r="I155" i="217"/>
  <c r="H155" i="217"/>
  <c r="G155" i="217"/>
  <c r="F155" i="217"/>
  <c r="E155" i="217"/>
  <c r="D155" i="217"/>
  <c r="D154" i="217"/>
  <c r="E144" i="217"/>
  <c r="D144" i="217"/>
  <c r="J141" i="217"/>
  <c r="I141" i="217"/>
  <c r="H141" i="217"/>
  <c r="G141" i="217"/>
  <c r="F141" i="217"/>
  <c r="E141" i="217"/>
  <c r="D141" i="217"/>
  <c r="J140" i="217"/>
  <c r="I140" i="217"/>
  <c r="H140" i="217"/>
  <c r="G140" i="217"/>
  <c r="F140" i="217"/>
  <c r="E140" i="217"/>
  <c r="D140" i="217"/>
  <c r="J139" i="217"/>
  <c r="J149" i="217" s="1"/>
  <c r="I139" i="217"/>
  <c r="I149" i="217" s="1"/>
  <c r="H139" i="217"/>
  <c r="H149" i="217" s="1"/>
  <c r="G139" i="217"/>
  <c r="G149" i="217" s="1"/>
  <c r="F139" i="217"/>
  <c r="F149" i="217" s="1"/>
  <c r="E139" i="217"/>
  <c r="E149" i="217" s="1"/>
  <c r="D139" i="217"/>
  <c r="D149" i="217" s="1"/>
  <c r="J138" i="217"/>
  <c r="H138" i="217"/>
  <c r="G138" i="217"/>
  <c r="F138" i="217"/>
  <c r="E138" i="217"/>
  <c r="D138" i="217"/>
  <c r="T135" i="217"/>
  <c r="S135" i="217"/>
  <c r="R135" i="217"/>
  <c r="Q135" i="217"/>
  <c r="P135" i="217"/>
  <c r="O135" i="217"/>
  <c r="N135" i="217"/>
  <c r="M135" i="217"/>
  <c r="L135" i="217"/>
  <c r="K135" i="217"/>
  <c r="J135" i="217"/>
  <c r="I135" i="217"/>
  <c r="H135" i="217"/>
  <c r="G135" i="217"/>
  <c r="F135" i="217"/>
  <c r="E135" i="217"/>
  <c r="D135" i="217"/>
  <c r="J134" i="217"/>
  <c r="I134" i="217"/>
  <c r="H134" i="217"/>
  <c r="H133" i="217" s="1"/>
  <c r="G134" i="217"/>
  <c r="F134" i="217"/>
  <c r="E134" i="217"/>
  <c r="D134" i="217"/>
  <c r="D133" i="217" s="1"/>
  <c r="J132" i="217"/>
  <c r="I132" i="217"/>
  <c r="H132" i="217"/>
  <c r="G132" i="217"/>
  <c r="F132" i="217"/>
  <c r="E132" i="217"/>
  <c r="D132" i="217"/>
  <c r="J131" i="217"/>
  <c r="J65" i="217" s="1"/>
  <c r="I131" i="217"/>
  <c r="I65" i="217" s="1"/>
  <c r="H131" i="217"/>
  <c r="G131" i="217"/>
  <c r="F131" i="217"/>
  <c r="E131" i="217"/>
  <c r="E65" i="217"/>
  <c r="D131" i="217"/>
  <c r="J130" i="217"/>
  <c r="J148" i="217" s="1"/>
  <c r="I130" i="217"/>
  <c r="I148" i="217" s="1"/>
  <c r="H130" i="217"/>
  <c r="H148" i="217" s="1"/>
  <c r="G130" i="217"/>
  <c r="G148" i="217" s="1"/>
  <c r="F130" i="217"/>
  <c r="F148" i="217" s="1"/>
  <c r="E130" i="217"/>
  <c r="E148" i="217" s="1"/>
  <c r="D130" i="217"/>
  <c r="D148" i="217" s="1"/>
  <c r="J129" i="217"/>
  <c r="I129" i="217"/>
  <c r="H129" i="217"/>
  <c r="G129" i="217"/>
  <c r="F129" i="217"/>
  <c r="E129" i="217"/>
  <c r="D129" i="217"/>
  <c r="J128" i="217"/>
  <c r="J196" i="217"/>
  <c r="I128" i="217"/>
  <c r="I196" i="217" s="1"/>
  <c r="H128" i="217"/>
  <c r="H196" i="217"/>
  <c r="G128" i="217"/>
  <c r="G196" i="217" s="1"/>
  <c r="F128" i="217"/>
  <c r="F196" i="217"/>
  <c r="E128" i="217"/>
  <c r="E196" i="217" s="1"/>
  <c r="D128" i="217"/>
  <c r="D196" i="217"/>
  <c r="J125" i="217"/>
  <c r="K125" i="217" s="1"/>
  <c r="L125" i="217" s="1"/>
  <c r="M125" i="217" s="1"/>
  <c r="N125" i="217" s="1"/>
  <c r="O125" i="217" s="1"/>
  <c r="P125" i="217" s="1"/>
  <c r="Q125" i="217" s="1"/>
  <c r="R125" i="217" s="1"/>
  <c r="S125" i="217" s="1"/>
  <c r="T125" i="217" s="1"/>
  <c r="I125" i="217"/>
  <c r="H125" i="217"/>
  <c r="G125" i="217"/>
  <c r="F125" i="217"/>
  <c r="E125" i="217"/>
  <c r="D125" i="217"/>
  <c r="J124" i="217"/>
  <c r="I124" i="217"/>
  <c r="I61" i="217"/>
  <c r="I60" i="217" s="1"/>
  <c r="I64" i="217" s="1"/>
  <c r="H124" i="217"/>
  <c r="G124" i="217"/>
  <c r="F124" i="217"/>
  <c r="E124" i="217"/>
  <c r="D124" i="217"/>
  <c r="J123" i="217"/>
  <c r="H123" i="217"/>
  <c r="G123" i="217"/>
  <c r="F123" i="217"/>
  <c r="E123" i="217"/>
  <c r="D123" i="217"/>
  <c r="I122" i="217"/>
  <c r="I145" i="217"/>
  <c r="H122" i="217"/>
  <c r="H145" i="217" s="1"/>
  <c r="G122" i="217"/>
  <c r="G145" i="217"/>
  <c r="E122" i="217"/>
  <c r="E145" i="217"/>
  <c r="D122" i="217"/>
  <c r="T119" i="217"/>
  <c r="S119" i="217"/>
  <c r="R119" i="217"/>
  <c r="Q119" i="217"/>
  <c r="P119" i="217"/>
  <c r="O119" i="217"/>
  <c r="N119" i="217"/>
  <c r="M119" i="217"/>
  <c r="L119" i="217"/>
  <c r="K119" i="217"/>
  <c r="J119" i="217"/>
  <c r="I119" i="217"/>
  <c r="H119" i="217"/>
  <c r="G119" i="217"/>
  <c r="F119" i="217"/>
  <c r="E119" i="217"/>
  <c r="D119" i="217"/>
  <c r="J118" i="217"/>
  <c r="K118" i="217"/>
  <c r="L118" i="217" s="1"/>
  <c r="M118" i="217" s="1"/>
  <c r="N118" i="217" s="1"/>
  <c r="O118" i="217"/>
  <c r="P118" i="217" s="1"/>
  <c r="Q118" i="217" s="1"/>
  <c r="R118" i="217" s="1"/>
  <c r="S118" i="217"/>
  <c r="T118" i="217" s="1"/>
  <c r="H118" i="217"/>
  <c r="G118" i="217"/>
  <c r="F118" i="217"/>
  <c r="J117" i="217"/>
  <c r="I117" i="217"/>
  <c r="H117" i="217"/>
  <c r="G117" i="217"/>
  <c r="F117" i="217"/>
  <c r="E117" i="217"/>
  <c r="D117" i="217"/>
  <c r="J116" i="217"/>
  <c r="I116" i="217"/>
  <c r="H116" i="217"/>
  <c r="H61" i="217"/>
  <c r="G116" i="217"/>
  <c r="F116" i="217"/>
  <c r="E116" i="217"/>
  <c r="T115" i="217"/>
  <c r="S115" i="217"/>
  <c r="R115" i="217"/>
  <c r="Q115" i="217"/>
  <c r="P115" i="217"/>
  <c r="O115" i="217"/>
  <c r="N115" i="217"/>
  <c r="M115" i="217"/>
  <c r="L115" i="217"/>
  <c r="K115" i="217"/>
  <c r="J115" i="217"/>
  <c r="I115" i="217"/>
  <c r="H115" i="217"/>
  <c r="G115" i="217"/>
  <c r="F115" i="217"/>
  <c r="E115" i="217"/>
  <c r="D115" i="217"/>
  <c r="D114" i="217"/>
  <c r="J111" i="217"/>
  <c r="I111" i="217"/>
  <c r="H111" i="217"/>
  <c r="G111" i="217"/>
  <c r="F111" i="217"/>
  <c r="E111" i="217"/>
  <c r="D111" i="217"/>
  <c r="J110" i="217"/>
  <c r="I110" i="217"/>
  <c r="H110" i="217"/>
  <c r="G110" i="217"/>
  <c r="F110" i="217"/>
  <c r="E110" i="217"/>
  <c r="D110" i="217"/>
  <c r="T105" i="217"/>
  <c r="S105" i="217"/>
  <c r="R105" i="217"/>
  <c r="Q105" i="217"/>
  <c r="P105" i="217"/>
  <c r="O105" i="217"/>
  <c r="N105" i="217"/>
  <c r="M105" i="217"/>
  <c r="L105" i="217"/>
  <c r="K105" i="217"/>
  <c r="J105" i="217"/>
  <c r="I105" i="217"/>
  <c r="H105" i="217"/>
  <c r="G105" i="217"/>
  <c r="F105" i="217"/>
  <c r="E105" i="217"/>
  <c r="D105" i="217"/>
  <c r="P100" i="217"/>
  <c r="O100" i="217"/>
  <c r="N100" i="217"/>
  <c r="M100" i="217"/>
  <c r="L100" i="217"/>
  <c r="K100" i="217"/>
  <c r="J100" i="217"/>
  <c r="I100" i="217"/>
  <c r="H100" i="217"/>
  <c r="G100" i="217"/>
  <c r="F100" i="217"/>
  <c r="E100" i="217"/>
  <c r="D100" i="217"/>
  <c r="J99" i="217"/>
  <c r="I99" i="217"/>
  <c r="H99" i="217"/>
  <c r="G99" i="217"/>
  <c r="F99" i="217"/>
  <c r="E99" i="217"/>
  <c r="D99" i="217"/>
  <c r="J86" i="217"/>
  <c r="I86" i="217"/>
  <c r="H86" i="217"/>
  <c r="G86" i="217"/>
  <c r="F86" i="217"/>
  <c r="E86" i="217"/>
  <c r="D86" i="217"/>
  <c r="J85" i="217"/>
  <c r="I85" i="217"/>
  <c r="H85" i="217"/>
  <c r="G85" i="217"/>
  <c r="F85" i="217"/>
  <c r="E85" i="217"/>
  <c r="D85" i="217"/>
  <c r="J84" i="217"/>
  <c r="I84" i="217"/>
  <c r="H84" i="217"/>
  <c r="G84" i="217"/>
  <c r="F84" i="217"/>
  <c r="E84" i="217"/>
  <c r="D84" i="217"/>
  <c r="J83" i="217"/>
  <c r="I83" i="217"/>
  <c r="H83" i="217"/>
  <c r="G83" i="217"/>
  <c r="F83" i="217"/>
  <c r="E83" i="217"/>
  <c r="D83" i="217"/>
  <c r="J82" i="217"/>
  <c r="I82" i="217"/>
  <c r="H82" i="217"/>
  <c r="G82" i="217"/>
  <c r="F82" i="217"/>
  <c r="E82" i="217"/>
  <c r="D82" i="217"/>
  <c r="J79" i="217"/>
  <c r="I79" i="217"/>
  <c r="H79" i="217"/>
  <c r="G79" i="217"/>
  <c r="F79" i="217"/>
  <c r="E79" i="217"/>
  <c r="D79" i="217"/>
  <c r="J78" i="217"/>
  <c r="I78" i="217"/>
  <c r="H78" i="217"/>
  <c r="G78" i="217"/>
  <c r="F78" i="217"/>
  <c r="E78" i="217"/>
  <c r="D78" i="217"/>
  <c r="J75" i="217"/>
  <c r="I75" i="217"/>
  <c r="H75" i="217"/>
  <c r="G75" i="217"/>
  <c r="F75" i="217"/>
  <c r="E75" i="217"/>
  <c r="D75" i="217"/>
  <c r="J74" i="217"/>
  <c r="I74" i="217"/>
  <c r="H74" i="217"/>
  <c r="G74" i="217"/>
  <c r="F74" i="217"/>
  <c r="E74" i="217"/>
  <c r="D74" i="217"/>
  <c r="J73" i="217"/>
  <c r="I73" i="217"/>
  <c r="H73" i="217"/>
  <c r="G73" i="217"/>
  <c r="F73" i="217"/>
  <c r="E73" i="217"/>
  <c r="D73" i="217"/>
  <c r="J70" i="217"/>
  <c r="I70" i="217"/>
  <c r="H70" i="217"/>
  <c r="G70" i="217"/>
  <c r="F70" i="217"/>
  <c r="E70" i="217"/>
  <c r="D70" i="217"/>
  <c r="D69" i="217"/>
  <c r="H65" i="217"/>
  <c r="F65" i="217"/>
  <c r="D65" i="217"/>
  <c r="J63" i="217"/>
  <c r="I63" i="217"/>
  <c r="H63" i="217"/>
  <c r="G63" i="217"/>
  <c r="F63" i="217"/>
  <c r="E63" i="217"/>
  <c r="D63" i="217"/>
  <c r="J62" i="217"/>
  <c r="G62" i="217"/>
  <c r="G60" i="217" s="1"/>
  <c r="G64" i="217" s="1"/>
  <c r="F62" i="217"/>
  <c r="D62" i="217"/>
  <c r="G61" i="217"/>
  <c r="E61" i="217"/>
  <c r="E60" i="217" s="1"/>
  <c r="E64" i="217" s="1"/>
  <c r="E66" i="217" s="1"/>
  <c r="E67" i="217" s="1"/>
  <c r="T57" i="217"/>
  <c r="S57" i="217"/>
  <c r="R57" i="217"/>
  <c r="Q57" i="217"/>
  <c r="P57" i="217"/>
  <c r="O57" i="217"/>
  <c r="N57" i="217"/>
  <c r="M57" i="217"/>
  <c r="L57" i="217"/>
  <c r="K57" i="217"/>
  <c r="J57" i="217"/>
  <c r="J55" i="217"/>
  <c r="I57" i="217"/>
  <c r="I55" i="217"/>
  <c r="H57" i="217"/>
  <c r="G57" i="217"/>
  <c r="F57" i="217"/>
  <c r="F55" i="217"/>
  <c r="E57" i="217"/>
  <c r="E55" i="217"/>
  <c r="D57" i="217"/>
  <c r="J56" i="217"/>
  <c r="I56" i="217"/>
  <c r="H56" i="217"/>
  <c r="H19" i="217" s="1"/>
  <c r="G56" i="217"/>
  <c r="F56" i="217"/>
  <c r="E56" i="217"/>
  <c r="D56" i="217"/>
  <c r="H55" i="217"/>
  <c r="D55" i="217"/>
  <c r="J52" i="217"/>
  <c r="J18" i="217" s="1"/>
  <c r="I52" i="217"/>
  <c r="I18" i="217" s="1"/>
  <c r="I19" i="217" s="1"/>
  <c r="H52" i="217"/>
  <c r="H18" i="217" s="1"/>
  <c r="G52" i="217"/>
  <c r="G18" i="217" s="1"/>
  <c r="F52" i="217"/>
  <c r="F18" i="217" s="1"/>
  <c r="E52" i="217"/>
  <c r="E18" i="217" s="1"/>
  <c r="E19" i="217" s="1"/>
  <c r="D52" i="217"/>
  <c r="D18" i="217" s="1"/>
  <c r="J49" i="217"/>
  <c r="I49" i="217"/>
  <c r="H49" i="217"/>
  <c r="H50" i="217" s="1"/>
  <c r="G49" i="217"/>
  <c r="F49" i="217"/>
  <c r="E49" i="217"/>
  <c r="D49" i="217"/>
  <c r="D50" i="217" s="1"/>
  <c r="J48" i="217"/>
  <c r="I48" i="217"/>
  <c r="H48" i="217"/>
  <c r="G48" i="217"/>
  <c r="G50" i="217" s="1"/>
  <c r="G51" i="217" s="1"/>
  <c r="F48" i="217"/>
  <c r="E48" i="217"/>
  <c r="D48" i="217"/>
  <c r="J47" i="217"/>
  <c r="J50" i="217" s="1"/>
  <c r="I47" i="217"/>
  <c r="H47" i="217"/>
  <c r="G47" i="217"/>
  <c r="F47" i="217"/>
  <c r="F50" i="217" s="1"/>
  <c r="E47" i="217"/>
  <c r="D47" i="217"/>
  <c r="J37" i="217"/>
  <c r="I37" i="217"/>
  <c r="I38" i="217" s="1"/>
  <c r="H37" i="217"/>
  <c r="G37" i="217"/>
  <c r="F37" i="217"/>
  <c r="E37" i="217"/>
  <c r="E38" i="217" s="1"/>
  <c r="J27" i="217"/>
  <c r="G27" i="217"/>
  <c r="F27" i="217"/>
  <c r="J22" i="217"/>
  <c r="I22" i="217"/>
  <c r="H22" i="217"/>
  <c r="G22" i="217"/>
  <c r="F22" i="217"/>
  <c r="E22" i="217"/>
  <c r="D22" i="217"/>
  <c r="J15" i="217"/>
  <c r="I15" i="217"/>
  <c r="H15" i="217"/>
  <c r="G15" i="217"/>
  <c r="F15" i="217"/>
  <c r="E15" i="217"/>
  <c r="D15" i="217"/>
  <c r="C1" i="217"/>
  <c r="D220" i="211"/>
  <c r="C220" i="211"/>
  <c r="I197" i="211"/>
  <c r="J144" i="219" s="1"/>
  <c r="J144" i="217"/>
  <c r="H197" i="211"/>
  <c r="I144" i="219" s="1"/>
  <c r="I144" i="217"/>
  <c r="G197" i="211"/>
  <c r="H144" i="219" s="1"/>
  <c r="H144" i="217"/>
  <c r="F197" i="211"/>
  <c r="G144" i="219" s="1"/>
  <c r="G146" i="219" s="1"/>
  <c r="G144" i="217"/>
  <c r="E197" i="211"/>
  <c r="F144" i="219" s="1"/>
  <c r="F144" i="217"/>
  <c r="J61" i="217"/>
  <c r="F61" i="217"/>
  <c r="G38" i="217"/>
  <c r="H38" i="217"/>
  <c r="H61" i="219"/>
  <c r="H60" i="219"/>
  <c r="H145" i="219"/>
  <c r="H146" i="219" s="1"/>
  <c r="D145" i="217"/>
  <c r="D38" i="217"/>
  <c r="D104" i="217"/>
  <c r="M178" i="217"/>
  <c r="S178" i="217"/>
  <c r="D76" i="217"/>
  <c r="G185" i="217"/>
  <c r="F60" i="217"/>
  <c r="F64" i="217" s="1"/>
  <c r="H60" i="217"/>
  <c r="H64" i="217" s="1"/>
  <c r="H66" i="217" s="1"/>
  <c r="H67" i="217" s="1"/>
  <c r="J60" i="217"/>
  <c r="J64" i="217" s="1"/>
  <c r="K117" i="217"/>
  <c r="K22" i="217"/>
  <c r="D227" i="217"/>
  <c r="H227" i="217"/>
  <c r="I191" i="217"/>
  <c r="I195" i="217" s="1"/>
  <c r="D204" i="217"/>
  <c r="H204" i="217"/>
  <c r="J102" i="217"/>
  <c r="E101" i="217"/>
  <c r="I101" i="217"/>
  <c r="I103" i="217"/>
  <c r="D101" i="217"/>
  <c r="G204" i="217"/>
  <c r="E50" i="217"/>
  <c r="E51" i="217"/>
  <c r="I50" i="217"/>
  <c r="I51" i="217"/>
  <c r="E9" i="217"/>
  <c r="E213" i="217"/>
  <c r="F215" i="217"/>
  <c r="J215" i="217"/>
  <c r="K222" i="217"/>
  <c r="M222" i="217"/>
  <c r="Q222" i="217"/>
  <c r="S222" i="217"/>
  <c r="I66" i="217"/>
  <c r="I67" i="217" s="1"/>
  <c r="E76" i="217"/>
  <c r="E77" i="217" s="1"/>
  <c r="G76" i="217"/>
  <c r="G77" i="217" s="1"/>
  <c r="G80" i="217" s="1"/>
  <c r="I76" i="217"/>
  <c r="I77" i="217" s="1"/>
  <c r="I80" i="217" s="1"/>
  <c r="G213" i="217"/>
  <c r="I213" i="217"/>
  <c r="E218" i="217"/>
  <c r="E255" i="217"/>
  <c r="G218" i="217"/>
  <c r="G255" i="217" s="1"/>
  <c r="I218" i="217"/>
  <c r="I255" i="217"/>
  <c r="E222" i="217"/>
  <c r="I222" i="217"/>
  <c r="J19" i="217"/>
  <c r="D160" i="217"/>
  <c r="E154" i="217" s="1"/>
  <c r="E160" i="217" s="1"/>
  <c r="F154" i="217" s="1"/>
  <c r="F160" i="217" s="1"/>
  <c r="F185" i="217"/>
  <c r="H185" i="217"/>
  <c r="F213" i="217"/>
  <c r="H213" i="217"/>
  <c r="J213" i="217"/>
  <c r="E215" i="217"/>
  <c r="G215" i="217"/>
  <c r="I215" i="217"/>
  <c r="F218" i="217"/>
  <c r="F251" i="217" s="1"/>
  <c r="H218" i="217"/>
  <c r="H251" i="217"/>
  <c r="J218" i="217"/>
  <c r="J255" i="217" s="1"/>
  <c r="F222" i="217"/>
  <c r="H222" i="217"/>
  <c r="J222" i="217"/>
  <c r="L222" i="217"/>
  <c r="N222" i="217"/>
  <c r="P222" i="217"/>
  <c r="R222" i="217"/>
  <c r="T222" i="217"/>
  <c r="E224" i="217"/>
  <c r="G224" i="217"/>
  <c r="I224" i="217"/>
  <c r="S231" i="217"/>
  <c r="Q231" i="217"/>
  <c r="O231" i="217"/>
  <c r="M231" i="217"/>
  <c r="K231" i="217"/>
  <c r="K219" i="217"/>
  <c r="T231" i="217"/>
  <c r="R231" i="217"/>
  <c r="P231" i="217"/>
  <c r="N231" i="217"/>
  <c r="L231" i="217"/>
  <c r="H178" i="217"/>
  <c r="F178" i="217"/>
  <c r="D178" i="217"/>
  <c r="I174" i="217"/>
  <c r="I176" i="217" s="1"/>
  <c r="G174" i="217"/>
  <c r="G176" i="217" s="1"/>
  <c r="E174" i="217"/>
  <c r="E176" i="217" s="1"/>
  <c r="I178" i="217"/>
  <c r="G178" i="217"/>
  <c r="J174" i="217"/>
  <c r="J176" i="217" s="1"/>
  <c r="H174" i="217"/>
  <c r="H176" i="217" s="1"/>
  <c r="F174" i="217"/>
  <c r="F176" i="217" s="1"/>
  <c r="J95" i="217"/>
  <c r="H95" i="217"/>
  <c r="H253" i="217" s="1"/>
  <c r="F95" i="217"/>
  <c r="D95" i="217"/>
  <c r="D96" i="217"/>
  <c r="J89" i="217"/>
  <c r="J248" i="217" s="1"/>
  <c r="H89" i="217"/>
  <c r="F89" i="217"/>
  <c r="D89" i="217"/>
  <c r="K69" i="217"/>
  <c r="I69" i="217"/>
  <c r="G69" i="217"/>
  <c r="E69" i="217"/>
  <c r="I95" i="217"/>
  <c r="I252" i="217" s="1"/>
  <c r="G95" i="217"/>
  <c r="E95" i="217"/>
  <c r="I89" i="217"/>
  <c r="I248" i="217" s="1"/>
  <c r="G89" i="217"/>
  <c r="G90" i="217" s="1"/>
  <c r="E89" i="217"/>
  <c r="K70" i="217"/>
  <c r="J69" i="217"/>
  <c r="H69" i="217"/>
  <c r="F69" i="217"/>
  <c r="G146" i="217"/>
  <c r="I146" i="217"/>
  <c r="I147" i="217" s="1"/>
  <c r="F238" i="217"/>
  <c r="H238" i="217"/>
  <c r="J238" i="217"/>
  <c r="D77" i="217"/>
  <c r="K99" i="217"/>
  <c r="L99" i="217" s="1"/>
  <c r="M99" i="217" s="1"/>
  <c r="N99" i="217" s="1"/>
  <c r="O99" i="217" s="1"/>
  <c r="K116" i="217"/>
  <c r="E133" i="217"/>
  <c r="G133" i="217"/>
  <c r="I133" i="217"/>
  <c r="H146" i="217"/>
  <c r="H147" i="217"/>
  <c r="K179" i="217"/>
  <c r="E238" i="217"/>
  <c r="G238" i="217"/>
  <c r="I238" i="217"/>
  <c r="D164" i="217"/>
  <c r="F76" i="217"/>
  <c r="F77" i="217" s="1"/>
  <c r="H76" i="217"/>
  <c r="H77" i="217" s="1"/>
  <c r="J76" i="217"/>
  <c r="K128" i="217"/>
  <c r="F133" i="217"/>
  <c r="J133" i="217"/>
  <c r="K156" i="217"/>
  <c r="L156" i="217" s="1"/>
  <c r="K158" i="217"/>
  <c r="E251" i="217"/>
  <c r="E241" i="217"/>
  <c r="G251" i="217"/>
  <c r="I241" i="217"/>
  <c r="E165" i="217"/>
  <c r="I165" i="217"/>
  <c r="F191" i="217"/>
  <c r="F195" i="217" s="1"/>
  <c r="H191" i="217"/>
  <c r="H195" i="217" s="1"/>
  <c r="J191" i="217"/>
  <c r="J195" i="217" s="1"/>
  <c r="K195" i="217" s="1"/>
  <c r="J204" i="217"/>
  <c r="F246" i="217"/>
  <c r="F236" i="217"/>
  <c r="J251" i="217"/>
  <c r="K218" i="217"/>
  <c r="K226" i="217"/>
  <c r="L226" i="217" s="1"/>
  <c r="M226" i="217" s="1"/>
  <c r="N226" i="217" s="1"/>
  <c r="O226" i="217" s="1"/>
  <c r="P226" i="217" s="1"/>
  <c r="Q226" i="217" s="1"/>
  <c r="R226" i="217" s="1"/>
  <c r="S226" i="217" s="1"/>
  <c r="T226" i="217" s="1"/>
  <c r="F224" i="217"/>
  <c r="H224" i="217"/>
  <c r="J224" i="217"/>
  <c r="E225" i="217"/>
  <c r="G225" i="217"/>
  <c r="I225" i="217"/>
  <c r="E227" i="217"/>
  <c r="G227" i="217"/>
  <c r="I227" i="217"/>
  <c r="I228" i="217" s="1"/>
  <c r="D225" i="217"/>
  <c r="F225" i="217"/>
  <c r="H225" i="217"/>
  <c r="J225" i="217"/>
  <c r="H255" i="217"/>
  <c r="G228" i="217"/>
  <c r="H236" i="217"/>
  <c r="I251" i="217"/>
  <c r="I194" i="217"/>
  <c r="I197" i="217" s="1"/>
  <c r="I28" i="217" s="1"/>
  <c r="E228" i="217"/>
  <c r="J236" i="217"/>
  <c r="J246" i="217"/>
  <c r="F241" i="217"/>
  <c r="I236" i="217"/>
  <c r="I246" i="217"/>
  <c r="E236" i="217"/>
  <c r="E246" i="217"/>
  <c r="G38" i="219"/>
  <c r="I145" i="219"/>
  <c r="I146" i="219" s="1"/>
  <c r="H147" i="219"/>
  <c r="H150" i="219" s="1"/>
  <c r="H151" i="219" s="1"/>
  <c r="H246" i="217"/>
  <c r="G241" i="217"/>
  <c r="H241" i="217"/>
  <c r="G236" i="217"/>
  <c r="G246" i="217"/>
  <c r="E10" i="217"/>
  <c r="H206" i="217"/>
  <c r="H34" i="217"/>
  <c r="D206" i="217"/>
  <c r="D34" i="217"/>
  <c r="F206" i="217"/>
  <c r="F34" i="217"/>
  <c r="G206" i="217"/>
  <c r="G34" i="217"/>
  <c r="I9" i="217"/>
  <c r="G9" i="217"/>
  <c r="K82" i="217"/>
  <c r="K241" i="217"/>
  <c r="K171" i="217"/>
  <c r="J206" i="217"/>
  <c r="J34" i="217"/>
  <c r="I35" i="217"/>
  <c r="I243" i="217"/>
  <c r="I150" i="217"/>
  <c r="I151" i="217" s="1"/>
  <c r="G248" i="217"/>
  <c r="H248" i="217"/>
  <c r="H90" i="217"/>
  <c r="K174" i="217"/>
  <c r="L174" i="217" s="1"/>
  <c r="M174" i="217" s="1"/>
  <c r="N174" i="217" s="1"/>
  <c r="O174" i="217" s="1"/>
  <c r="P174" i="217" s="1"/>
  <c r="Q174" i="217" s="1"/>
  <c r="R174" i="217" s="1"/>
  <c r="S174" i="217" s="1"/>
  <c r="T174" i="217" s="1"/>
  <c r="J228" i="217"/>
  <c r="F228" i="217"/>
  <c r="K186" i="217"/>
  <c r="D80" i="217"/>
  <c r="H197" i="217"/>
  <c r="H28" i="217" s="1"/>
  <c r="K62" i="217"/>
  <c r="E164" i="217"/>
  <c r="K124" i="217"/>
  <c r="L116" i="217"/>
  <c r="K61" i="217"/>
  <c r="E90" i="217"/>
  <c r="G253" i="217"/>
  <c r="G96" i="217"/>
  <c r="F248" i="217"/>
  <c r="F90" i="217"/>
  <c r="J90" i="217"/>
  <c r="F96" i="217"/>
  <c r="H228" i="217"/>
  <c r="K183" i="217"/>
  <c r="J77" i="217"/>
  <c r="L117" i="217"/>
  <c r="K83" i="217"/>
  <c r="I61" i="219"/>
  <c r="I60" i="219"/>
  <c r="F31" i="217"/>
  <c r="F30" i="217"/>
  <c r="H31" i="217"/>
  <c r="H30" i="217"/>
  <c r="J243" i="217"/>
  <c r="J80" i="217"/>
  <c r="M116" i="217"/>
  <c r="M117" i="217"/>
  <c r="J30" i="217"/>
  <c r="J31" i="217"/>
  <c r="L124" i="217"/>
  <c r="L61" i="217" s="1"/>
  <c r="E183" i="217"/>
  <c r="E185" i="217" s="1"/>
  <c r="D183" i="217"/>
  <c r="D185" i="217" s="1"/>
  <c r="D126" i="211"/>
  <c r="C126" i="211"/>
  <c r="D191" i="219" s="1"/>
  <c r="I7" i="210"/>
  <c r="H7" i="210"/>
  <c r="G7" i="210"/>
  <c r="F7" i="210"/>
  <c r="E7" i="210"/>
  <c r="I147" i="219"/>
  <c r="C176" i="211"/>
  <c r="M124" i="217"/>
  <c r="N117" i="217"/>
  <c r="N116" i="217"/>
  <c r="D89" i="211"/>
  <c r="E118" i="219" s="1"/>
  <c r="E118" i="217"/>
  <c r="D118" i="217"/>
  <c r="D66" i="211"/>
  <c r="K163" i="219"/>
  <c r="J61" i="219"/>
  <c r="J60" i="219"/>
  <c r="J64" i="219" s="1"/>
  <c r="J66" i="219" s="1"/>
  <c r="J67" i="219" s="1"/>
  <c r="O116" i="217"/>
  <c r="O117" i="217"/>
  <c r="E199" i="214"/>
  <c r="E200" i="214"/>
  <c r="E202" i="214"/>
  <c r="E205" i="214"/>
  <c r="E211" i="214"/>
  <c r="F199" i="214"/>
  <c r="F200" i="214"/>
  <c r="F202" i="214"/>
  <c r="F205" i="214"/>
  <c r="F211" i="214"/>
  <c r="G199" i="214"/>
  <c r="G200" i="214"/>
  <c r="G202" i="214"/>
  <c r="G205" i="214"/>
  <c r="G211" i="214"/>
  <c r="H199" i="214"/>
  <c r="H200" i="214"/>
  <c r="H202" i="214"/>
  <c r="H205" i="214"/>
  <c r="H211" i="214"/>
  <c r="I199" i="214"/>
  <c r="I200" i="214"/>
  <c r="I202" i="214"/>
  <c r="I205" i="214"/>
  <c r="I211" i="214"/>
  <c r="I212" i="214" s="1"/>
  <c r="J199" i="214"/>
  <c r="J200" i="214"/>
  <c r="J202" i="214"/>
  <c r="J205" i="214"/>
  <c r="J211" i="214"/>
  <c r="J214" i="214"/>
  <c r="I214" i="214"/>
  <c r="C1" i="214"/>
  <c r="J160" i="214"/>
  <c r="J162" i="214" s="1"/>
  <c r="K162" i="214" s="1"/>
  <c r="L162" i="214"/>
  <c r="M162" i="214" s="1"/>
  <c r="N162" i="214" s="1"/>
  <c r="O162" i="214" s="1"/>
  <c r="P162" i="214" s="1"/>
  <c r="Q162" i="214" s="1"/>
  <c r="R162" i="214" s="1"/>
  <c r="S162" i="214" s="1"/>
  <c r="T162" i="214" s="1"/>
  <c r="D151" i="214"/>
  <c r="D152" i="214"/>
  <c r="D155" i="214"/>
  <c r="D62" i="214"/>
  <c r="D153" i="214"/>
  <c r="D154" i="214"/>
  <c r="D156" i="214"/>
  <c r="E152" i="214"/>
  <c r="E155" i="214"/>
  <c r="E153" i="214"/>
  <c r="E154" i="214"/>
  <c r="E156" i="214"/>
  <c r="F152" i="214"/>
  <c r="F155" i="214"/>
  <c r="F62" i="214"/>
  <c r="F153" i="214"/>
  <c r="F154" i="214"/>
  <c r="F156" i="214"/>
  <c r="G152" i="214"/>
  <c r="G155" i="214"/>
  <c r="G62" i="214" s="1"/>
  <c r="G153" i="214"/>
  <c r="G154" i="214"/>
  <c r="G156" i="214"/>
  <c r="H152" i="214"/>
  <c r="H155" i="214"/>
  <c r="H62" i="214"/>
  <c r="H153" i="214"/>
  <c r="H154" i="214"/>
  <c r="H156" i="214"/>
  <c r="I152" i="214"/>
  <c r="I155" i="214"/>
  <c r="I62" i="214" s="1"/>
  <c r="I153" i="214"/>
  <c r="I154" i="214"/>
  <c r="I156" i="214"/>
  <c r="J152" i="214"/>
  <c r="J155" i="214"/>
  <c r="J153" i="214"/>
  <c r="J154" i="214"/>
  <c r="K154" i="214" s="1"/>
  <c r="L154" i="214" s="1"/>
  <c r="M154" i="214" s="1"/>
  <c r="N154" i="214" s="1"/>
  <c r="O154" i="214" s="1"/>
  <c r="P154" i="214" s="1"/>
  <c r="Q154" i="214" s="1"/>
  <c r="R154" i="214" s="1"/>
  <c r="S154" i="214" s="1"/>
  <c r="T154" i="214" s="1"/>
  <c r="J156" i="214"/>
  <c r="J167" i="214"/>
  <c r="J180" i="214"/>
  <c r="J179" i="214"/>
  <c r="H179" i="214"/>
  <c r="G179" i="214"/>
  <c r="I179" i="214"/>
  <c r="K181" i="214"/>
  <c r="J186" i="214"/>
  <c r="J187" i="214"/>
  <c r="K189" i="214"/>
  <c r="K190" i="214"/>
  <c r="J223" i="214"/>
  <c r="J220" i="214"/>
  <c r="J47" i="214"/>
  <c r="J48" i="214"/>
  <c r="J49" i="214"/>
  <c r="J52" i="214"/>
  <c r="J18" i="214" s="1"/>
  <c r="J56" i="214"/>
  <c r="J216" i="214"/>
  <c r="J141" i="214"/>
  <c r="J63" i="214"/>
  <c r="J113" i="214"/>
  <c r="J115" i="214"/>
  <c r="K115" i="214"/>
  <c r="L115" i="214" s="1"/>
  <c r="M115" i="214" s="1"/>
  <c r="N115" i="214" s="1"/>
  <c r="O115" i="214"/>
  <c r="P115" i="214" s="1"/>
  <c r="Q115" i="214" s="1"/>
  <c r="R115" i="214" s="1"/>
  <c r="S115" i="214" s="1"/>
  <c r="T115" i="214" s="1"/>
  <c r="J114" i="214"/>
  <c r="J121" i="214"/>
  <c r="K152" i="214"/>
  <c r="L152" i="214" s="1"/>
  <c r="M152" i="214" s="1"/>
  <c r="N152" i="214" s="1"/>
  <c r="O152" i="214" s="1"/>
  <c r="P152" i="214"/>
  <c r="Q152" i="214" s="1"/>
  <c r="R152" i="214" s="1"/>
  <c r="S152" i="214" s="1"/>
  <c r="T152" i="214"/>
  <c r="K57" i="214"/>
  <c r="E70" i="214"/>
  <c r="D70" i="214"/>
  <c r="D69" i="214"/>
  <c r="F70" i="214"/>
  <c r="G70" i="214"/>
  <c r="H70" i="214"/>
  <c r="I70" i="214"/>
  <c r="J70" i="214"/>
  <c r="J82" i="214"/>
  <c r="J83" i="214"/>
  <c r="J84" i="214"/>
  <c r="J73" i="214"/>
  <c r="J86" i="214"/>
  <c r="J74" i="214"/>
  <c r="J75" i="214"/>
  <c r="J99" i="214"/>
  <c r="K99" i="214"/>
  <c r="L99" i="214" s="1"/>
  <c r="M99" i="214"/>
  <c r="N99" i="214" s="1"/>
  <c r="O99" i="214" s="1"/>
  <c r="P99" i="214" s="1"/>
  <c r="Q99" i="214"/>
  <c r="R99" i="214" s="1"/>
  <c r="S99" i="214" s="1"/>
  <c r="T99" i="214" s="1"/>
  <c r="K100" i="214"/>
  <c r="K102" i="214"/>
  <c r="J22" i="214"/>
  <c r="D206" i="214"/>
  <c r="E206" i="214"/>
  <c r="F206" i="214" s="1"/>
  <c r="G206" i="214" s="1"/>
  <c r="H206" i="214" s="1"/>
  <c r="I206" i="214" s="1"/>
  <c r="J181" i="214"/>
  <c r="J189" i="214"/>
  <c r="J190" i="214"/>
  <c r="J120" i="214"/>
  <c r="D112" i="214"/>
  <c r="D114" i="214"/>
  <c r="D115" i="214"/>
  <c r="D116" i="214"/>
  <c r="E112" i="214"/>
  <c r="E113" i="214"/>
  <c r="E114" i="214"/>
  <c r="E116" i="214"/>
  <c r="F112" i="214"/>
  <c r="F113" i="214"/>
  <c r="F114" i="214"/>
  <c r="F115" i="214"/>
  <c r="F116" i="214"/>
  <c r="G112" i="214"/>
  <c r="G113" i="214"/>
  <c r="G114" i="214"/>
  <c r="G115" i="214"/>
  <c r="G116" i="214"/>
  <c r="H112" i="214"/>
  <c r="H113" i="214"/>
  <c r="H114" i="214"/>
  <c r="H115" i="214"/>
  <c r="H116" i="214"/>
  <c r="I112" i="214"/>
  <c r="I113" i="214"/>
  <c r="I114" i="214"/>
  <c r="I115" i="214"/>
  <c r="I116" i="214"/>
  <c r="J112" i="214"/>
  <c r="J116" i="214"/>
  <c r="K112" i="214"/>
  <c r="K116" i="214"/>
  <c r="D176" i="214"/>
  <c r="E176" i="214"/>
  <c r="F176" i="214"/>
  <c r="G176" i="214"/>
  <c r="H176" i="214"/>
  <c r="I176" i="214"/>
  <c r="J176" i="214"/>
  <c r="J125" i="214"/>
  <c r="J193" i="214"/>
  <c r="H125" i="214"/>
  <c r="H193" i="214"/>
  <c r="G125" i="214"/>
  <c r="G193" i="214"/>
  <c r="I125" i="214"/>
  <c r="I193" i="214"/>
  <c r="H126" i="214"/>
  <c r="I126" i="214"/>
  <c r="J126" i="214"/>
  <c r="H127" i="214"/>
  <c r="H145" i="214" s="1"/>
  <c r="I127" i="214"/>
  <c r="I145" i="214" s="1"/>
  <c r="J127" i="214"/>
  <c r="J145" i="214" s="1"/>
  <c r="J135" i="214"/>
  <c r="H135" i="214"/>
  <c r="G135" i="214"/>
  <c r="I135" i="214"/>
  <c r="H136" i="214"/>
  <c r="H146" i="214" s="1"/>
  <c r="I136" i="214"/>
  <c r="I146" i="214" s="1"/>
  <c r="J136" i="214"/>
  <c r="J146" i="214" s="1"/>
  <c r="L181" i="214"/>
  <c r="L189" i="214"/>
  <c r="L190" i="214"/>
  <c r="L57" i="214"/>
  <c r="L100" i="214"/>
  <c r="L102" i="214"/>
  <c r="L112" i="214"/>
  <c r="L116" i="214"/>
  <c r="M181" i="214"/>
  <c r="M189" i="214"/>
  <c r="M190" i="214"/>
  <c r="M57" i="214"/>
  <c r="M100" i="214"/>
  <c r="M102" i="214"/>
  <c r="M112" i="214"/>
  <c r="M116" i="214"/>
  <c r="N181" i="214"/>
  <c r="N189" i="214"/>
  <c r="N190" i="214"/>
  <c r="N57" i="214"/>
  <c r="N100" i="214"/>
  <c r="N102" i="214"/>
  <c r="N112" i="214"/>
  <c r="N116" i="214"/>
  <c r="O181" i="214"/>
  <c r="O189" i="214"/>
  <c r="O190" i="214"/>
  <c r="O57" i="214"/>
  <c r="O100" i="214"/>
  <c r="O102" i="214"/>
  <c r="O112" i="214"/>
  <c r="O116" i="214"/>
  <c r="P181" i="214"/>
  <c r="P189" i="214"/>
  <c r="P190" i="214"/>
  <c r="P57" i="214"/>
  <c r="P100" i="214"/>
  <c r="P102" i="214"/>
  <c r="P112" i="214"/>
  <c r="P116" i="214"/>
  <c r="Q181" i="214"/>
  <c r="Q189" i="214"/>
  <c r="Q190" i="214"/>
  <c r="Q57" i="214"/>
  <c r="Q102" i="214"/>
  <c r="Q112" i="214"/>
  <c r="Q116" i="214"/>
  <c r="R181" i="214"/>
  <c r="R189" i="214"/>
  <c r="R190" i="214"/>
  <c r="R57" i="214"/>
  <c r="R102" i="214"/>
  <c r="R112" i="214"/>
  <c r="R116" i="214"/>
  <c r="S181" i="214"/>
  <c r="S189" i="214"/>
  <c r="S190" i="214"/>
  <c r="S57" i="214"/>
  <c r="S102" i="214"/>
  <c r="S112" i="214"/>
  <c r="S116" i="214"/>
  <c r="T181" i="214"/>
  <c r="T189" i="214"/>
  <c r="T190" i="214"/>
  <c r="T57" i="214"/>
  <c r="T102" i="214"/>
  <c r="T112" i="214"/>
  <c r="T116" i="214"/>
  <c r="D199" i="214"/>
  <c r="D200" i="214"/>
  <c r="D202" i="214"/>
  <c r="D205" i="214"/>
  <c r="D211" i="214"/>
  <c r="J209" i="214"/>
  <c r="J226" i="214"/>
  <c r="K226" i="214" s="1"/>
  <c r="L226" i="214" s="1"/>
  <c r="M226" i="214" s="1"/>
  <c r="N226" i="214" s="1"/>
  <c r="O226" i="214" s="1"/>
  <c r="P226" i="214" s="1"/>
  <c r="Q226" i="214" s="1"/>
  <c r="R226" i="214" s="1"/>
  <c r="S226" i="214" s="1"/>
  <c r="T226" i="214" s="1"/>
  <c r="L218" i="214"/>
  <c r="M218" i="214"/>
  <c r="N218" i="214"/>
  <c r="O218" i="214"/>
  <c r="P218" i="214"/>
  <c r="Q218" i="214"/>
  <c r="R218" i="214"/>
  <c r="S218" i="214"/>
  <c r="T218" i="214"/>
  <c r="K218" i="214"/>
  <c r="J164" i="214"/>
  <c r="K164" i="214"/>
  <c r="L164" i="214" s="1"/>
  <c r="M164" i="214"/>
  <c r="N164" i="214" s="1"/>
  <c r="O164" i="214" s="1"/>
  <c r="P164" i="214" s="1"/>
  <c r="Q164" i="214" s="1"/>
  <c r="R164" i="214" s="1"/>
  <c r="S164" i="214" s="1"/>
  <c r="T164" i="214" s="1"/>
  <c r="J168" i="214"/>
  <c r="J196" i="214"/>
  <c r="J57" i="214"/>
  <c r="J55" i="214" s="1"/>
  <c r="J128" i="214"/>
  <c r="J137" i="214"/>
  <c r="J129" i="214"/>
  <c r="J138" i="214"/>
  <c r="J131" i="214"/>
  <c r="K132" i="214"/>
  <c r="J132" i="214"/>
  <c r="J78" i="214"/>
  <c r="J79" i="214"/>
  <c r="J100" i="214"/>
  <c r="J102" i="214"/>
  <c r="J15" i="214"/>
  <c r="J183" i="214"/>
  <c r="J172" i="214"/>
  <c r="L132" i="214"/>
  <c r="M132" i="214"/>
  <c r="N132" i="214"/>
  <c r="O132" i="214"/>
  <c r="P132" i="214"/>
  <c r="Q132" i="214"/>
  <c r="R132" i="214"/>
  <c r="S132" i="214"/>
  <c r="T132" i="214"/>
  <c r="J122" i="214"/>
  <c r="K122" i="214"/>
  <c r="L122" i="214" s="1"/>
  <c r="M122" i="214" s="1"/>
  <c r="N122" i="214" s="1"/>
  <c r="O122" i="214" s="1"/>
  <c r="P122" i="214" s="1"/>
  <c r="Q122" i="214" s="1"/>
  <c r="R122" i="214" s="1"/>
  <c r="S122" i="214" s="1"/>
  <c r="T122" i="214" s="1"/>
  <c r="J85" i="214"/>
  <c r="D48" i="214"/>
  <c r="F48" i="214"/>
  <c r="G48" i="214"/>
  <c r="H48" i="214"/>
  <c r="I48" i="214"/>
  <c r="I50" i="214"/>
  <c r="I9" i="214" s="1"/>
  <c r="E48" i="214"/>
  <c r="E52" i="214"/>
  <c r="E18" i="214"/>
  <c r="F52" i="214"/>
  <c r="F18" i="214"/>
  <c r="G52" i="214"/>
  <c r="G18" i="214"/>
  <c r="H52" i="214"/>
  <c r="H18" i="214"/>
  <c r="I52" i="214"/>
  <c r="I18" i="214"/>
  <c r="D52" i="214"/>
  <c r="D18" i="214"/>
  <c r="E49" i="214"/>
  <c r="F49" i="214"/>
  <c r="G49" i="214"/>
  <c r="H49" i="214"/>
  <c r="I49" i="214"/>
  <c r="D49" i="214"/>
  <c r="E47" i="214"/>
  <c r="F47" i="214"/>
  <c r="G47" i="214"/>
  <c r="G50" i="214"/>
  <c r="G9" i="214" s="1"/>
  <c r="H47" i="214"/>
  <c r="H50" i="214" s="1"/>
  <c r="H9" i="214"/>
  <c r="I47" i="214"/>
  <c r="D47" i="214"/>
  <c r="D99" i="214"/>
  <c r="D100" i="214"/>
  <c r="D102" i="214"/>
  <c r="D79" i="214"/>
  <c r="D73" i="214"/>
  <c r="D74" i="214"/>
  <c r="D75" i="214"/>
  <c r="D78" i="214"/>
  <c r="D108" i="214"/>
  <c r="D57" i="214"/>
  <c r="D55" i="214" s="1"/>
  <c r="D121" i="214"/>
  <c r="D63" i="214"/>
  <c r="D128" i="214"/>
  <c r="D137" i="214"/>
  <c r="D122" i="214"/>
  <c r="E99" i="214"/>
  <c r="E100" i="214"/>
  <c r="E102" i="214"/>
  <c r="E79" i="214"/>
  <c r="E73" i="214"/>
  <c r="E74" i="214"/>
  <c r="E75" i="214"/>
  <c r="E78" i="214"/>
  <c r="E108" i="214"/>
  <c r="E57" i="214"/>
  <c r="E55" i="214" s="1"/>
  <c r="E121" i="214"/>
  <c r="E62" i="214"/>
  <c r="E63" i="214"/>
  <c r="E128" i="214"/>
  <c r="E137" i="214"/>
  <c r="E122" i="214"/>
  <c r="F99" i="214"/>
  <c r="F100" i="214"/>
  <c r="F102" i="214"/>
  <c r="F79" i="214"/>
  <c r="F73" i="214"/>
  <c r="F74" i="214"/>
  <c r="F75" i="214"/>
  <c r="F78" i="214"/>
  <c r="F108" i="214"/>
  <c r="F57" i="214"/>
  <c r="F55" i="214"/>
  <c r="F121" i="214"/>
  <c r="F63" i="214"/>
  <c r="F128" i="214"/>
  <c r="F137" i="214"/>
  <c r="F122" i="214"/>
  <c r="G99" i="214"/>
  <c r="G100" i="214"/>
  <c r="G102" i="214"/>
  <c r="G79" i="214"/>
  <c r="G73" i="214"/>
  <c r="G74" i="214"/>
  <c r="G75" i="214"/>
  <c r="G78" i="214"/>
  <c r="G108" i="214"/>
  <c r="G57" i="214"/>
  <c r="G55" i="214"/>
  <c r="G121" i="214"/>
  <c r="G63" i="214"/>
  <c r="G128" i="214"/>
  <c r="G137" i="214"/>
  <c r="G122" i="214"/>
  <c r="H99" i="214"/>
  <c r="H100" i="214"/>
  <c r="H102" i="214"/>
  <c r="H79" i="214"/>
  <c r="H73" i="214"/>
  <c r="H235" i="214" s="1"/>
  <c r="H74" i="214"/>
  <c r="H75" i="214"/>
  <c r="H78" i="214"/>
  <c r="H108" i="214"/>
  <c r="H57" i="214"/>
  <c r="H55" i="214" s="1"/>
  <c r="H121" i="214"/>
  <c r="H63" i="214"/>
  <c r="H128" i="214"/>
  <c r="H137" i="214"/>
  <c r="H122" i="214"/>
  <c r="I99" i="214"/>
  <c r="I100" i="214"/>
  <c r="I102" i="214"/>
  <c r="I79" i="214"/>
  <c r="I73" i="214"/>
  <c r="I74" i="214"/>
  <c r="I75" i="214"/>
  <c r="I78" i="214"/>
  <c r="I108" i="214"/>
  <c r="I57" i="214"/>
  <c r="I55" i="214" s="1"/>
  <c r="I121" i="214"/>
  <c r="I63" i="214"/>
  <c r="I128" i="214"/>
  <c r="I137" i="214"/>
  <c r="I122" i="214"/>
  <c r="J108" i="214"/>
  <c r="N18" i="210"/>
  <c r="M18" i="210"/>
  <c r="M50" i="210"/>
  <c r="M51" i="210"/>
  <c r="M52" i="210"/>
  <c r="M53" i="210"/>
  <c r="M54" i="210"/>
  <c r="M55" i="210"/>
  <c r="M56" i="210"/>
  <c r="M57" i="210"/>
  <c r="M58" i="210"/>
  <c r="M59" i="210"/>
  <c r="M60" i="210"/>
  <c r="M61" i="210"/>
  <c r="M62" i="210"/>
  <c r="M63" i="210"/>
  <c r="M64" i="210"/>
  <c r="M65" i="210"/>
  <c r="M66" i="210"/>
  <c r="M67" i="210"/>
  <c r="L50" i="210"/>
  <c r="E92" i="214" s="1"/>
  <c r="L51" i="210"/>
  <c r="L52" i="210"/>
  <c r="L53" i="210"/>
  <c r="L54" i="210"/>
  <c r="L55" i="210"/>
  <c r="L56" i="210"/>
  <c r="L57" i="210"/>
  <c r="L58" i="210"/>
  <c r="L59" i="210"/>
  <c r="L60" i="210"/>
  <c r="L61" i="210"/>
  <c r="L62" i="210"/>
  <c r="L63" i="210"/>
  <c r="L64" i="210"/>
  <c r="L65" i="210"/>
  <c r="L66" i="210"/>
  <c r="L67" i="210"/>
  <c r="O18" i="210"/>
  <c r="P18" i="210"/>
  <c r="Q18" i="210"/>
  <c r="R18" i="210"/>
  <c r="S18" i="210"/>
  <c r="T18" i="210"/>
  <c r="U18" i="210"/>
  <c r="V18" i="210"/>
  <c r="W18" i="210"/>
  <c r="D15" i="214"/>
  <c r="E15" i="214"/>
  <c r="F15" i="214"/>
  <c r="G15" i="214"/>
  <c r="H15" i="214"/>
  <c r="I15" i="214"/>
  <c r="D56" i="214"/>
  <c r="E56" i="214"/>
  <c r="F56" i="214"/>
  <c r="G56" i="214"/>
  <c r="H56" i="214"/>
  <c r="I56" i="214"/>
  <c r="D107" i="214"/>
  <c r="E107" i="214"/>
  <c r="F107" i="214"/>
  <c r="G107" i="214"/>
  <c r="H107" i="214"/>
  <c r="I107" i="214"/>
  <c r="J107" i="214"/>
  <c r="D22" i="214"/>
  <c r="E22" i="214"/>
  <c r="F22" i="214"/>
  <c r="G22" i="214"/>
  <c r="H22" i="214"/>
  <c r="I22" i="214"/>
  <c r="D141" i="214"/>
  <c r="D119" i="214"/>
  <c r="D142" i="214"/>
  <c r="D127" i="214"/>
  <c r="D145" i="214"/>
  <c r="D136" i="214"/>
  <c r="D146" i="214"/>
  <c r="D160" i="214"/>
  <c r="D162" i="214"/>
  <c r="D164" i="214"/>
  <c r="D168" i="214"/>
  <c r="D171" i="214"/>
  <c r="D183" i="214"/>
  <c r="E141" i="214"/>
  <c r="E119" i="214"/>
  <c r="E142" i="214" s="1"/>
  <c r="E127" i="214"/>
  <c r="E145" i="214" s="1"/>
  <c r="E136" i="214"/>
  <c r="E146" i="214" s="1"/>
  <c r="E160" i="214"/>
  <c r="E162" i="214" s="1"/>
  <c r="E164" i="214"/>
  <c r="E168" i="214"/>
  <c r="E172" i="214"/>
  <c r="E183" i="214"/>
  <c r="F141" i="214"/>
  <c r="F127" i="214"/>
  <c r="F145" i="214"/>
  <c r="F136" i="214"/>
  <c r="F146" i="214"/>
  <c r="F160" i="214"/>
  <c r="F162" i="214"/>
  <c r="F164" i="214"/>
  <c r="F168" i="214"/>
  <c r="F172" i="214"/>
  <c r="F183" i="214"/>
  <c r="G141" i="214"/>
  <c r="G119" i="214"/>
  <c r="G142" i="214" s="1"/>
  <c r="G127" i="214"/>
  <c r="G145" i="214" s="1"/>
  <c r="G136" i="214"/>
  <c r="G146" i="214" s="1"/>
  <c r="G160" i="214"/>
  <c r="G162" i="214" s="1"/>
  <c r="G164" i="214"/>
  <c r="G168" i="214"/>
  <c r="G172" i="214"/>
  <c r="G173" i="214" s="1"/>
  <c r="G183" i="214"/>
  <c r="H141" i="214"/>
  <c r="H119" i="214"/>
  <c r="H142" i="214"/>
  <c r="H160" i="214"/>
  <c r="H162" i="214"/>
  <c r="H164" i="214"/>
  <c r="H168" i="214"/>
  <c r="H172" i="214"/>
  <c r="H183" i="214"/>
  <c r="I141" i="214"/>
  <c r="I119" i="214"/>
  <c r="I142" i="214" s="1"/>
  <c r="I160" i="214"/>
  <c r="I162" i="214" s="1"/>
  <c r="I164" i="214"/>
  <c r="I168" i="214"/>
  <c r="I172" i="214"/>
  <c r="I183" i="214"/>
  <c r="D196" i="214"/>
  <c r="E196" i="214"/>
  <c r="F196" i="214"/>
  <c r="G196" i="214"/>
  <c r="H196" i="214"/>
  <c r="I196" i="214"/>
  <c r="D186" i="214"/>
  <c r="D187" i="214"/>
  <c r="D189" i="214"/>
  <c r="D190" i="214"/>
  <c r="D125" i="214"/>
  <c r="D193" i="214" s="1"/>
  <c r="E186" i="214"/>
  <c r="E187" i="214"/>
  <c r="E189" i="214"/>
  <c r="E190" i="214"/>
  <c r="E125" i="214"/>
  <c r="E193" i="214" s="1"/>
  <c r="F186" i="214"/>
  <c r="F187" i="214"/>
  <c r="F189" i="214"/>
  <c r="F190" i="214"/>
  <c r="F125" i="214"/>
  <c r="F193" i="214" s="1"/>
  <c r="G186" i="214"/>
  <c r="G187" i="214"/>
  <c r="G189" i="214"/>
  <c r="G190" i="214"/>
  <c r="H186" i="214"/>
  <c r="H187" i="214"/>
  <c r="H189" i="214"/>
  <c r="H190" i="214"/>
  <c r="I186" i="214"/>
  <c r="I187" i="214"/>
  <c r="I189" i="214"/>
  <c r="I190" i="214"/>
  <c r="D167" i="214"/>
  <c r="D179" i="214"/>
  <c r="D180" i="214"/>
  <c r="D181" i="214"/>
  <c r="E167" i="214"/>
  <c r="E179" i="214"/>
  <c r="E180" i="214"/>
  <c r="E181" i="214"/>
  <c r="F167" i="214"/>
  <c r="F179" i="214"/>
  <c r="F180" i="214"/>
  <c r="F181" i="214"/>
  <c r="G167" i="214"/>
  <c r="G180" i="214"/>
  <c r="G181" i="214"/>
  <c r="H167" i="214"/>
  <c r="H180" i="214"/>
  <c r="H181" i="214"/>
  <c r="I167" i="214"/>
  <c r="I180" i="214"/>
  <c r="I181" i="214"/>
  <c r="D37" i="214"/>
  <c r="E37" i="214"/>
  <c r="F37" i="214"/>
  <c r="D82" i="214"/>
  <c r="E82" i="214"/>
  <c r="F82" i="214"/>
  <c r="G82" i="214"/>
  <c r="H82" i="214"/>
  <c r="I82" i="214"/>
  <c r="D83" i="214"/>
  <c r="E83" i="214"/>
  <c r="F83" i="214"/>
  <c r="G83" i="214"/>
  <c r="H83" i="214"/>
  <c r="I83" i="214"/>
  <c r="D84" i="214"/>
  <c r="E84" i="214"/>
  <c r="F84" i="214"/>
  <c r="G84" i="214"/>
  <c r="H84" i="214"/>
  <c r="I84" i="214"/>
  <c r="D85" i="214"/>
  <c r="E85" i="214"/>
  <c r="F85" i="214"/>
  <c r="G85" i="214"/>
  <c r="H85" i="214"/>
  <c r="I85" i="214"/>
  <c r="D86" i="214"/>
  <c r="E86" i="214"/>
  <c r="F86" i="214"/>
  <c r="G86" i="214"/>
  <c r="H86" i="214"/>
  <c r="I86" i="214"/>
  <c r="F91" i="214"/>
  <c r="D92" i="214"/>
  <c r="H92" i="214"/>
  <c r="D120" i="214"/>
  <c r="E120" i="214"/>
  <c r="F120" i="214"/>
  <c r="G120" i="214"/>
  <c r="H120" i="214"/>
  <c r="D126" i="214"/>
  <c r="E126" i="214"/>
  <c r="F126" i="214"/>
  <c r="G126" i="214"/>
  <c r="D129" i="214"/>
  <c r="E129" i="214"/>
  <c r="F129" i="214"/>
  <c r="G129" i="214"/>
  <c r="H129" i="214"/>
  <c r="I129" i="214"/>
  <c r="D131" i="214"/>
  <c r="E131" i="214"/>
  <c r="F131" i="214"/>
  <c r="G131" i="214"/>
  <c r="H131" i="214"/>
  <c r="I131" i="214"/>
  <c r="D132" i="214"/>
  <c r="E132" i="214"/>
  <c r="F132" i="214"/>
  <c r="G132" i="214"/>
  <c r="H132" i="214"/>
  <c r="I132" i="214"/>
  <c r="D135" i="214"/>
  <c r="E135" i="214"/>
  <c r="F135" i="214"/>
  <c r="D138" i="214"/>
  <c r="E138" i="214"/>
  <c r="F138" i="214"/>
  <c r="G138" i="214"/>
  <c r="H138" i="214"/>
  <c r="I138" i="214"/>
  <c r="D209" i="214"/>
  <c r="E209" i="214"/>
  <c r="F209" i="214"/>
  <c r="G209" i="214"/>
  <c r="H209" i="214"/>
  <c r="I209" i="214"/>
  <c r="G212" i="214"/>
  <c r="D214" i="214"/>
  <c r="E214" i="214"/>
  <c r="F214" i="214"/>
  <c r="G214" i="214"/>
  <c r="H214" i="214"/>
  <c r="D216" i="214"/>
  <c r="E216" i="214"/>
  <c r="F216" i="214"/>
  <c r="G216" i="214"/>
  <c r="H216" i="214"/>
  <c r="I216" i="214"/>
  <c r="D218" i="214"/>
  <c r="E218" i="214"/>
  <c r="F218" i="214"/>
  <c r="G218" i="214"/>
  <c r="H218" i="214"/>
  <c r="I218" i="214"/>
  <c r="J218" i="214"/>
  <c r="D220" i="214"/>
  <c r="E220" i="214"/>
  <c r="F220" i="214"/>
  <c r="G220" i="214"/>
  <c r="H220" i="214"/>
  <c r="I220" i="214"/>
  <c r="D223" i="214"/>
  <c r="E223" i="214"/>
  <c r="F223" i="214"/>
  <c r="G223" i="214"/>
  <c r="H223" i="214"/>
  <c r="I223" i="214"/>
  <c r="D226" i="214"/>
  <c r="E226" i="214"/>
  <c r="F226" i="214"/>
  <c r="G226" i="214"/>
  <c r="H226" i="214"/>
  <c r="I226" i="214"/>
  <c r="D227" i="214"/>
  <c r="E227" i="214"/>
  <c r="F227" i="214"/>
  <c r="G227" i="214"/>
  <c r="H227" i="214"/>
  <c r="I227" i="214"/>
  <c r="J227" i="214"/>
  <c r="D228" i="214"/>
  <c r="E228" i="214"/>
  <c r="F228" i="214"/>
  <c r="G228" i="214"/>
  <c r="H228" i="214"/>
  <c r="I228" i="214"/>
  <c r="J228" i="214"/>
  <c r="D111" i="214"/>
  <c r="E115" i="214"/>
  <c r="D48" i="211"/>
  <c r="D33" i="211"/>
  <c r="E25" i="211"/>
  <c r="F25" i="211"/>
  <c r="G25" i="211"/>
  <c r="H25" i="211"/>
  <c r="I25" i="211"/>
  <c r="D172" i="214"/>
  <c r="I74" i="211"/>
  <c r="D34" i="211"/>
  <c r="E111" i="211"/>
  <c r="F111" i="211"/>
  <c r="G111" i="211"/>
  <c r="H111" i="211"/>
  <c r="D111" i="211"/>
  <c r="D7" i="211"/>
  <c r="D11" i="211"/>
  <c r="E7" i="211"/>
  <c r="E11" i="211"/>
  <c r="F7" i="211"/>
  <c r="F11" i="211"/>
  <c r="G7" i="211"/>
  <c r="G11" i="211"/>
  <c r="H7" i="211"/>
  <c r="H11" i="211"/>
  <c r="I7" i="211"/>
  <c r="I11" i="211"/>
  <c r="I43" i="210"/>
  <c r="H43" i="210"/>
  <c r="I42" i="210"/>
  <c r="H42" i="210"/>
  <c r="I41" i="210"/>
  <c r="H41" i="210"/>
  <c r="I40" i="210"/>
  <c r="H40" i="210"/>
  <c r="I39" i="210"/>
  <c r="H39" i="210"/>
  <c r="I38" i="210"/>
  <c r="H38" i="210"/>
  <c r="I37" i="210"/>
  <c r="H37" i="210"/>
  <c r="I36" i="210"/>
  <c r="H36" i="210"/>
  <c r="I35" i="210"/>
  <c r="H35" i="210"/>
  <c r="I34" i="210"/>
  <c r="H34" i="210"/>
  <c r="H44" i="210" s="1"/>
  <c r="I33" i="211"/>
  <c r="I59" i="211"/>
  <c r="I111" i="211"/>
  <c r="I83" i="211"/>
  <c r="H167" i="211"/>
  <c r="H181" i="211"/>
  <c r="I176" i="211"/>
  <c r="C6" i="212"/>
  <c r="D6" i="212"/>
  <c r="E6" i="212"/>
  <c r="F6" i="212"/>
  <c r="G6" i="212"/>
  <c r="H6" i="212"/>
  <c r="I6" i="212"/>
  <c r="J6" i="212"/>
  <c r="K6" i="212"/>
  <c r="L6" i="212"/>
  <c r="M6" i="212"/>
  <c r="N6" i="212"/>
  <c r="O6" i="212"/>
  <c r="P6" i="212"/>
  <c r="Q6" i="212"/>
  <c r="R6" i="212"/>
  <c r="S6" i="212"/>
  <c r="T6" i="212"/>
  <c r="U6" i="212"/>
  <c r="V6" i="212"/>
  <c r="W6" i="212"/>
  <c r="X6" i="212"/>
  <c r="Y6" i="212"/>
  <c r="Z6" i="212"/>
  <c r="AA6" i="212"/>
  <c r="AB6" i="212"/>
  <c r="AC6" i="212"/>
  <c r="AD6" i="212"/>
  <c r="AE6" i="212"/>
  <c r="AF6" i="212"/>
  <c r="AG6" i="212"/>
  <c r="AH6" i="212"/>
  <c r="AI6" i="212"/>
  <c r="AJ6" i="212"/>
  <c r="AK6" i="212"/>
  <c r="AL6" i="212"/>
  <c r="AM6" i="212"/>
  <c r="AN6" i="212"/>
  <c r="AO6" i="212"/>
  <c r="AP6" i="212"/>
  <c r="AQ6" i="212"/>
  <c r="AR6" i="212"/>
  <c r="AS6" i="212"/>
  <c r="AT6" i="212"/>
  <c r="AU6" i="212"/>
  <c r="C100" i="212"/>
  <c r="D100" i="212"/>
  <c r="E100" i="212"/>
  <c r="F100" i="212"/>
  <c r="G100" i="212"/>
  <c r="H100" i="212"/>
  <c r="I100" i="212"/>
  <c r="J100" i="212"/>
  <c r="K100" i="212"/>
  <c r="L100" i="212"/>
  <c r="M100" i="212"/>
  <c r="N100" i="212"/>
  <c r="O100" i="212"/>
  <c r="P100" i="212"/>
  <c r="Q100" i="212"/>
  <c r="R100" i="212"/>
  <c r="S100" i="212"/>
  <c r="T100" i="212"/>
  <c r="U100" i="212"/>
  <c r="V100" i="212"/>
  <c r="W100" i="212"/>
  <c r="X100" i="212"/>
  <c r="Y100" i="212"/>
  <c r="Z100" i="212"/>
  <c r="AA100" i="212"/>
  <c r="AB100" i="212"/>
  <c r="AC100" i="212"/>
  <c r="AD100" i="212"/>
  <c r="AE100" i="212"/>
  <c r="AF100" i="212"/>
  <c r="AG100" i="212"/>
  <c r="AH100" i="212"/>
  <c r="AI100" i="212"/>
  <c r="AJ100" i="212"/>
  <c r="AK100" i="212"/>
  <c r="AL100" i="212"/>
  <c r="AM100" i="212"/>
  <c r="AN100" i="212"/>
  <c r="AO100" i="212"/>
  <c r="AP100" i="212"/>
  <c r="AQ100" i="212"/>
  <c r="AR100" i="212"/>
  <c r="AS100" i="212"/>
  <c r="AT100" i="212"/>
  <c r="AU100" i="212"/>
  <c r="C194" i="212"/>
  <c r="D194" i="212"/>
  <c r="E194" i="212"/>
  <c r="F194" i="212"/>
  <c r="G194" i="212"/>
  <c r="H194" i="212"/>
  <c r="I194" i="212"/>
  <c r="J194" i="212"/>
  <c r="K194" i="212"/>
  <c r="L194" i="212"/>
  <c r="M194" i="212"/>
  <c r="N194" i="212"/>
  <c r="O194" i="212"/>
  <c r="P194" i="212"/>
  <c r="Q194" i="212"/>
  <c r="R194" i="212"/>
  <c r="S194" i="212"/>
  <c r="T194" i="212"/>
  <c r="U194" i="212"/>
  <c r="V194" i="212"/>
  <c r="W194" i="212"/>
  <c r="X194" i="212"/>
  <c r="Y194" i="212"/>
  <c r="Z194" i="212"/>
  <c r="AA194" i="212"/>
  <c r="AB194" i="212"/>
  <c r="AC194" i="212"/>
  <c r="AD194" i="212"/>
  <c r="AE194" i="212"/>
  <c r="AF194" i="212"/>
  <c r="AG194" i="212"/>
  <c r="AH194" i="212"/>
  <c r="AI194" i="212"/>
  <c r="AJ194" i="212"/>
  <c r="AK194" i="212"/>
  <c r="AL194" i="212"/>
  <c r="AM194" i="212"/>
  <c r="AN194" i="212"/>
  <c r="AO194" i="212"/>
  <c r="AP194" i="212"/>
  <c r="AQ194" i="212"/>
  <c r="AR194" i="212"/>
  <c r="AS194" i="212"/>
  <c r="AT194" i="212"/>
  <c r="AU194" i="212"/>
  <c r="D197" i="212"/>
  <c r="E197" i="212"/>
  <c r="F197" i="212"/>
  <c r="G197" i="212"/>
  <c r="H197" i="212"/>
  <c r="I197" i="212"/>
  <c r="J197" i="212"/>
  <c r="K197" i="212"/>
  <c r="L197" i="212"/>
  <c r="M197" i="212"/>
  <c r="N197" i="212"/>
  <c r="O197" i="212"/>
  <c r="P197" i="212"/>
  <c r="Q197" i="212"/>
  <c r="R197" i="212"/>
  <c r="S197" i="212"/>
  <c r="T197" i="212"/>
  <c r="U197" i="212"/>
  <c r="V197" i="212"/>
  <c r="W197" i="212"/>
  <c r="X197" i="212"/>
  <c r="Y197" i="212"/>
  <c r="Z197" i="212"/>
  <c r="AA197" i="212"/>
  <c r="AB197" i="212"/>
  <c r="AC197" i="212"/>
  <c r="AD197" i="212"/>
  <c r="AE197" i="212"/>
  <c r="AF197" i="212"/>
  <c r="AG197" i="212"/>
  <c r="AH197" i="212"/>
  <c r="AI197" i="212"/>
  <c r="AJ197" i="212"/>
  <c r="AK197" i="212"/>
  <c r="AL197" i="212"/>
  <c r="AM197" i="212"/>
  <c r="AN197" i="212"/>
  <c r="AO197" i="212"/>
  <c r="AP197" i="212"/>
  <c r="AQ197" i="212"/>
  <c r="AR197" i="212"/>
  <c r="AS197" i="212"/>
  <c r="AT197" i="212"/>
  <c r="AU197" i="212"/>
  <c r="D198" i="212"/>
  <c r="E198" i="212"/>
  <c r="F198" i="212"/>
  <c r="F250" i="219" s="1"/>
  <c r="G198" i="212"/>
  <c r="H198" i="212"/>
  <c r="I198" i="212"/>
  <c r="J198" i="212"/>
  <c r="J250" i="219" s="1"/>
  <c r="K198" i="212"/>
  <c r="L198" i="212"/>
  <c r="M198" i="212"/>
  <c r="N198" i="212"/>
  <c r="N247" i="214" s="1"/>
  <c r="O198" i="212"/>
  <c r="P198" i="212"/>
  <c r="Q198" i="212"/>
  <c r="R198" i="212"/>
  <c r="R250" i="219" s="1"/>
  <c r="S198" i="212"/>
  <c r="T198" i="212"/>
  <c r="U198" i="212"/>
  <c r="V198" i="212"/>
  <c r="W198" i="212"/>
  <c r="X198" i="212"/>
  <c r="Y198" i="212"/>
  <c r="Z198" i="212"/>
  <c r="AA198" i="212"/>
  <c r="AB198" i="212"/>
  <c r="AC198" i="212"/>
  <c r="AD198" i="212"/>
  <c r="AE198" i="212"/>
  <c r="AF198" i="212"/>
  <c r="AG198" i="212"/>
  <c r="AH198" i="212"/>
  <c r="AI198" i="212"/>
  <c r="AJ198" i="212"/>
  <c r="AK198" i="212"/>
  <c r="AL198" i="212"/>
  <c r="AM198" i="212"/>
  <c r="AN198" i="212"/>
  <c r="AO198" i="212"/>
  <c r="AP198" i="212"/>
  <c r="AQ198" i="212"/>
  <c r="AR198" i="212"/>
  <c r="AS198" i="212"/>
  <c r="AT198" i="212"/>
  <c r="AU198" i="212"/>
  <c r="D199" i="212"/>
  <c r="E199" i="212"/>
  <c r="F199" i="212"/>
  <c r="G199" i="212"/>
  <c r="H199" i="212"/>
  <c r="I199" i="212"/>
  <c r="J199" i="212"/>
  <c r="K199" i="212"/>
  <c r="L199" i="212"/>
  <c r="M199" i="212"/>
  <c r="N199" i="212"/>
  <c r="O199" i="212"/>
  <c r="P199" i="212"/>
  <c r="Q199" i="212"/>
  <c r="R199" i="212"/>
  <c r="S199" i="212"/>
  <c r="T199" i="212"/>
  <c r="U199" i="212"/>
  <c r="V199" i="212"/>
  <c r="W199" i="212"/>
  <c r="X199" i="212"/>
  <c r="Y199" i="212"/>
  <c r="Z199" i="212"/>
  <c r="AA199" i="212"/>
  <c r="AB199" i="212"/>
  <c r="AC199" i="212"/>
  <c r="AD199" i="212"/>
  <c r="AE199" i="212"/>
  <c r="AF199" i="212"/>
  <c r="AG199" i="212"/>
  <c r="AH199" i="212"/>
  <c r="AI199" i="212"/>
  <c r="AJ199" i="212"/>
  <c r="AK199" i="212"/>
  <c r="AL199" i="212"/>
  <c r="AM199" i="212"/>
  <c r="AN199" i="212"/>
  <c r="AO199" i="212"/>
  <c r="AP199" i="212"/>
  <c r="AQ199" i="212"/>
  <c r="AR199" i="212"/>
  <c r="AS199" i="212"/>
  <c r="AT199" i="212"/>
  <c r="AU199" i="212"/>
  <c r="D200" i="212"/>
  <c r="E200" i="212"/>
  <c r="F200" i="212"/>
  <c r="G200" i="212"/>
  <c r="H200" i="212"/>
  <c r="I200" i="212"/>
  <c r="J200" i="212"/>
  <c r="K200" i="212"/>
  <c r="L200" i="212"/>
  <c r="M200" i="212"/>
  <c r="N200" i="212"/>
  <c r="O200" i="212"/>
  <c r="P200" i="212"/>
  <c r="Q200" i="212"/>
  <c r="R200" i="212"/>
  <c r="S200" i="212"/>
  <c r="T200" i="212"/>
  <c r="U200" i="212"/>
  <c r="V200" i="212"/>
  <c r="W200" i="212"/>
  <c r="X200" i="212"/>
  <c r="Y200" i="212"/>
  <c r="Z200" i="212"/>
  <c r="AA200" i="212"/>
  <c r="AB200" i="212"/>
  <c r="AC200" i="212"/>
  <c r="AD200" i="212"/>
  <c r="AE200" i="212"/>
  <c r="AF200" i="212"/>
  <c r="AG200" i="212"/>
  <c r="AH200" i="212"/>
  <c r="AI200" i="212"/>
  <c r="AJ200" i="212"/>
  <c r="AK200" i="212"/>
  <c r="AL200" i="212"/>
  <c r="AM200" i="212"/>
  <c r="AN200" i="212"/>
  <c r="AO200" i="212"/>
  <c r="AP200" i="212"/>
  <c r="AQ200" i="212"/>
  <c r="AR200" i="212"/>
  <c r="AS200" i="212"/>
  <c r="AT200" i="212"/>
  <c r="AU200" i="212"/>
  <c r="D201" i="212"/>
  <c r="E201" i="212"/>
  <c r="E232" i="214"/>
  <c r="F201" i="212"/>
  <c r="F232" i="214"/>
  <c r="G201" i="212"/>
  <c r="G232" i="214"/>
  <c r="H201" i="212"/>
  <c r="H232" i="214"/>
  <c r="I201" i="212"/>
  <c r="I232" i="214"/>
  <c r="J201" i="212"/>
  <c r="J232" i="214"/>
  <c r="K201" i="212"/>
  <c r="L201" i="212"/>
  <c r="L235" i="219" s="1"/>
  <c r="M201" i="212"/>
  <c r="N201" i="212"/>
  <c r="O201" i="212"/>
  <c r="P201" i="212"/>
  <c r="P235" i="219" s="1"/>
  <c r="Q201" i="212"/>
  <c r="R201" i="212"/>
  <c r="S201" i="212"/>
  <c r="T201" i="212"/>
  <c r="T235" i="219" s="1"/>
  <c r="U201" i="212"/>
  <c r="V201" i="212"/>
  <c r="W201" i="212"/>
  <c r="X201" i="212"/>
  <c r="Y201" i="212"/>
  <c r="Z201" i="212"/>
  <c r="AA201" i="212"/>
  <c r="AB201" i="212"/>
  <c r="AC201" i="212"/>
  <c r="AD201" i="212"/>
  <c r="AE201" i="212"/>
  <c r="AF201" i="212"/>
  <c r="AG201" i="212"/>
  <c r="AH201" i="212"/>
  <c r="AI201" i="212"/>
  <c r="AJ201" i="212"/>
  <c r="AK201" i="212"/>
  <c r="AL201" i="212"/>
  <c r="AM201" i="212"/>
  <c r="AN201" i="212"/>
  <c r="AO201" i="212"/>
  <c r="AP201" i="212"/>
  <c r="AQ201" i="212"/>
  <c r="AR201" i="212"/>
  <c r="AS201" i="212"/>
  <c r="AT201" i="212"/>
  <c r="AU201" i="212"/>
  <c r="D202" i="212"/>
  <c r="E202" i="212"/>
  <c r="F202" i="212"/>
  <c r="G202" i="212"/>
  <c r="H202" i="212"/>
  <c r="I202" i="212"/>
  <c r="J202" i="212"/>
  <c r="K202" i="212"/>
  <c r="L202" i="212"/>
  <c r="M202" i="212"/>
  <c r="N202" i="212"/>
  <c r="O202" i="212"/>
  <c r="P202" i="212"/>
  <c r="Q202" i="212"/>
  <c r="R202" i="212"/>
  <c r="S202" i="212"/>
  <c r="T202" i="212"/>
  <c r="U202" i="212"/>
  <c r="V202" i="212"/>
  <c r="W202" i="212"/>
  <c r="X202" i="212"/>
  <c r="Y202" i="212"/>
  <c r="Z202" i="212"/>
  <c r="AA202" i="212"/>
  <c r="AB202" i="212"/>
  <c r="AC202" i="212"/>
  <c r="AD202" i="212"/>
  <c r="AE202" i="212"/>
  <c r="AF202" i="212"/>
  <c r="AG202" i="212"/>
  <c r="AH202" i="212"/>
  <c r="AI202" i="212"/>
  <c r="AJ202" i="212"/>
  <c r="AK202" i="212"/>
  <c r="AL202" i="212"/>
  <c r="AM202" i="212"/>
  <c r="AN202" i="212"/>
  <c r="AO202" i="212"/>
  <c r="AP202" i="212"/>
  <c r="AQ202" i="212"/>
  <c r="AR202" i="212"/>
  <c r="AS202" i="212"/>
  <c r="AT202" i="212"/>
  <c r="AU202" i="212"/>
  <c r="D203" i="212"/>
  <c r="E203" i="212"/>
  <c r="F203" i="212"/>
  <c r="G203" i="212"/>
  <c r="H203" i="212"/>
  <c r="I203" i="212"/>
  <c r="J203" i="212"/>
  <c r="K203" i="212"/>
  <c r="L203" i="212"/>
  <c r="M203" i="212"/>
  <c r="N203" i="212"/>
  <c r="O203" i="212"/>
  <c r="P203" i="212"/>
  <c r="Q203" i="212"/>
  <c r="R203" i="212"/>
  <c r="S203" i="212"/>
  <c r="T203" i="212"/>
  <c r="U203" i="212"/>
  <c r="V203" i="212"/>
  <c r="W203" i="212"/>
  <c r="X203" i="212"/>
  <c r="Y203" i="212"/>
  <c r="Z203" i="212"/>
  <c r="AA203" i="212"/>
  <c r="AB203" i="212"/>
  <c r="AC203" i="212"/>
  <c r="AD203" i="212"/>
  <c r="AE203" i="212"/>
  <c r="AF203" i="212"/>
  <c r="AG203" i="212"/>
  <c r="AH203" i="212"/>
  <c r="AI203" i="212"/>
  <c r="AJ203" i="212"/>
  <c r="AK203" i="212"/>
  <c r="AL203" i="212"/>
  <c r="AM203" i="212"/>
  <c r="AN203" i="212"/>
  <c r="AO203" i="212"/>
  <c r="AP203" i="212"/>
  <c r="AQ203" i="212"/>
  <c r="AR203" i="212"/>
  <c r="AS203" i="212"/>
  <c r="AT203" i="212"/>
  <c r="AU203" i="212"/>
  <c r="D204" i="212"/>
  <c r="E204" i="212"/>
  <c r="F204" i="212"/>
  <c r="G204" i="212"/>
  <c r="H204" i="212"/>
  <c r="I204" i="212"/>
  <c r="J204" i="212"/>
  <c r="K204" i="212"/>
  <c r="L204" i="212"/>
  <c r="M204" i="212"/>
  <c r="N204" i="212"/>
  <c r="O204" i="212"/>
  <c r="P204" i="212"/>
  <c r="Q204" i="212"/>
  <c r="R204" i="212"/>
  <c r="S204" i="212"/>
  <c r="T204" i="212"/>
  <c r="U204" i="212"/>
  <c r="V204" i="212"/>
  <c r="W204" i="212"/>
  <c r="X204" i="212"/>
  <c r="Y204" i="212"/>
  <c r="Z204" i="212"/>
  <c r="AA204" i="212"/>
  <c r="AB204" i="212"/>
  <c r="AC204" i="212"/>
  <c r="AD204" i="212"/>
  <c r="AE204" i="212"/>
  <c r="AF204" i="212"/>
  <c r="AG204" i="212"/>
  <c r="AH204" i="212"/>
  <c r="AI204" i="212"/>
  <c r="AJ204" i="212"/>
  <c r="AK204" i="212"/>
  <c r="AL204" i="212"/>
  <c r="AM204" i="212"/>
  <c r="AN204" i="212"/>
  <c r="AO204" i="212"/>
  <c r="AP204" i="212"/>
  <c r="AQ204" i="212"/>
  <c r="AR204" i="212"/>
  <c r="AS204" i="212"/>
  <c r="AT204" i="212"/>
  <c r="AU204" i="212"/>
  <c r="D205" i="212"/>
  <c r="E205" i="212"/>
  <c r="F205" i="212"/>
  <c r="G205" i="212"/>
  <c r="H205" i="212"/>
  <c r="I205" i="212"/>
  <c r="J205" i="212"/>
  <c r="K205" i="212"/>
  <c r="L205" i="212"/>
  <c r="M205" i="212"/>
  <c r="N205" i="212"/>
  <c r="O205" i="212"/>
  <c r="P205" i="212"/>
  <c r="Q205" i="212"/>
  <c r="R205" i="212"/>
  <c r="S205" i="212"/>
  <c r="T205" i="212"/>
  <c r="U205" i="212"/>
  <c r="V205" i="212"/>
  <c r="W205" i="212"/>
  <c r="X205" i="212"/>
  <c r="Y205" i="212"/>
  <c r="Z205" i="212"/>
  <c r="AA205" i="212"/>
  <c r="AB205" i="212"/>
  <c r="AC205" i="212"/>
  <c r="AD205" i="212"/>
  <c r="AE205" i="212"/>
  <c r="AF205" i="212"/>
  <c r="AG205" i="212"/>
  <c r="AH205" i="212"/>
  <c r="AI205" i="212"/>
  <c r="AJ205" i="212"/>
  <c r="AK205" i="212"/>
  <c r="AL205" i="212"/>
  <c r="AM205" i="212"/>
  <c r="AN205" i="212"/>
  <c r="AO205" i="212"/>
  <c r="AP205" i="212"/>
  <c r="AQ205" i="212"/>
  <c r="AR205" i="212"/>
  <c r="AS205" i="212"/>
  <c r="AT205" i="212"/>
  <c r="AU205" i="212"/>
  <c r="D206" i="212"/>
  <c r="E206" i="212"/>
  <c r="F206" i="212"/>
  <c r="G206" i="212"/>
  <c r="H206" i="212"/>
  <c r="I206" i="212"/>
  <c r="J206" i="212"/>
  <c r="K206" i="212"/>
  <c r="L206" i="212"/>
  <c r="M206" i="212"/>
  <c r="N206" i="212"/>
  <c r="O206" i="212"/>
  <c r="P206" i="212"/>
  <c r="Q206" i="212"/>
  <c r="R206" i="212"/>
  <c r="S206" i="212"/>
  <c r="T206" i="212"/>
  <c r="U206" i="212"/>
  <c r="V206" i="212"/>
  <c r="W206" i="212"/>
  <c r="X206" i="212"/>
  <c r="Y206" i="212"/>
  <c r="Z206" i="212"/>
  <c r="AA206" i="212"/>
  <c r="AB206" i="212"/>
  <c r="AC206" i="212"/>
  <c r="AD206" i="212"/>
  <c r="AE206" i="212"/>
  <c r="AF206" i="212"/>
  <c r="AG206" i="212"/>
  <c r="AH206" i="212"/>
  <c r="AI206" i="212"/>
  <c r="AJ206" i="212"/>
  <c r="AK206" i="212"/>
  <c r="AL206" i="212"/>
  <c r="AM206" i="212"/>
  <c r="AN206" i="212"/>
  <c r="AO206" i="212"/>
  <c r="AP206" i="212"/>
  <c r="AQ206" i="212"/>
  <c r="AR206" i="212"/>
  <c r="AS206" i="212"/>
  <c r="AT206" i="212"/>
  <c r="AU206" i="212"/>
  <c r="D207" i="212"/>
  <c r="E207" i="212"/>
  <c r="F207" i="212"/>
  <c r="G207" i="212"/>
  <c r="H207" i="212"/>
  <c r="I207" i="212"/>
  <c r="J207" i="212"/>
  <c r="K207" i="212"/>
  <c r="L207" i="212"/>
  <c r="M207" i="212"/>
  <c r="N207" i="212"/>
  <c r="O207" i="212"/>
  <c r="P207" i="212"/>
  <c r="Q207" i="212"/>
  <c r="R207" i="212"/>
  <c r="S207" i="212"/>
  <c r="T207" i="212"/>
  <c r="U207" i="212"/>
  <c r="V207" i="212"/>
  <c r="W207" i="212"/>
  <c r="X207" i="212"/>
  <c r="Y207" i="212"/>
  <c r="Z207" i="212"/>
  <c r="AA207" i="212"/>
  <c r="AB207" i="212"/>
  <c r="AC207" i="212"/>
  <c r="AD207" i="212"/>
  <c r="AE207" i="212"/>
  <c r="AF207" i="212"/>
  <c r="AG207" i="212"/>
  <c r="AH207" i="212"/>
  <c r="AI207" i="212"/>
  <c r="AJ207" i="212"/>
  <c r="AK207" i="212"/>
  <c r="AL207" i="212"/>
  <c r="AM207" i="212"/>
  <c r="AN207" i="212"/>
  <c r="AO207" i="212"/>
  <c r="AP207" i="212"/>
  <c r="AQ207" i="212"/>
  <c r="AR207" i="212"/>
  <c r="AS207" i="212"/>
  <c r="AT207" i="212"/>
  <c r="AU207" i="212"/>
  <c r="D208" i="212"/>
  <c r="E208" i="212"/>
  <c r="F208" i="212"/>
  <c r="G208" i="212"/>
  <c r="H208" i="212"/>
  <c r="I208" i="212"/>
  <c r="J208" i="212"/>
  <c r="K208" i="212"/>
  <c r="L208" i="212"/>
  <c r="M208" i="212"/>
  <c r="N208" i="212"/>
  <c r="O208" i="212"/>
  <c r="P208" i="212"/>
  <c r="Q208" i="212"/>
  <c r="R208" i="212"/>
  <c r="S208" i="212"/>
  <c r="T208" i="212"/>
  <c r="U208" i="212"/>
  <c r="V208" i="212"/>
  <c r="W208" i="212"/>
  <c r="X208" i="212"/>
  <c r="Y208" i="212"/>
  <c r="Z208" i="212"/>
  <c r="AA208" i="212"/>
  <c r="AB208" i="212"/>
  <c r="AC208" i="212"/>
  <c r="AD208" i="212"/>
  <c r="AE208" i="212"/>
  <c r="AF208" i="212"/>
  <c r="AG208" i="212"/>
  <c r="AH208" i="212"/>
  <c r="AI208" i="212"/>
  <c r="AJ208" i="212"/>
  <c r="AK208" i="212"/>
  <c r="AL208" i="212"/>
  <c r="AM208" i="212"/>
  <c r="AN208" i="212"/>
  <c r="AO208" i="212"/>
  <c r="AP208" i="212"/>
  <c r="AQ208" i="212"/>
  <c r="AR208" i="212"/>
  <c r="AS208" i="212"/>
  <c r="AT208" i="212"/>
  <c r="AU208" i="212"/>
  <c r="D209" i="212"/>
  <c r="E209" i="212"/>
  <c r="F209" i="212"/>
  <c r="G209" i="212"/>
  <c r="H209" i="212"/>
  <c r="I209" i="212"/>
  <c r="J209" i="212"/>
  <c r="K209" i="212"/>
  <c r="L209" i="212"/>
  <c r="M209" i="212"/>
  <c r="N209" i="212"/>
  <c r="O209" i="212"/>
  <c r="P209" i="212"/>
  <c r="Q209" i="212"/>
  <c r="R209" i="212"/>
  <c r="S209" i="212"/>
  <c r="T209" i="212"/>
  <c r="U209" i="212"/>
  <c r="V209" i="212"/>
  <c r="W209" i="212"/>
  <c r="X209" i="212"/>
  <c r="Y209" i="212"/>
  <c r="Z209" i="212"/>
  <c r="AA209" i="212"/>
  <c r="AB209" i="212"/>
  <c r="AC209" i="212"/>
  <c r="AD209" i="212"/>
  <c r="AE209" i="212"/>
  <c r="AF209" i="212"/>
  <c r="AG209" i="212"/>
  <c r="AH209" i="212"/>
  <c r="AI209" i="212"/>
  <c r="AJ209" i="212"/>
  <c r="AK209" i="212"/>
  <c r="AL209" i="212"/>
  <c r="AM209" i="212"/>
  <c r="AN209" i="212"/>
  <c r="AO209" i="212"/>
  <c r="AP209" i="212"/>
  <c r="AQ209" i="212"/>
  <c r="AR209" i="212"/>
  <c r="AS209" i="212"/>
  <c r="AT209" i="212"/>
  <c r="AU209" i="212"/>
  <c r="D210" i="212"/>
  <c r="E210" i="212"/>
  <c r="F210" i="212"/>
  <c r="G210" i="212"/>
  <c r="H210" i="212"/>
  <c r="I210" i="212"/>
  <c r="J210" i="212"/>
  <c r="K210" i="212"/>
  <c r="L210" i="212"/>
  <c r="M210" i="212"/>
  <c r="N210" i="212"/>
  <c r="O210" i="212"/>
  <c r="P210" i="212"/>
  <c r="Q210" i="212"/>
  <c r="R210" i="212"/>
  <c r="S210" i="212"/>
  <c r="T210" i="212"/>
  <c r="U210" i="212"/>
  <c r="V210" i="212"/>
  <c r="W210" i="212"/>
  <c r="X210" i="212"/>
  <c r="Y210" i="212"/>
  <c r="Z210" i="212"/>
  <c r="AA210" i="212"/>
  <c r="AB210" i="212"/>
  <c r="AC210" i="212"/>
  <c r="AD210" i="212"/>
  <c r="AE210" i="212"/>
  <c r="AF210" i="212"/>
  <c r="AG210" i="212"/>
  <c r="AH210" i="212"/>
  <c r="AI210" i="212"/>
  <c r="AJ210" i="212"/>
  <c r="AK210" i="212"/>
  <c r="AL210" i="212"/>
  <c r="AM210" i="212"/>
  <c r="AN210" i="212"/>
  <c r="AO210" i="212"/>
  <c r="AP210" i="212"/>
  <c r="AQ210" i="212"/>
  <c r="AR210" i="212"/>
  <c r="AS210" i="212"/>
  <c r="AT210" i="212"/>
  <c r="AU210" i="212"/>
  <c r="D211" i="212"/>
  <c r="E211" i="212"/>
  <c r="F211" i="212"/>
  <c r="G211" i="212"/>
  <c r="H211" i="212"/>
  <c r="I211" i="212"/>
  <c r="J211" i="212"/>
  <c r="K211" i="212"/>
  <c r="L211" i="212"/>
  <c r="M211" i="212"/>
  <c r="N211" i="212"/>
  <c r="O211" i="212"/>
  <c r="P211" i="212"/>
  <c r="Q211" i="212"/>
  <c r="R211" i="212"/>
  <c r="S211" i="212"/>
  <c r="T211" i="212"/>
  <c r="U211" i="212"/>
  <c r="V211" i="212"/>
  <c r="W211" i="212"/>
  <c r="X211" i="212"/>
  <c r="Y211" i="212"/>
  <c r="Z211" i="212"/>
  <c r="AA211" i="212"/>
  <c r="AB211" i="212"/>
  <c r="AC211" i="212"/>
  <c r="AD211" i="212"/>
  <c r="AE211" i="212"/>
  <c r="AF211" i="212"/>
  <c r="AG211" i="212"/>
  <c r="AH211" i="212"/>
  <c r="AI211" i="212"/>
  <c r="AJ211" i="212"/>
  <c r="AK211" i="212"/>
  <c r="AL211" i="212"/>
  <c r="AM211" i="212"/>
  <c r="AN211" i="212"/>
  <c r="AO211" i="212"/>
  <c r="AP211" i="212"/>
  <c r="AQ211" i="212"/>
  <c r="AR211" i="212"/>
  <c r="AS211" i="212"/>
  <c r="AT211" i="212"/>
  <c r="AU211" i="212"/>
  <c r="D212" i="212"/>
  <c r="E212" i="212"/>
  <c r="F212" i="212"/>
  <c r="G212" i="212"/>
  <c r="H212" i="212"/>
  <c r="I212" i="212"/>
  <c r="J212" i="212"/>
  <c r="K212" i="212"/>
  <c r="L212" i="212"/>
  <c r="M212" i="212"/>
  <c r="N212" i="212"/>
  <c r="O212" i="212"/>
  <c r="P212" i="212"/>
  <c r="Q212" i="212"/>
  <c r="R212" i="212"/>
  <c r="S212" i="212"/>
  <c r="T212" i="212"/>
  <c r="U212" i="212"/>
  <c r="V212" i="212"/>
  <c r="W212" i="212"/>
  <c r="X212" i="212"/>
  <c r="Y212" i="212"/>
  <c r="Z212" i="212"/>
  <c r="AA212" i="212"/>
  <c r="AB212" i="212"/>
  <c r="AC212" i="212"/>
  <c r="AD212" i="212"/>
  <c r="AE212" i="212"/>
  <c r="AF212" i="212"/>
  <c r="AG212" i="212"/>
  <c r="AH212" i="212"/>
  <c r="AI212" i="212"/>
  <c r="AJ212" i="212"/>
  <c r="AK212" i="212"/>
  <c r="AL212" i="212"/>
  <c r="AM212" i="212"/>
  <c r="AN212" i="212"/>
  <c r="AO212" i="212"/>
  <c r="AP212" i="212"/>
  <c r="AQ212" i="212"/>
  <c r="AR212" i="212"/>
  <c r="AS212" i="212"/>
  <c r="AT212" i="212"/>
  <c r="AU212" i="212"/>
  <c r="D213" i="212"/>
  <c r="E213" i="212"/>
  <c r="F213" i="212"/>
  <c r="G213" i="212"/>
  <c r="H213" i="212"/>
  <c r="I213" i="212"/>
  <c r="J213" i="212"/>
  <c r="K213" i="212"/>
  <c r="L213" i="212"/>
  <c r="M213" i="212"/>
  <c r="N213" i="212"/>
  <c r="O213" i="212"/>
  <c r="P213" i="212"/>
  <c r="Q213" i="212"/>
  <c r="R213" i="212"/>
  <c r="S213" i="212"/>
  <c r="T213" i="212"/>
  <c r="U213" i="212"/>
  <c r="V213" i="212"/>
  <c r="W213" i="212"/>
  <c r="X213" i="212"/>
  <c r="Y213" i="212"/>
  <c r="Z213" i="212"/>
  <c r="AA213" i="212"/>
  <c r="AB213" i="212"/>
  <c r="AC213" i="212"/>
  <c r="AD213" i="212"/>
  <c r="AE213" i="212"/>
  <c r="AF213" i="212"/>
  <c r="AG213" i="212"/>
  <c r="AH213" i="212"/>
  <c r="AI213" i="212"/>
  <c r="AJ213" i="212"/>
  <c r="AK213" i="212"/>
  <c r="AL213" i="212"/>
  <c r="AM213" i="212"/>
  <c r="AN213" i="212"/>
  <c r="AO213" i="212"/>
  <c r="AP213" i="212"/>
  <c r="AQ213" i="212"/>
  <c r="AR213" i="212"/>
  <c r="AS213" i="212"/>
  <c r="AT213" i="212"/>
  <c r="AU213" i="212"/>
  <c r="D214" i="212"/>
  <c r="E214" i="212"/>
  <c r="F214" i="212"/>
  <c r="G214" i="212"/>
  <c r="H214" i="212"/>
  <c r="I214" i="212"/>
  <c r="J214" i="212"/>
  <c r="K214" i="212"/>
  <c r="L214" i="212"/>
  <c r="M214" i="212"/>
  <c r="N214" i="212"/>
  <c r="O214" i="212"/>
  <c r="P214" i="212"/>
  <c r="Q214" i="212"/>
  <c r="R214" i="212"/>
  <c r="S214" i="212"/>
  <c r="T214" i="212"/>
  <c r="U214" i="212"/>
  <c r="V214" i="212"/>
  <c r="W214" i="212"/>
  <c r="X214" i="212"/>
  <c r="Y214" i="212"/>
  <c r="Z214" i="212"/>
  <c r="AA214" i="212"/>
  <c r="AB214" i="212"/>
  <c r="AC214" i="212"/>
  <c r="AD214" i="212"/>
  <c r="AE214" i="212"/>
  <c r="AF214" i="212"/>
  <c r="AG214" i="212"/>
  <c r="AH214" i="212"/>
  <c r="AI214" i="212"/>
  <c r="AJ214" i="212"/>
  <c r="AK214" i="212"/>
  <c r="AL214" i="212"/>
  <c r="AM214" i="212"/>
  <c r="AN214" i="212"/>
  <c r="AO214" i="212"/>
  <c r="AP214" i="212"/>
  <c r="AQ214" i="212"/>
  <c r="AR214" i="212"/>
  <c r="AS214" i="212"/>
  <c r="AT214" i="212"/>
  <c r="AU214" i="212"/>
  <c r="D215" i="212"/>
  <c r="E215" i="212"/>
  <c r="F215" i="212"/>
  <c r="G215" i="212"/>
  <c r="H215" i="212"/>
  <c r="I215" i="212"/>
  <c r="J215" i="212"/>
  <c r="K215" i="212"/>
  <c r="L215" i="212"/>
  <c r="M215" i="212"/>
  <c r="N215" i="212"/>
  <c r="O215" i="212"/>
  <c r="P215" i="212"/>
  <c r="Q215" i="212"/>
  <c r="R215" i="212"/>
  <c r="S215" i="212"/>
  <c r="T215" i="212"/>
  <c r="U215" i="212"/>
  <c r="V215" i="212"/>
  <c r="W215" i="212"/>
  <c r="X215" i="212"/>
  <c r="Y215" i="212"/>
  <c r="Z215" i="212"/>
  <c r="AA215" i="212"/>
  <c r="AB215" i="212"/>
  <c r="AC215" i="212"/>
  <c r="AD215" i="212"/>
  <c r="AE215" i="212"/>
  <c r="AF215" i="212"/>
  <c r="AG215" i="212"/>
  <c r="AH215" i="212"/>
  <c r="AI215" i="212"/>
  <c r="AJ215" i="212"/>
  <c r="AK215" i="212"/>
  <c r="AL215" i="212"/>
  <c r="AM215" i="212"/>
  <c r="AN215" i="212"/>
  <c r="AO215" i="212"/>
  <c r="AP215" i="212"/>
  <c r="AQ215" i="212"/>
  <c r="AR215" i="212"/>
  <c r="AS215" i="212"/>
  <c r="AT215" i="212"/>
  <c r="AU215" i="212"/>
  <c r="D216" i="212"/>
  <c r="E216" i="212"/>
  <c r="F216" i="212"/>
  <c r="G216" i="212"/>
  <c r="H216" i="212"/>
  <c r="I216" i="212"/>
  <c r="J216" i="212"/>
  <c r="K216" i="212"/>
  <c r="L216" i="212"/>
  <c r="M216" i="212"/>
  <c r="N216" i="212"/>
  <c r="O216" i="212"/>
  <c r="P216" i="212"/>
  <c r="Q216" i="212"/>
  <c r="R216" i="212"/>
  <c r="S216" i="212"/>
  <c r="T216" i="212"/>
  <c r="U216" i="212"/>
  <c r="V216" i="212"/>
  <c r="W216" i="212"/>
  <c r="X216" i="212"/>
  <c r="Y216" i="212"/>
  <c r="Z216" i="212"/>
  <c r="AA216" i="212"/>
  <c r="AB216" i="212"/>
  <c r="AC216" i="212"/>
  <c r="AD216" i="212"/>
  <c r="AE216" i="212"/>
  <c r="AF216" i="212"/>
  <c r="AG216" i="212"/>
  <c r="AH216" i="212"/>
  <c r="AI216" i="212"/>
  <c r="AJ216" i="212"/>
  <c r="AK216" i="212"/>
  <c r="AL216" i="212"/>
  <c r="AM216" i="212"/>
  <c r="AN216" i="212"/>
  <c r="AO216" i="212"/>
  <c r="AP216" i="212"/>
  <c r="AQ216" i="212"/>
  <c r="AR216" i="212"/>
  <c r="AS216" i="212"/>
  <c r="AT216" i="212"/>
  <c r="AU216" i="212"/>
  <c r="D217" i="212"/>
  <c r="E217" i="212"/>
  <c r="F217" i="212"/>
  <c r="G217" i="212"/>
  <c r="H217" i="212"/>
  <c r="I217" i="212"/>
  <c r="J217" i="212"/>
  <c r="K217" i="212"/>
  <c r="L217" i="212"/>
  <c r="M217" i="212"/>
  <c r="N217" i="212"/>
  <c r="O217" i="212"/>
  <c r="P217" i="212"/>
  <c r="Q217" i="212"/>
  <c r="R217" i="212"/>
  <c r="S217" i="212"/>
  <c r="T217" i="212"/>
  <c r="U217" i="212"/>
  <c r="V217" i="212"/>
  <c r="W217" i="212"/>
  <c r="X217" i="212"/>
  <c r="Y217" i="212"/>
  <c r="Z217" i="212"/>
  <c r="AA217" i="212"/>
  <c r="AB217" i="212"/>
  <c r="AC217" i="212"/>
  <c r="AD217" i="212"/>
  <c r="AE217" i="212"/>
  <c r="AF217" i="212"/>
  <c r="AG217" i="212"/>
  <c r="AH217" i="212"/>
  <c r="AI217" i="212"/>
  <c r="AJ217" i="212"/>
  <c r="AK217" i="212"/>
  <c r="AL217" i="212"/>
  <c r="AM217" i="212"/>
  <c r="AN217" i="212"/>
  <c r="AO217" i="212"/>
  <c r="AP217" i="212"/>
  <c r="AQ217" i="212"/>
  <c r="AR217" i="212"/>
  <c r="AS217" i="212"/>
  <c r="AT217" i="212"/>
  <c r="AU217" i="212"/>
  <c r="D218" i="212"/>
  <c r="E218" i="212"/>
  <c r="F218" i="212"/>
  <c r="G218" i="212"/>
  <c r="H218" i="212"/>
  <c r="I218" i="212"/>
  <c r="J218" i="212"/>
  <c r="K218" i="212"/>
  <c r="L218" i="212"/>
  <c r="M218" i="212"/>
  <c r="N218" i="212"/>
  <c r="O218" i="212"/>
  <c r="P218" i="212"/>
  <c r="Q218" i="212"/>
  <c r="R218" i="212"/>
  <c r="S218" i="212"/>
  <c r="T218" i="212"/>
  <c r="U218" i="212"/>
  <c r="V218" i="212"/>
  <c r="W218" i="212"/>
  <c r="X218" i="212"/>
  <c r="Y218" i="212"/>
  <c r="Z218" i="212"/>
  <c r="AA218" i="212"/>
  <c r="AB218" i="212"/>
  <c r="AC218" i="212"/>
  <c r="AD218" i="212"/>
  <c r="AE218" i="212"/>
  <c r="AF218" i="212"/>
  <c r="AG218" i="212"/>
  <c r="AH218" i="212"/>
  <c r="AI218" i="212"/>
  <c r="AJ218" i="212"/>
  <c r="AK218" i="212"/>
  <c r="AL218" i="212"/>
  <c r="AM218" i="212"/>
  <c r="AN218" i="212"/>
  <c r="AO218" i="212"/>
  <c r="AP218" i="212"/>
  <c r="AQ218" i="212"/>
  <c r="AR218" i="212"/>
  <c r="AS218" i="212"/>
  <c r="AT218" i="212"/>
  <c r="AU218" i="212"/>
  <c r="D219" i="212"/>
  <c r="E219" i="212"/>
  <c r="F219" i="212"/>
  <c r="G219" i="212"/>
  <c r="H219" i="212"/>
  <c r="I219" i="212"/>
  <c r="J219" i="212"/>
  <c r="K219" i="212"/>
  <c r="L219" i="212"/>
  <c r="M219" i="212"/>
  <c r="N219" i="212"/>
  <c r="O219" i="212"/>
  <c r="P219" i="212"/>
  <c r="Q219" i="212"/>
  <c r="R219" i="212"/>
  <c r="S219" i="212"/>
  <c r="T219" i="212"/>
  <c r="U219" i="212"/>
  <c r="V219" i="212"/>
  <c r="W219" i="212"/>
  <c r="X219" i="212"/>
  <c r="Y219" i="212"/>
  <c r="Z219" i="212"/>
  <c r="AA219" i="212"/>
  <c r="AB219" i="212"/>
  <c r="AC219" i="212"/>
  <c r="AD219" i="212"/>
  <c r="AE219" i="212"/>
  <c r="AF219" i="212"/>
  <c r="AG219" i="212"/>
  <c r="AH219" i="212"/>
  <c r="AI219" i="212"/>
  <c r="AJ219" i="212"/>
  <c r="AK219" i="212"/>
  <c r="AL219" i="212"/>
  <c r="AM219" i="212"/>
  <c r="AN219" i="212"/>
  <c r="AO219" i="212"/>
  <c r="AP219" i="212"/>
  <c r="AQ219" i="212"/>
  <c r="AR219" i="212"/>
  <c r="AS219" i="212"/>
  <c r="AT219" i="212"/>
  <c r="AU219" i="212"/>
  <c r="D220" i="212"/>
  <c r="E220" i="212"/>
  <c r="F220" i="212"/>
  <c r="G220" i="212"/>
  <c r="H220" i="212"/>
  <c r="I220" i="212"/>
  <c r="J220" i="212"/>
  <c r="K220" i="212"/>
  <c r="L220" i="212"/>
  <c r="M220" i="212"/>
  <c r="N220" i="212"/>
  <c r="O220" i="212"/>
  <c r="P220" i="212"/>
  <c r="Q220" i="212"/>
  <c r="R220" i="212"/>
  <c r="S220" i="212"/>
  <c r="T220" i="212"/>
  <c r="U220" i="212"/>
  <c r="V220" i="212"/>
  <c r="W220" i="212"/>
  <c r="X220" i="212"/>
  <c r="Y220" i="212"/>
  <c r="Z220" i="212"/>
  <c r="AA220" i="212"/>
  <c r="AB220" i="212"/>
  <c r="AC220" i="212"/>
  <c r="AD220" i="212"/>
  <c r="AE220" i="212"/>
  <c r="AF220" i="212"/>
  <c r="AG220" i="212"/>
  <c r="AH220" i="212"/>
  <c r="AI220" i="212"/>
  <c r="AJ220" i="212"/>
  <c r="AK220" i="212"/>
  <c r="AL220" i="212"/>
  <c r="AM220" i="212"/>
  <c r="AN220" i="212"/>
  <c r="AO220" i="212"/>
  <c r="AP220" i="212"/>
  <c r="AQ220" i="212"/>
  <c r="AR220" i="212"/>
  <c r="AS220" i="212"/>
  <c r="AT220" i="212"/>
  <c r="AU220" i="212"/>
  <c r="D221" i="212"/>
  <c r="E221" i="212"/>
  <c r="F221" i="212"/>
  <c r="G221" i="212"/>
  <c r="H221" i="212"/>
  <c r="I221" i="212"/>
  <c r="J221" i="212"/>
  <c r="K221" i="212"/>
  <c r="L221" i="212"/>
  <c r="M221" i="212"/>
  <c r="N221" i="212"/>
  <c r="O221" i="212"/>
  <c r="P221" i="212"/>
  <c r="Q221" i="212"/>
  <c r="R221" i="212"/>
  <c r="S221" i="212"/>
  <c r="T221" i="212"/>
  <c r="U221" i="212"/>
  <c r="V221" i="212"/>
  <c r="W221" i="212"/>
  <c r="X221" i="212"/>
  <c r="Y221" i="212"/>
  <c r="Z221" i="212"/>
  <c r="AA221" i="212"/>
  <c r="AB221" i="212"/>
  <c r="AC221" i="212"/>
  <c r="AD221" i="212"/>
  <c r="AE221" i="212"/>
  <c r="AF221" i="212"/>
  <c r="AG221" i="212"/>
  <c r="AH221" i="212"/>
  <c r="AI221" i="212"/>
  <c r="AJ221" i="212"/>
  <c r="AK221" i="212"/>
  <c r="AL221" i="212"/>
  <c r="AM221" i="212"/>
  <c r="AN221" i="212"/>
  <c r="AO221" i="212"/>
  <c r="AP221" i="212"/>
  <c r="AQ221" i="212"/>
  <c r="AR221" i="212"/>
  <c r="AS221" i="212"/>
  <c r="AT221" i="212"/>
  <c r="AU221" i="212"/>
  <c r="D222" i="212"/>
  <c r="E222" i="212"/>
  <c r="F222" i="212"/>
  <c r="G222" i="212"/>
  <c r="H222" i="212"/>
  <c r="I222" i="212"/>
  <c r="J222" i="212"/>
  <c r="K222" i="212"/>
  <c r="L222" i="212"/>
  <c r="M222" i="212"/>
  <c r="N222" i="212"/>
  <c r="O222" i="212"/>
  <c r="P222" i="212"/>
  <c r="Q222" i="212"/>
  <c r="R222" i="212"/>
  <c r="S222" i="212"/>
  <c r="T222" i="212"/>
  <c r="U222" i="212"/>
  <c r="V222" i="212"/>
  <c r="W222" i="212"/>
  <c r="X222" i="212"/>
  <c r="Y222" i="212"/>
  <c r="Z222" i="212"/>
  <c r="AA222" i="212"/>
  <c r="AB222" i="212"/>
  <c r="AC222" i="212"/>
  <c r="AD222" i="212"/>
  <c r="AE222" i="212"/>
  <c r="AF222" i="212"/>
  <c r="AG222" i="212"/>
  <c r="AH222" i="212"/>
  <c r="AI222" i="212"/>
  <c r="AJ222" i="212"/>
  <c r="AK222" i="212"/>
  <c r="AL222" i="212"/>
  <c r="AM222" i="212"/>
  <c r="AN222" i="212"/>
  <c r="AO222" i="212"/>
  <c r="AP222" i="212"/>
  <c r="AQ222" i="212"/>
  <c r="AR222" i="212"/>
  <c r="AS222" i="212"/>
  <c r="AT222" i="212"/>
  <c r="AU222" i="212"/>
  <c r="D223" i="212"/>
  <c r="E223" i="212"/>
  <c r="F223" i="212"/>
  <c r="G223" i="212"/>
  <c r="H223" i="212"/>
  <c r="I223" i="212"/>
  <c r="J223" i="212"/>
  <c r="K223" i="212"/>
  <c r="L223" i="212"/>
  <c r="M223" i="212"/>
  <c r="N223" i="212"/>
  <c r="O223" i="212"/>
  <c r="P223" i="212"/>
  <c r="Q223" i="212"/>
  <c r="R223" i="212"/>
  <c r="S223" i="212"/>
  <c r="T223" i="212"/>
  <c r="U223" i="212"/>
  <c r="V223" i="212"/>
  <c r="W223" i="212"/>
  <c r="X223" i="212"/>
  <c r="Y223" i="212"/>
  <c r="Z223" i="212"/>
  <c r="AA223" i="212"/>
  <c r="AB223" i="212"/>
  <c r="AC223" i="212"/>
  <c r="AD223" i="212"/>
  <c r="AE223" i="212"/>
  <c r="AF223" i="212"/>
  <c r="AG223" i="212"/>
  <c r="AH223" i="212"/>
  <c r="AI223" i="212"/>
  <c r="AJ223" i="212"/>
  <c r="AK223" i="212"/>
  <c r="AL223" i="212"/>
  <c r="AM223" i="212"/>
  <c r="AN223" i="212"/>
  <c r="AO223" i="212"/>
  <c r="AP223" i="212"/>
  <c r="AQ223" i="212"/>
  <c r="AR223" i="212"/>
  <c r="AS223" i="212"/>
  <c r="AT223" i="212"/>
  <c r="AU223" i="212"/>
  <c r="D224" i="212"/>
  <c r="E224" i="212"/>
  <c r="F224" i="212"/>
  <c r="G224" i="212"/>
  <c r="H224" i="212"/>
  <c r="I224" i="212"/>
  <c r="J224" i="212"/>
  <c r="K224" i="212"/>
  <c r="L224" i="212"/>
  <c r="M224" i="212"/>
  <c r="N224" i="212"/>
  <c r="O224" i="212"/>
  <c r="P224" i="212"/>
  <c r="Q224" i="212"/>
  <c r="R224" i="212"/>
  <c r="S224" i="212"/>
  <c r="T224" i="212"/>
  <c r="U224" i="212"/>
  <c r="V224" i="212"/>
  <c r="W224" i="212"/>
  <c r="X224" i="212"/>
  <c r="Y224" i="212"/>
  <c r="Z224" i="212"/>
  <c r="AA224" i="212"/>
  <c r="AB224" i="212"/>
  <c r="AC224" i="212"/>
  <c r="AD224" i="212"/>
  <c r="AE224" i="212"/>
  <c r="AF224" i="212"/>
  <c r="AG224" i="212"/>
  <c r="AH224" i="212"/>
  <c r="AI224" i="212"/>
  <c r="AJ224" i="212"/>
  <c r="AK224" i="212"/>
  <c r="AL224" i="212"/>
  <c r="AM224" i="212"/>
  <c r="AN224" i="212"/>
  <c r="AO224" i="212"/>
  <c r="AP224" i="212"/>
  <c r="AQ224" i="212"/>
  <c r="AR224" i="212"/>
  <c r="AS224" i="212"/>
  <c r="AT224" i="212"/>
  <c r="AU224" i="212"/>
  <c r="D225" i="212"/>
  <c r="E225" i="212"/>
  <c r="F225" i="212"/>
  <c r="G225" i="212"/>
  <c r="H225" i="212"/>
  <c r="I225" i="212"/>
  <c r="J225" i="212"/>
  <c r="K225" i="212"/>
  <c r="L225" i="212"/>
  <c r="M225" i="212"/>
  <c r="N225" i="212"/>
  <c r="O225" i="212"/>
  <c r="P225" i="212"/>
  <c r="Q225" i="212"/>
  <c r="R225" i="212"/>
  <c r="S225" i="212"/>
  <c r="T225" i="212"/>
  <c r="U225" i="212"/>
  <c r="V225" i="212"/>
  <c r="W225" i="212"/>
  <c r="X225" i="212"/>
  <c r="Y225" i="212"/>
  <c r="Z225" i="212"/>
  <c r="AA225" i="212"/>
  <c r="AB225" i="212"/>
  <c r="AC225" i="212"/>
  <c r="AD225" i="212"/>
  <c r="AE225" i="212"/>
  <c r="AF225" i="212"/>
  <c r="AG225" i="212"/>
  <c r="AH225" i="212"/>
  <c r="AI225" i="212"/>
  <c r="AJ225" i="212"/>
  <c r="AK225" i="212"/>
  <c r="AL225" i="212"/>
  <c r="AM225" i="212"/>
  <c r="AN225" i="212"/>
  <c r="AO225" i="212"/>
  <c r="AP225" i="212"/>
  <c r="AQ225" i="212"/>
  <c r="AR225" i="212"/>
  <c r="AS225" i="212"/>
  <c r="AT225" i="212"/>
  <c r="AU225" i="212"/>
  <c r="K230" i="212"/>
  <c r="K231" i="212"/>
  <c r="L231" i="212"/>
  <c r="M231" i="212" s="1"/>
  <c r="N231" i="212"/>
  <c r="O231" i="212" s="1"/>
  <c r="P231" i="212" s="1"/>
  <c r="Q231" i="212" s="1"/>
  <c r="R231" i="212" s="1"/>
  <c r="S231" i="212" s="1"/>
  <c r="T231" i="212" s="1"/>
  <c r="U231" i="212" s="1"/>
  <c r="V231" i="212" s="1"/>
  <c r="W231" i="212" s="1"/>
  <c r="X231" i="212" s="1"/>
  <c r="Y231" i="212" s="1"/>
  <c r="Z231" i="212"/>
  <c r="AA231" i="212" s="1"/>
  <c r="AB231" i="212" s="1"/>
  <c r="AC231" i="212" s="1"/>
  <c r="AD231" i="212" s="1"/>
  <c r="AE231" i="212" s="1"/>
  <c r="AF231" i="212" s="1"/>
  <c r="AG231" i="212" s="1"/>
  <c r="AH231" i="212" s="1"/>
  <c r="AI231" i="212" s="1"/>
  <c r="AJ231" i="212" s="1"/>
  <c r="AK231" i="212" s="1"/>
  <c r="AL231" i="212" s="1"/>
  <c r="AM231" i="212" s="1"/>
  <c r="AN231" i="212" s="1"/>
  <c r="AO231" i="212" s="1"/>
  <c r="AP231" i="212" s="1"/>
  <c r="AQ231" i="212" s="1"/>
  <c r="AR231" i="212" s="1"/>
  <c r="AS231" i="212" s="1"/>
  <c r="AT231" i="212" s="1"/>
  <c r="AU231" i="212" s="1"/>
  <c r="K232" i="212"/>
  <c r="L232" i="212" s="1"/>
  <c r="M232" i="212"/>
  <c r="N232" i="212" s="1"/>
  <c r="O232" i="212" s="1"/>
  <c r="P232" i="212" s="1"/>
  <c r="Q232" i="212"/>
  <c r="R232" i="212" s="1"/>
  <c r="S232" i="212" s="1"/>
  <c r="T232" i="212" s="1"/>
  <c r="U232" i="212"/>
  <c r="V232" i="212" s="1"/>
  <c r="W232" i="212" s="1"/>
  <c r="X232" i="212" s="1"/>
  <c r="Y232" i="212" s="1"/>
  <c r="Z232" i="212" s="1"/>
  <c r="AA232" i="212" s="1"/>
  <c r="AB232" i="212" s="1"/>
  <c r="AC232" i="212" s="1"/>
  <c r="AD232" i="212" s="1"/>
  <c r="AE232" i="212" s="1"/>
  <c r="AF232" i="212" s="1"/>
  <c r="AG232" i="212"/>
  <c r="AH232" i="212" s="1"/>
  <c r="AI232" i="212" s="1"/>
  <c r="AJ232" i="212" s="1"/>
  <c r="AK232" i="212" s="1"/>
  <c r="AL232" i="212" s="1"/>
  <c r="AM232" i="212" s="1"/>
  <c r="AN232" i="212" s="1"/>
  <c r="AO232" i="212" s="1"/>
  <c r="AP232" i="212" s="1"/>
  <c r="AQ232" i="212" s="1"/>
  <c r="AR232" i="212" s="1"/>
  <c r="AS232" i="212" s="1"/>
  <c r="AT232" i="212" s="1"/>
  <c r="AU232" i="212" s="1"/>
  <c r="K233" i="212"/>
  <c r="L233" i="212"/>
  <c r="M233" i="212" s="1"/>
  <c r="N233" i="212" s="1"/>
  <c r="O233" i="212" s="1"/>
  <c r="P233" i="212" s="1"/>
  <c r="Q233" i="212" s="1"/>
  <c r="R233" i="212" s="1"/>
  <c r="S233" i="212" s="1"/>
  <c r="T233" i="212" s="1"/>
  <c r="U233" i="212" s="1"/>
  <c r="V233" i="212" s="1"/>
  <c r="W233" i="212" s="1"/>
  <c r="X233" i="212"/>
  <c r="Y233" i="212" s="1"/>
  <c r="Z233" i="212" s="1"/>
  <c r="AA233" i="212" s="1"/>
  <c r="AB233" i="212" s="1"/>
  <c r="AC233" i="212" s="1"/>
  <c r="AD233" i="212" s="1"/>
  <c r="AE233" i="212" s="1"/>
  <c r="AF233" i="212" s="1"/>
  <c r="AG233" i="212" s="1"/>
  <c r="AH233" i="212" s="1"/>
  <c r="AI233" i="212" s="1"/>
  <c r="AJ233" i="212" s="1"/>
  <c r="AK233" i="212" s="1"/>
  <c r="AL233" i="212" s="1"/>
  <c r="AM233" i="212" s="1"/>
  <c r="AN233" i="212" s="1"/>
  <c r="AO233" i="212" s="1"/>
  <c r="AP233" i="212" s="1"/>
  <c r="AQ233" i="212" s="1"/>
  <c r="AR233" i="212" s="1"/>
  <c r="AS233" i="212" s="1"/>
  <c r="AT233" i="212" s="1"/>
  <c r="AU233" i="212" s="1"/>
  <c r="K234" i="212"/>
  <c r="L234" i="212" s="1"/>
  <c r="M234" i="212" s="1"/>
  <c r="N234" i="212" s="1"/>
  <c r="O234" i="212"/>
  <c r="P234" i="212" s="1"/>
  <c r="Q234" i="212" s="1"/>
  <c r="R234" i="212" s="1"/>
  <c r="S234" i="212"/>
  <c r="T234" i="212" s="1"/>
  <c r="U234" i="212" s="1"/>
  <c r="V234" i="212" s="1"/>
  <c r="W234" i="212"/>
  <c r="X234" i="212" s="1"/>
  <c r="Y234" i="212" s="1"/>
  <c r="Z234" i="212" s="1"/>
  <c r="AA234" i="212" s="1"/>
  <c r="AB234" i="212" s="1"/>
  <c r="AC234" i="212" s="1"/>
  <c r="AD234" i="212" s="1"/>
  <c r="AE234" i="212" s="1"/>
  <c r="AF234" i="212" s="1"/>
  <c r="AG234" i="212" s="1"/>
  <c r="AH234" i="212" s="1"/>
  <c r="AI234" i="212"/>
  <c r="AJ234" i="212" s="1"/>
  <c r="AK234" i="212" s="1"/>
  <c r="AL234" i="212" s="1"/>
  <c r="AM234" i="212" s="1"/>
  <c r="AN234" i="212" s="1"/>
  <c r="AO234" i="212" s="1"/>
  <c r="AP234" i="212" s="1"/>
  <c r="AQ234" i="212" s="1"/>
  <c r="AR234" i="212" s="1"/>
  <c r="AS234" i="212" s="1"/>
  <c r="AT234" i="212" s="1"/>
  <c r="AU234" i="212" s="1"/>
  <c r="K235" i="212"/>
  <c r="L235" i="212"/>
  <c r="M235" i="212" s="1"/>
  <c r="N235" i="212" s="1"/>
  <c r="O235" i="212" s="1"/>
  <c r="P235" i="212" s="1"/>
  <c r="Q235" i="212" s="1"/>
  <c r="R235" i="212" s="1"/>
  <c r="S235" i="212" s="1"/>
  <c r="T235" i="212" s="1"/>
  <c r="U235" i="212" s="1"/>
  <c r="V235" i="212"/>
  <c r="W235" i="212" s="1"/>
  <c r="X235" i="212" s="1"/>
  <c r="Y235" i="212" s="1"/>
  <c r="Z235" i="212" s="1"/>
  <c r="AA235" i="212" s="1"/>
  <c r="AB235" i="212" s="1"/>
  <c r="AC235" i="212" s="1"/>
  <c r="AD235" i="212" s="1"/>
  <c r="AE235" i="212" s="1"/>
  <c r="AF235" i="212" s="1"/>
  <c r="AG235" i="212" s="1"/>
  <c r="AH235" i="212" s="1"/>
  <c r="AI235" i="212" s="1"/>
  <c r="AJ235" i="212" s="1"/>
  <c r="AK235" i="212" s="1"/>
  <c r="AL235" i="212" s="1"/>
  <c r="AM235" i="212" s="1"/>
  <c r="AN235" i="212" s="1"/>
  <c r="AO235" i="212" s="1"/>
  <c r="AP235" i="212" s="1"/>
  <c r="AQ235" i="212" s="1"/>
  <c r="AR235" i="212" s="1"/>
  <c r="AS235" i="212" s="1"/>
  <c r="AT235" i="212" s="1"/>
  <c r="AU235" i="212" s="1"/>
  <c r="K236" i="212"/>
  <c r="L236" i="212" s="1"/>
  <c r="M236" i="212"/>
  <c r="N236" i="212" s="1"/>
  <c r="O236" i="212" s="1"/>
  <c r="P236" i="212" s="1"/>
  <c r="Q236" i="212" s="1"/>
  <c r="R236" i="212" s="1"/>
  <c r="S236" i="212" s="1"/>
  <c r="T236" i="212" s="1"/>
  <c r="U236" i="212" s="1"/>
  <c r="V236" i="212" s="1"/>
  <c r="W236" i="212" s="1"/>
  <c r="X236" i="212" s="1"/>
  <c r="Y236" i="212" s="1"/>
  <c r="Z236" i="212" s="1"/>
  <c r="AA236" i="212" s="1"/>
  <c r="AB236" i="212" s="1"/>
  <c r="AC236" i="212" s="1"/>
  <c r="AD236" i="212" s="1"/>
  <c r="AE236" i="212" s="1"/>
  <c r="AF236" i="212" s="1"/>
  <c r="AG236" i="212"/>
  <c r="AH236" i="212" s="1"/>
  <c r="AI236" i="212" s="1"/>
  <c r="AJ236" i="212" s="1"/>
  <c r="AK236" i="212" s="1"/>
  <c r="AL236" i="212" s="1"/>
  <c r="AM236" i="212" s="1"/>
  <c r="AN236" i="212" s="1"/>
  <c r="AO236" i="212" s="1"/>
  <c r="AP236" i="212" s="1"/>
  <c r="AQ236" i="212" s="1"/>
  <c r="AR236" i="212" s="1"/>
  <c r="AS236" i="212" s="1"/>
  <c r="AT236" i="212" s="1"/>
  <c r="AU236" i="212" s="1"/>
  <c r="K237" i="212"/>
  <c r="L237" i="212"/>
  <c r="M237" i="212" s="1"/>
  <c r="N237" i="212" s="1"/>
  <c r="O237" i="212" s="1"/>
  <c r="P237" i="212"/>
  <c r="Q237" i="212" s="1"/>
  <c r="R237" i="212" s="1"/>
  <c r="S237" i="212" s="1"/>
  <c r="T237" i="212"/>
  <c r="U237" i="212" s="1"/>
  <c r="V237" i="212" s="1"/>
  <c r="W237" i="212" s="1"/>
  <c r="X237" i="212" s="1"/>
  <c r="Y237" i="212" s="1"/>
  <c r="Z237" i="212" s="1"/>
  <c r="AA237" i="212" s="1"/>
  <c r="AB237" i="212" s="1"/>
  <c r="AC237" i="212" s="1"/>
  <c r="AD237" i="212" s="1"/>
  <c r="AE237" i="212" s="1"/>
  <c r="AF237" i="212" s="1"/>
  <c r="AG237" i="212" s="1"/>
  <c r="AH237" i="212" s="1"/>
  <c r="AI237" i="212" s="1"/>
  <c r="AJ237" i="212" s="1"/>
  <c r="AK237" i="212" s="1"/>
  <c r="AL237" i="212" s="1"/>
  <c r="AM237" i="212" s="1"/>
  <c r="AN237" i="212"/>
  <c r="AO237" i="212" s="1"/>
  <c r="AP237" i="212" s="1"/>
  <c r="AQ237" i="212" s="1"/>
  <c r="AR237" i="212" s="1"/>
  <c r="AS237" i="212" s="1"/>
  <c r="AT237" i="212" s="1"/>
  <c r="AU237" i="212" s="1"/>
  <c r="K238" i="212"/>
  <c r="L238" i="212" s="1"/>
  <c r="K239" i="212"/>
  <c r="L239" i="212" s="1"/>
  <c r="M239" i="212"/>
  <c r="N239" i="212" s="1"/>
  <c r="O239" i="212" s="1"/>
  <c r="P239" i="212" s="1"/>
  <c r="Q239" i="212" s="1"/>
  <c r="R239" i="212" s="1"/>
  <c r="S239" i="212" s="1"/>
  <c r="T239" i="212" s="1"/>
  <c r="U239" i="212" s="1"/>
  <c r="V239" i="212" s="1"/>
  <c r="W239" i="212" s="1"/>
  <c r="X239" i="212" s="1"/>
  <c r="Y239" i="212"/>
  <c r="Z239" i="212" s="1"/>
  <c r="AA239" i="212" s="1"/>
  <c r="AB239" i="212" s="1"/>
  <c r="AC239" i="212" s="1"/>
  <c r="AD239" i="212" s="1"/>
  <c r="AE239" i="212" s="1"/>
  <c r="AF239" i="212" s="1"/>
  <c r="AG239" i="212" s="1"/>
  <c r="AH239" i="212" s="1"/>
  <c r="AI239" i="212" s="1"/>
  <c r="AJ239" i="212" s="1"/>
  <c r="AK239" i="212" s="1"/>
  <c r="AL239" i="212" s="1"/>
  <c r="AM239" i="212" s="1"/>
  <c r="AN239" i="212" s="1"/>
  <c r="AO239" i="212" s="1"/>
  <c r="AP239" i="212" s="1"/>
  <c r="AQ239" i="212" s="1"/>
  <c r="AR239" i="212" s="1"/>
  <c r="AS239" i="212" s="1"/>
  <c r="AT239" i="212" s="1"/>
  <c r="AU239" i="212" s="1"/>
  <c r="K240" i="212"/>
  <c r="L240" i="212"/>
  <c r="M240" i="212" s="1"/>
  <c r="N240" i="212" s="1"/>
  <c r="O240" i="212" s="1"/>
  <c r="P240" i="212"/>
  <c r="Q240" i="212" s="1"/>
  <c r="R240" i="212" s="1"/>
  <c r="S240" i="212" s="1"/>
  <c r="T240" i="212"/>
  <c r="U240" i="212" s="1"/>
  <c r="V240" i="212" s="1"/>
  <c r="W240" i="212" s="1"/>
  <c r="X240" i="212" s="1"/>
  <c r="Y240" i="212" s="1"/>
  <c r="Z240" i="212" s="1"/>
  <c r="AA240" i="212" s="1"/>
  <c r="AB240" i="212" s="1"/>
  <c r="AC240" i="212" s="1"/>
  <c r="AD240" i="212" s="1"/>
  <c r="AE240" i="212" s="1"/>
  <c r="AF240" i="212"/>
  <c r="AG240" i="212" s="1"/>
  <c r="AH240" i="212" s="1"/>
  <c r="AI240" i="212" s="1"/>
  <c r="AJ240" i="212" s="1"/>
  <c r="AK240" i="212" s="1"/>
  <c r="AL240" i="212" s="1"/>
  <c r="AM240" i="212" s="1"/>
  <c r="AN240" i="212" s="1"/>
  <c r="AO240" i="212" s="1"/>
  <c r="AP240" i="212" s="1"/>
  <c r="AQ240" i="212" s="1"/>
  <c r="AR240" i="212" s="1"/>
  <c r="AS240" i="212" s="1"/>
  <c r="AT240" i="212" s="1"/>
  <c r="AU240" i="212" s="1"/>
  <c r="C241" i="212"/>
  <c r="D241" i="212"/>
  <c r="E241" i="212"/>
  <c r="F241" i="212"/>
  <c r="G241" i="212"/>
  <c r="H241" i="212"/>
  <c r="I241" i="212"/>
  <c r="J241" i="212"/>
  <c r="K244" i="212"/>
  <c r="K245" i="212"/>
  <c r="L245" i="212"/>
  <c r="M245" i="212" s="1"/>
  <c r="N245" i="212" s="1"/>
  <c r="O245" i="212" s="1"/>
  <c r="P245" i="212"/>
  <c r="Q245" i="212" s="1"/>
  <c r="R245" i="212" s="1"/>
  <c r="S245" i="212" s="1"/>
  <c r="T245" i="212"/>
  <c r="U245" i="212" s="1"/>
  <c r="V245" i="212" s="1"/>
  <c r="W245" i="212" s="1"/>
  <c r="X245" i="212"/>
  <c r="Y245" i="212" s="1"/>
  <c r="Z245" i="212" s="1"/>
  <c r="AA245" i="212" s="1"/>
  <c r="AB245" i="212" s="1"/>
  <c r="AC245" i="212" s="1"/>
  <c r="AD245" i="212" s="1"/>
  <c r="AE245" i="212" s="1"/>
  <c r="AF245" i="212" s="1"/>
  <c r="AG245" i="212" s="1"/>
  <c r="AH245" i="212" s="1"/>
  <c r="AI245" i="212" s="1"/>
  <c r="AJ245" i="212"/>
  <c r="AK245" i="212" s="1"/>
  <c r="AL245" i="212" s="1"/>
  <c r="AM245" i="212" s="1"/>
  <c r="AN245" i="212" s="1"/>
  <c r="AO245" i="212" s="1"/>
  <c r="AP245" i="212" s="1"/>
  <c r="AQ245" i="212" s="1"/>
  <c r="AR245" i="212" s="1"/>
  <c r="AS245" i="212" s="1"/>
  <c r="AT245" i="212" s="1"/>
  <c r="AU245" i="212" s="1"/>
  <c r="K246" i="212"/>
  <c r="L246" i="212" s="1"/>
  <c r="K247" i="212"/>
  <c r="L247" i="212" s="1"/>
  <c r="M247" i="212"/>
  <c r="N247" i="212" s="1"/>
  <c r="O247" i="212" s="1"/>
  <c r="P247" i="212" s="1"/>
  <c r="Q247" i="212" s="1"/>
  <c r="R247" i="212" s="1"/>
  <c r="S247" i="212" s="1"/>
  <c r="T247" i="212" s="1"/>
  <c r="U247" i="212" s="1"/>
  <c r="V247" i="212" s="1"/>
  <c r="W247" i="212" s="1"/>
  <c r="X247" i="212" s="1"/>
  <c r="Y247" i="212" s="1"/>
  <c r="Z247" i="212" s="1"/>
  <c r="AA247" i="212" s="1"/>
  <c r="AB247" i="212" s="1"/>
  <c r="AC247" i="212" s="1"/>
  <c r="AD247" i="212" s="1"/>
  <c r="AE247" i="212" s="1"/>
  <c r="AF247" i="212" s="1"/>
  <c r="AG247" i="212" s="1"/>
  <c r="AH247" i="212" s="1"/>
  <c r="AI247" i="212"/>
  <c r="AJ247" i="212" s="1"/>
  <c r="AK247" i="212" s="1"/>
  <c r="AL247" i="212" s="1"/>
  <c r="AM247" i="212" s="1"/>
  <c r="AN247" i="212" s="1"/>
  <c r="AO247" i="212" s="1"/>
  <c r="AP247" i="212" s="1"/>
  <c r="AQ247" i="212" s="1"/>
  <c r="AR247" i="212" s="1"/>
  <c r="AS247" i="212" s="1"/>
  <c r="AT247" i="212" s="1"/>
  <c r="AU247" i="212" s="1"/>
  <c r="K248" i="212"/>
  <c r="L248" i="212"/>
  <c r="M248" i="212" s="1"/>
  <c r="N248" i="212" s="1"/>
  <c r="O248" i="212" s="1"/>
  <c r="P248" i="212" s="1"/>
  <c r="Q248" i="212" s="1"/>
  <c r="R248" i="212" s="1"/>
  <c r="S248" i="212" s="1"/>
  <c r="T248" i="212" s="1"/>
  <c r="U248" i="212" s="1"/>
  <c r="V248" i="212" s="1"/>
  <c r="W248" i="212" s="1"/>
  <c r="X248" i="212" s="1"/>
  <c r="Y248" i="212" s="1"/>
  <c r="Z248" i="212" s="1"/>
  <c r="AA248" i="212" s="1"/>
  <c r="AB248" i="212"/>
  <c r="AC248" i="212" s="1"/>
  <c r="AD248" i="212" s="1"/>
  <c r="AE248" i="212" s="1"/>
  <c r="AF248" i="212" s="1"/>
  <c r="AG248" i="212" s="1"/>
  <c r="AH248" i="212" s="1"/>
  <c r="AI248" i="212" s="1"/>
  <c r="AJ248" i="212" s="1"/>
  <c r="AK248" i="212" s="1"/>
  <c r="AL248" i="212" s="1"/>
  <c r="AM248" i="212" s="1"/>
  <c r="AN248" i="212" s="1"/>
  <c r="AO248" i="212" s="1"/>
  <c r="AP248" i="212" s="1"/>
  <c r="AQ248" i="212" s="1"/>
  <c r="AR248" i="212"/>
  <c r="AS248" i="212" s="1"/>
  <c r="AT248" i="212" s="1"/>
  <c r="AU248" i="212" s="1"/>
  <c r="K249" i="212"/>
  <c r="L249" i="212" s="1"/>
  <c r="M249" i="212"/>
  <c r="N249" i="212" s="1"/>
  <c r="O249" i="212"/>
  <c r="P249" i="212" s="1"/>
  <c r="Q249" i="212" s="1"/>
  <c r="R249" i="212" s="1"/>
  <c r="S249" i="212" s="1"/>
  <c r="T249" i="212" s="1"/>
  <c r="U249" i="212"/>
  <c r="V249" i="212" s="1"/>
  <c r="W249" i="212" s="1"/>
  <c r="X249" i="212" s="1"/>
  <c r="Y249" i="212" s="1"/>
  <c r="Z249" i="212" s="1"/>
  <c r="AA249" i="212" s="1"/>
  <c r="AB249" i="212" s="1"/>
  <c r="AC249" i="212" s="1"/>
  <c r="AD249" i="212" s="1"/>
  <c r="AE249" i="212" s="1"/>
  <c r="AF249" i="212" s="1"/>
  <c r="AG249" i="212" s="1"/>
  <c r="AH249" i="212" s="1"/>
  <c r="AI249" i="212" s="1"/>
  <c r="AJ249" i="212" s="1"/>
  <c r="AK249" i="212" s="1"/>
  <c r="AL249" i="212" s="1"/>
  <c r="AM249" i="212" s="1"/>
  <c r="AN249" i="212" s="1"/>
  <c r="AO249" i="212" s="1"/>
  <c r="AP249" i="212" s="1"/>
  <c r="AQ249" i="212" s="1"/>
  <c r="AR249" i="212" s="1"/>
  <c r="AS249" i="212" s="1"/>
  <c r="AT249" i="212" s="1"/>
  <c r="AU249" i="212" s="1"/>
  <c r="K250" i="212"/>
  <c r="L250" i="212"/>
  <c r="M250" i="212" s="1"/>
  <c r="N250" i="212"/>
  <c r="O250" i="212" s="1"/>
  <c r="P250" i="212"/>
  <c r="Q250" i="212" s="1"/>
  <c r="R250" i="212" s="1"/>
  <c r="S250" i="212" s="1"/>
  <c r="T250" i="212" s="1"/>
  <c r="U250" i="212" s="1"/>
  <c r="V250" i="212"/>
  <c r="W250" i="212" s="1"/>
  <c r="X250" i="212" s="1"/>
  <c r="Y250" i="212" s="1"/>
  <c r="Z250" i="212" s="1"/>
  <c r="AA250" i="212" s="1"/>
  <c r="AB250" i="212" s="1"/>
  <c r="AC250" i="212" s="1"/>
  <c r="AD250" i="212" s="1"/>
  <c r="AE250" i="212" s="1"/>
  <c r="AF250" i="212" s="1"/>
  <c r="AG250" i="212" s="1"/>
  <c r="AH250" i="212" s="1"/>
  <c r="AI250" i="212" s="1"/>
  <c r="AJ250" i="212" s="1"/>
  <c r="AK250" i="212" s="1"/>
  <c r="AL250" i="212"/>
  <c r="AM250" i="212" s="1"/>
  <c r="AN250" i="212" s="1"/>
  <c r="AO250" i="212" s="1"/>
  <c r="AP250" i="212" s="1"/>
  <c r="AQ250" i="212" s="1"/>
  <c r="AR250" i="212" s="1"/>
  <c r="AS250" i="212" s="1"/>
  <c r="AT250" i="212" s="1"/>
  <c r="AU250" i="212" s="1"/>
  <c r="K251" i="212"/>
  <c r="L251" i="212" s="1"/>
  <c r="M251" i="212" s="1"/>
  <c r="N251" i="212" s="1"/>
  <c r="O251" i="212" s="1"/>
  <c r="P251" i="212" s="1"/>
  <c r="Q251" i="212"/>
  <c r="R251" i="212" s="1"/>
  <c r="S251" i="212" s="1"/>
  <c r="T251" i="212" s="1"/>
  <c r="U251" i="212" s="1"/>
  <c r="V251" i="212" s="1"/>
  <c r="W251" i="212" s="1"/>
  <c r="X251" i="212" s="1"/>
  <c r="Y251" i="212" s="1"/>
  <c r="Z251" i="212" s="1"/>
  <c r="AA251" i="212" s="1"/>
  <c r="AB251" i="212" s="1"/>
  <c r="AC251" i="212" s="1"/>
  <c r="AD251" i="212" s="1"/>
  <c r="AE251" i="212" s="1"/>
  <c r="AF251" i="212" s="1"/>
  <c r="AG251" i="212" s="1"/>
  <c r="AH251" i="212" s="1"/>
  <c r="AI251" i="212" s="1"/>
  <c r="AJ251" i="212" s="1"/>
  <c r="AK251" i="212" s="1"/>
  <c r="AL251" i="212" s="1"/>
  <c r="AM251" i="212" s="1"/>
  <c r="AN251" i="212" s="1"/>
  <c r="AO251" i="212" s="1"/>
  <c r="AP251" i="212" s="1"/>
  <c r="AQ251" i="212" s="1"/>
  <c r="AR251" i="212" s="1"/>
  <c r="AS251" i="212" s="1"/>
  <c r="AT251" i="212" s="1"/>
  <c r="AU251" i="212" s="1"/>
  <c r="K252" i="212"/>
  <c r="L252" i="212"/>
  <c r="M252" i="212" s="1"/>
  <c r="N252" i="212" s="1"/>
  <c r="O252" i="212" s="1"/>
  <c r="P252" i="212" s="1"/>
  <c r="Q252" i="212" s="1"/>
  <c r="R252" i="212" s="1"/>
  <c r="S252" i="212" s="1"/>
  <c r="T252" i="212" s="1"/>
  <c r="U252" i="212" s="1"/>
  <c r="V252" i="212" s="1"/>
  <c r="W252" i="212" s="1"/>
  <c r="X252" i="212" s="1"/>
  <c r="Y252" i="212" s="1"/>
  <c r="Z252" i="212" s="1"/>
  <c r="AA252" i="212" s="1"/>
  <c r="AB252" i="212" s="1"/>
  <c r="AC252" i="212" s="1"/>
  <c r="AD252" i="212" s="1"/>
  <c r="AE252" i="212" s="1"/>
  <c r="AF252" i="212" s="1"/>
  <c r="AG252" i="212" s="1"/>
  <c r="AH252" i="212" s="1"/>
  <c r="AI252" i="212" s="1"/>
  <c r="AJ252" i="212" s="1"/>
  <c r="AK252" i="212" s="1"/>
  <c r="AL252" i="212" s="1"/>
  <c r="AM252" i="212" s="1"/>
  <c r="AN252" i="212" s="1"/>
  <c r="AO252" i="212" s="1"/>
  <c r="AP252" i="212" s="1"/>
  <c r="AQ252" i="212" s="1"/>
  <c r="AR252" i="212" s="1"/>
  <c r="AS252" i="212" s="1"/>
  <c r="AT252" i="212" s="1"/>
  <c r="AU252" i="212" s="1"/>
  <c r="K253" i="212"/>
  <c r="L253" i="212" s="1"/>
  <c r="M253" i="212"/>
  <c r="N253" i="212" s="1"/>
  <c r="O253" i="212"/>
  <c r="P253" i="212" s="1"/>
  <c r="Q253" i="212" s="1"/>
  <c r="R253" i="212" s="1"/>
  <c r="S253" i="212" s="1"/>
  <c r="T253" i="212" s="1"/>
  <c r="U253" i="212" s="1"/>
  <c r="V253" i="212" s="1"/>
  <c r="W253" i="212" s="1"/>
  <c r="X253" i="212" s="1"/>
  <c r="Y253" i="212" s="1"/>
  <c r="Z253" i="212" s="1"/>
  <c r="AA253" i="212" s="1"/>
  <c r="AB253" i="212" s="1"/>
  <c r="AC253" i="212" s="1"/>
  <c r="AD253" i="212" s="1"/>
  <c r="AE253" i="212" s="1"/>
  <c r="AF253" i="212" s="1"/>
  <c r="AG253" i="212" s="1"/>
  <c r="AH253" i="212" s="1"/>
  <c r="AI253" i="212" s="1"/>
  <c r="AJ253" i="212" s="1"/>
  <c r="AK253" i="212" s="1"/>
  <c r="AL253" i="212" s="1"/>
  <c r="AM253" i="212" s="1"/>
  <c r="AN253" i="212" s="1"/>
  <c r="AO253" i="212" s="1"/>
  <c r="AP253" i="212" s="1"/>
  <c r="AQ253" i="212" s="1"/>
  <c r="AR253" i="212" s="1"/>
  <c r="AS253" i="212" s="1"/>
  <c r="AT253" i="212" s="1"/>
  <c r="AU253" i="212" s="1"/>
  <c r="K254" i="212"/>
  <c r="L254" i="212"/>
  <c r="M254" i="212" s="1"/>
  <c r="N254" i="212"/>
  <c r="O254" i="212" s="1"/>
  <c r="P254" i="212"/>
  <c r="Q254" i="212" s="1"/>
  <c r="R254" i="212" s="1"/>
  <c r="S254" i="212" s="1"/>
  <c r="T254" i="212" s="1"/>
  <c r="U254" i="212" s="1"/>
  <c r="V254" i="212" s="1"/>
  <c r="W254" i="212" s="1"/>
  <c r="X254" i="212" s="1"/>
  <c r="Y254" i="212" s="1"/>
  <c r="Z254" i="212" s="1"/>
  <c r="AA254" i="212" s="1"/>
  <c r="AB254" i="212" s="1"/>
  <c r="AC254" i="212" s="1"/>
  <c r="AD254" i="212" s="1"/>
  <c r="AE254" i="212" s="1"/>
  <c r="AF254" i="212"/>
  <c r="AG254" i="212" s="1"/>
  <c r="AH254" i="212" s="1"/>
  <c r="AI254" i="212" s="1"/>
  <c r="AJ254" i="212" s="1"/>
  <c r="AK254" i="212" s="1"/>
  <c r="AL254" i="212" s="1"/>
  <c r="AM254" i="212" s="1"/>
  <c r="AN254" i="212" s="1"/>
  <c r="AO254" i="212" s="1"/>
  <c r="AP254" i="212" s="1"/>
  <c r="AQ254" i="212" s="1"/>
  <c r="AR254" i="212" s="1"/>
  <c r="AS254" i="212" s="1"/>
  <c r="AT254" i="212" s="1"/>
  <c r="AU254" i="212" s="1"/>
  <c r="C255" i="212"/>
  <c r="D255" i="212"/>
  <c r="E255" i="212"/>
  <c r="F255" i="212"/>
  <c r="G255" i="212"/>
  <c r="H255" i="212"/>
  <c r="I255" i="212"/>
  <c r="J255" i="212"/>
  <c r="C257" i="212"/>
  <c r="D257" i="212"/>
  <c r="E257" i="212"/>
  <c r="F257" i="212"/>
  <c r="G257" i="212"/>
  <c r="H257" i="212"/>
  <c r="I257" i="212"/>
  <c r="J257" i="212"/>
  <c r="C259" i="212"/>
  <c r="D259" i="212"/>
  <c r="E259" i="212"/>
  <c r="F259" i="212"/>
  <c r="G259" i="212"/>
  <c r="H259" i="212"/>
  <c r="I259" i="212"/>
  <c r="J259" i="212"/>
  <c r="I171" i="211"/>
  <c r="I173" i="211"/>
  <c r="I174" i="211"/>
  <c r="I177" i="211"/>
  <c r="I178" i="211"/>
  <c r="I180" i="211"/>
  <c r="I167" i="211"/>
  <c r="M10" i="210"/>
  <c r="C180" i="211"/>
  <c r="C74" i="211"/>
  <c r="C83" i="211"/>
  <c r="C173" i="211"/>
  <c r="C174" i="211"/>
  <c r="C111" i="211"/>
  <c r="C59" i="211"/>
  <c r="C177" i="211"/>
  <c r="C178" i="211"/>
  <c r="C179" i="211"/>
  <c r="C181" i="211"/>
  <c r="C7" i="211"/>
  <c r="C11" i="211"/>
  <c r="C33" i="211"/>
  <c r="C171" i="211"/>
  <c r="C167" i="211"/>
  <c r="D74" i="211"/>
  <c r="E74" i="211"/>
  <c r="F74" i="211"/>
  <c r="G74" i="211"/>
  <c r="H74" i="211"/>
  <c r="H172" i="211" s="1"/>
  <c r="E33" i="211"/>
  <c r="G33" i="211"/>
  <c r="D59" i="211"/>
  <c r="D175" i="211"/>
  <c r="E59" i="211"/>
  <c r="E175" i="211"/>
  <c r="F59" i="211"/>
  <c r="F175" i="211" s="1"/>
  <c r="G59" i="211"/>
  <c r="G175" i="211" s="1"/>
  <c r="H59" i="211"/>
  <c r="D83" i="211"/>
  <c r="E83" i="211"/>
  <c r="F83" i="211"/>
  <c r="F172" i="211" s="1"/>
  <c r="G83" i="211"/>
  <c r="H83" i="211"/>
  <c r="D167" i="211"/>
  <c r="E167" i="211"/>
  <c r="F167" i="211"/>
  <c r="G167" i="211"/>
  <c r="E171" i="211"/>
  <c r="F171" i="211"/>
  <c r="G171" i="211"/>
  <c r="H171" i="211"/>
  <c r="D173" i="211"/>
  <c r="E173" i="211"/>
  <c r="F173" i="211"/>
  <c r="G173" i="211"/>
  <c r="H173" i="211"/>
  <c r="D174" i="211"/>
  <c r="E174" i="211"/>
  <c r="F174" i="211"/>
  <c r="G174" i="211"/>
  <c r="H174" i="211"/>
  <c r="E176" i="211"/>
  <c r="F176" i="211"/>
  <c r="G176" i="211"/>
  <c r="H176" i="211"/>
  <c r="D177" i="211"/>
  <c r="E177" i="211"/>
  <c r="F177" i="211"/>
  <c r="G177" i="211"/>
  <c r="H177" i="211"/>
  <c r="D178" i="211"/>
  <c r="E178" i="211"/>
  <c r="F178" i="211"/>
  <c r="G178" i="211"/>
  <c r="H178" i="211"/>
  <c r="D179" i="211"/>
  <c r="E179" i="211"/>
  <c r="F179" i="211"/>
  <c r="G179" i="211"/>
  <c r="H179" i="211"/>
  <c r="D180" i="211"/>
  <c r="E180" i="211"/>
  <c r="F180" i="211"/>
  <c r="G180" i="211"/>
  <c r="H180" i="211"/>
  <c r="D181" i="211"/>
  <c r="E181" i="211"/>
  <c r="F181" i="211"/>
  <c r="G181" i="211"/>
  <c r="C10" i="210"/>
  <c r="D10" i="210"/>
  <c r="E10" i="210"/>
  <c r="F10" i="210"/>
  <c r="G10" i="210"/>
  <c r="H10" i="210"/>
  <c r="I10" i="210"/>
  <c r="L10" i="210"/>
  <c r="O10" i="210"/>
  <c r="P10" i="210"/>
  <c r="Q10" i="210"/>
  <c r="R10" i="210"/>
  <c r="S10" i="210"/>
  <c r="T10" i="210"/>
  <c r="U10" i="210"/>
  <c r="V10" i="210"/>
  <c r="W10" i="210"/>
  <c r="X10" i="210"/>
  <c r="Y10" i="210"/>
  <c r="Z10" i="210"/>
  <c r="AA10" i="210"/>
  <c r="AB10" i="210"/>
  <c r="AC10" i="210"/>
  <c r="AD10" i="210"/>
  <c r="AE10" i="210"/>
  <c r="AF10" i="210"/>
  <c r="AG10" i="210"/>
  <c r="AH10" i="210"/>
  <c r="AI10" i="210"/>
  <c r="AJ10" i="210"/>
  <c r="AK10" i="210"/>
  <c r="AL10" i="210"/>
  <c r="AM10" i="210"/>
  <c r="AN10" i="210"/>
  <c r="AO10" i="210"/>
  <c r="AP10" i="210"/>
  <c r="AQ10" i="210"/>
  <c r="AR10" i="210"/>
  <c r="AS10" i="210"/>
  <c r="AT10" i="210"/>
  <c r="AU10" i="210"/>
  <c r="AV10" i="210"/>
  <c r="AW10" i="210"/>
  <c r="AX10" i="210"/>
  <c r="AY10" i="210"/>
  <c r="H15" i="210"/>
  <c r="E18" i="210"/>
  <c r="F18" i="210"/>
  <c r="G18" i="210"/>
  <c r="H18" i="210"/>
  <c r="I18" i="210"/>
  <c r="J18" i="210"/>
  <c r="K18" i="210"/>
  <c r="L18" i="210"/>
  <c r="X18" i="210"/>
  <c r="Y18" i="210"/>
  <c r="Z18" i="210"/>
  <c r="AA18" i="210"/>
  <c r="AB18" i="210"/>
  <c r="AC18" i="210"/>
  <c r="AD18" i="210"/>
  <c r="AE18" i="210"/>
  <c r="AF18" i="210"/>
  <c r="AG18" i="210"/>
  <c r="AH18" i="210"/>
  <c r="AI18" i="210"/>
  <c r="AJ18" i="210"/>
  <c r="AK18" i="210"/>
  <c r="AL18" i="210"/>
  <c r="AM18" i="210"/>
  <c r="AN18" i="210"/>
  <c r="AO18" i="210"/>
  <c r="AP18" i="210"/>
  <c r="AQ18" i="210"/>
  <c r="AR18" i="210"/>
  <c r="AS18" i="210"/>
  <c r="AT18" i="210"/>
  <c r="AU18" i="210"/>
  <c r="AV18" i="210"/>
  <c r="AW18" i="210"/>
  <c r="AX18" i="210"/>
  <c r="AY18" i="210"/>
  <c r="Q28" i="210"/>
  <c r="R28" i="210"/>
  <c r="S28" i="210"/>
  <c r="T28" i="210"/>
  <c r="U28" i="210"/>
  <c r="V28" i="210"/>
  <c r="W28" i="210"/>
  <c r="X28" i="210"/>
  <c r="Y28" i="210"/>
  <c r="Z28" i="210"/>
  <c r="AA28" i="210"/>
  <c r="AB28" i="210"/>
  <c r="AC28" i="210"/>
  <c r="AD28" i="210"/>
  <c r="AE28" i="210"/>
  <c r="AF28" i="210"/>
  <c r="AG28" i="210"/>
  <c r="AH28" i="210"/>
  <c r="AI28" i="210"/>
  <c r="AJ28" i="210"/>
  <c r="AK28" i="210"/>
  <c r="AL28" i="210"/>
  <c r="AM28" i="210"/>
  <c r="AN28" i="210"/>
  <c r="AO28" i="210"/>
  <c r="AP28" i="210"/>
  <c r="AQ28" i="210"/>
  <c r="AR28" i="210"/>
  <c r="AS28" i="210"/>
  <c r="AT28" i="210"/>
  <c r="AU28" i="210"/>
  <c r="AV28" i="210"/>
  <c r="AW28" i="210"/>
  <c r="AX28" i="210"/>
  <c r="AY28" i="210"/>
  <c r="B44" i="210"/>
  <c r="C44" i="210"/>
  <c r="E44" i="210"/>
  <c r="F44" i="210"/>
  <c r="B68" i="210"/>
  <c r="C68" i="210"/>
  <c r="D68" i="210"/>
  <c r="E68" i="210"/>
  <c r="F68" i="210"/>
  <c r="G68" i="210"/>
  <c r="H68" i="210"/>
  <c r="I68" i="210"/>
  <c r="J68" i="210"/>
  <c r="K68" i="210"/>
  <c r="M68" i="210"/>
  <c r="H75" i="210"/>
  <c r="I75" i="210"/>
  <c r="H76" i="210"/>
  <c r="I76" i="210"/>
  <c r="H91" i="210" s="1"/>
  <c r="H77" i="210"/>
  <c r="I77" i="210"/>
  <c r="H78" i="210"/>
  <c r="I78" i="210"/>
  <c r="H79" i="210"/>
  <c r="I79" i="210"/>
  <c r="H80" i="210"/>
  <c r="H94" i="210" s="1"/>
  <c r="I80" i="210"/>
  <c r="H81" i="210"/>
  <c r="I81" i="210"/>
  <c r="H82" i="210"/>
  <c r="H96" i="210" s="1"/>
  <c r="I82" i="210"/>
  <c r="H83" i="210"/>
  <c r="I83" i="210"/>
  <c r="H84" i="210"/>
  <c r="I84" i="210"/>
  <c r="H85" i="210"/>
  <c r="I85" i="210"/>
  <c r="H86" i="210"/>
  <c r="I86" i="210"/>
  <c r="I100" i="210" s="1"/>
  <c r="H87" i="210"/>
  <c r="I87" i="210"/>
  <c r="B88" i="210"/>
  <c r="C88" i="210"/>
  <c r="D88" i="210"/>
  <c r="E88" i="210"/>
  <c r="F88" i="210"/>
  <c r="G88" i="210"/>
  <c r="B91" i="210"/>
  <c r="C91" i="210"/>
  <c r="D91" i="210"/>
  <c r="E91" i="210"/>
  <c r="F91" i="210"/>
  <c r="G91" i="210"/>
  <c r="B92" i="210"/>
  <c r="C92" i="210"/>
  <c r="D92" i="210"/>
  <c r="E92" i="210"/>
  <c r="F92" i="210"/>
  <c r="G92" i="210"/>
  <c r="B93" i="210"/>
  <c r="C93" i="210"/>
  <c r="D93" i="210"/>
  <c r="E93" i="210"/>
  <c r="F93" i="210"/>
  <c r="G93" i="210"/>
  <c r="B94" i="210"/>
  <c r="C94" i="210"/>
  <c r="D94" i="210"/>
  <c r="E94" i="210"/>
  <c r="F94" i="210"/>
  <c r="G94" i="210"/>
  <c r="B95" i="210"/>
  <c r="C95" i="210"/>
  <c r="D95" i="210"/>
  <c r="E95" i="210"/>
  <c r="F95" i="210"/>
  <c r="G95" i="210"/>
  <c r="B96" i="210"/>
  <c r="C96" i="210"/>
  <c r="D96" i="210"/>
  <c r="E96" i="210"/>
  <c r="F96" i="210"/>
  <c r="G96" i="210"/>
  <c r="B97" i="210"/>
  <c r="C97" i="210"/>
  <c r="D97" i="210"/>
  <c r="E97" i="210"/>
  <c r="F97" i="210"/>
  <c r="G97" i="210"/>
  <c r="B98" i="210"/>
  <c r="C98" i="210"/>
  <c r="D98" i="210"/>
  <c r="E98" i="210"/>
  <c r="F98" i="210"/>
  <c r="G98" i="210"/>
  <c r="B99" i="210"/>
  <c r="C99" i="210"/>
  <c r="D99" i="210"/>
  <c r="E99" i="210"/>
  <c r="F99" i="210"/>
  <c r="G99" i="210"/>
  <c r="B100" i="210"/>
  <c r="C100" i="210"/>
  <c r="D100" i="210"/>
  <c r="E100" i="210"/>
  <c r="F100" i="210"/>
  <c r="G100" i="210"/>
  <c r="B101" i="210"/>
  <c r="C101" i="210"/>
  <c r="D101" i="210"/>
  <c r="E101" i="210"/>
  <c r="F101" i="210"/>
  <c r="G101" i="210"/>
  <c r="B2" i="164"/>
  <c r="B27" i="164"/>
  <c r="I179" i="211"/>
  <c r="S247" i="214"/>
  <c r="Q247" i="214"/>
  <c r="O247" i="214"/>
  <c r="M247" i="214"/>
  <c r="T247" i="214"/>
  <c r="R247" i="214"/>
  <c r="P247" i="214"/>
  <c r="L247" i="214"/>
  <c r="K232" i="214"/>
  <c r="K92" i="214"/>
  <c r="J92" i="214"/>
  <c r="L92" i="214"/>
  <c r="M92" i="214"/>
  <c r="M242" i="214" s="1"/>
  <c r="N92" i="214"/>
  <c r="O92" i="214"/>
  <c r="P92" i="214"/>
  <c r="Q92" i="214"/>
  <c r="R92" i="214"/>
  <c r="S92" i="214"/>
  <c r="T92" i="214"/>
  <c r="K91" i="214"/>
  <c r="J91" i="214"/>
  <c r="L91" i="214"/>
  <c r="M91" i="214"/>
  <c r="N91" i="214"/>
  <c r="O91" i="214"/>
  <c r="P91" i="214"/>
  <c r="Q91" i="214"/>
  <c r="R91" i="214"/>
  <c r="T91" i="214"/>
  <c r="I215" i="214"/>
  <c r="I252" i="214"/>
  <c r="I44" i="210"/>
  <c r="F27" i="214"/>
  <c r="F50" i="214"/>
  <c r="F51" i="214" s="1"/>
  <c r="D182" i="214"/>
  <c r="H27" i="214"/>
  <c r="F61" i="214"/>
  <c r="E61" i="214"/>
  <c r="E60" i="214" s="1"/>
  <c r="E64" i="214" s="1"/>
  <c r="E19" i="214" s="1"/>
  <c r="J27" i="214"/>
  <c r="T235" i="217"/>
  <c r="S235" i="219"/>
  <c r="S235" i="217"/>
  <c r="R235" i="219"/>
  <c r="R235" i="217"/>
  <c r="Q235" i="219"/>
  <c r="Q235" i="217"/>
  <c r="P235" i="217"/>
  <c r="O235" i="219"/>
  <c r="O235" i="217"/>
  <c r="N235" i="219"/>
  <c r="N235" i="217"/>
  <c r="M235" i="219"/>
  <c r="M235" i="217"/>
  <c r="L235" i="217"/>
  <c r="T250" i="219"/>
  <c r="T250" i="217"/>
  <c r="R250" i="217"/>
  <c r="P250" i="219"/>
  <c r="P250" i="217"/>
  <c r="N250" i="217"/>
  <c r="L250" i="219"/>
  <c r="L250" i="217"/>
  <c r="K250" i="219"/>
  <c r="K250" i="217"/>
  <c r="K95" i="217"/>
  <c r="J250" i="217"/>
  <c r="I250" i="219"/>
  <c r="I250" i="217"/>
  <c r="H250" i="219"/>
  <c r="H250" i="217"/>
  <c r="H252" i="217"/>
  <c r="G250" i="219"/>
  <c r="G250" i="217"/>
  <c r="G252" i="217" s="1"/>
  <c r="F250" i="217"/>
  <c r="E250" i="219"/>
  <c r="E250" i="217"/>
  <c r="E252" i="217"/>
  <c r="Q100" i="219"/>
  <c r="R100" i="219"/>
  <c r="S100" i="219"/>
  <c r="T100" i="219"/>
  <c r="Q100" i="217"/>
  <c r="R100" i="217"/>
  <c r="S100" i="217"/>
  <c r="T100" i="217"/>
  <c r="K76" i="217"/>
  <c r="Q100" i="214"/>
  <c r="R100" i="214"/>
  <c r="S100" i="214"/>
  <c r="T100" i="214" s="1"/>
  <c r="K235" i="219"/>
  <c r="K235" i="217"/>
  <c r="J235" i="219"/>
  <c r="J235" i="217"/>
  <c r="J237" i="217"/>
  <c r="I235" i="219"/>
  <c r="I235" i="217"/>
  <c r="I237" i="217"/>
  <c r="H235" i="219"/>
  <c r="H235" i="217"/>
  <c r="H237" i="217" s="1"/>
  <c r="G235" i="219"/>
  <c r="G235" i="217"/>
  <c r="G237" i="217"/>
  <c r="F235" i="219"/>
  <c r="F235" i="217"/>
  <c r="F237" i="217"/>
  <c r="E235" i="219"/>
  <c r="E235" i="217"/>
  <c r="E237" i="217"/>
  <c r="S250" i="219"/>
  <c r="S250" i="217"/>
  <c r="Q250" i="219"/>
  <c r="Q250" i="217"/>
  <c r="O250" i="219"/>
  <c r="O250" i="217"/>
  <c r="M250" i="219"/>
  <c r="M250" i="217"/>
  <c r="T232" i="214"/>
  <c r="S232" i="214"/>
  <c r="R232" i="214"/>
  <c r="Q232" i="214"/>
  <c r="P232" i="214"/>
  <c r="O232" i="214"/>
  <c r="N232" i="214"/>
  <c r="M232" i="214"/>
  <c r="L232" i="214"/>
  <c r="K247" i="214"/>
  <c r="I247" i="214"/>
  <c r="H247" i="214"/>
  <c r="G247" i="214"/>
  <c r="E247" i="214"/>
  <c r="T208" i="219"/>
  <c r="P208" i="219"/>
  <c r="L208" i="219"/>
  <c r="O208" i="219"/>
  <c r="Q208" i="219"/>
  <c r="R208" i="219"/>
  <c r="N208" i="219"/>
  <c r="S208" i="219"/>
  <c r="K208" i="219"/>
  <c r="M208" i="219"/>
  <c r="I38" i="219"/>
  <c r="K22" i="219"/>
  <c r="K165" i="219"/>
  <c r="L165" i="219"/>
  <c r="M165" i="219" s="1"/>
  <c r="N165" i="219" s="1"/>
  <c r="O165" i="219"/>
  <c r="P165" i="219" s="1"/>
  <c r="Q165" i="219" s="1"/>
  <c r="R165" i="219" s="1"/>
  <c r="S165" i="219" s="1"/>
  <c r="T165" i="219" s="1"/>
  <c r="L163" i="219"/>
  <c r="S91" i="219"/>
  <c r="Q91" i="219"/>
  <c r="O91" i="219"/>
  <c r="M91" i="219"/>
  <c r="K91" i="219"/>
  <c r="K245" i="219" s="1"/>
  <c r="I91" i="219"/>
  <c r="G91" i="219"/>
  <c r="E91" i="219"/>
  <c r="D91" i="219"/>
  <c r="E245" i="219" s="1"/>
  <c r="T91" i="219"/>
  <c r="T245" i="219" s="1"/>
  <c r="R91" i="219"/>
  <c r="P91" i="219"/>
  <c r="N91" i="219"/>
  <c r="L91" i="219"/>
  <c r="M245" i="219" s="1"/>
  <c r="J91" i="219"/>
  <c r="H91" i="219"/>
  <c r="F91" i="219"/>
  <c r="F245" i="219" s="1"/>
  <c r="T91" i="217"/>
  <c r="R91" i="217"/>
  <c r="P91" i="217"/>
  <c r="N91" i="217"/>
  <c r="L91" i="217"/>
  <c r="J91" i="217"/>
  <c r="F91" i="217"/>
  <c r="D91" i="217"/>
  <c r="S91" i="217"/>
  <c r="Q91" i="217"/>
  <c r="O91" i="217"/>
  <c r="M91" i="217"/>
  <c r="K91" i="217"/>
  <c r="I91" i="217"/>
  <c r="G91" i="217"/>
  <c r="E91" i="217"/>
  <c r="H91" i="217"/>
  <c r="T92" i="219"/>
  <c r="R92" i="219"/>
  <c r="P92" i="219"/>
  <c r="P245" i="219" s="1"/>
  <c r="N92" i="219"/>
  <c r="L92" i="219"/>
  <c r="J92" i="219"/>
  <c r="H92" i="219"/>
  <c r="H245" i="219" s="1"/>
  <c r="F92" i="219"/>
  <c r="D92" i="219"/>
  <c r="S92" i="219"/>
  <c r="Q92" i="219"/>
  <c r="O92" i="219"/>
  <c r="O245" i="219" s="1"/>
  <c r="M92" i="219"/>
  <c r="K92" i="219"/>
  <c r="I92" i="219"/>
  <c r="G92" i="219"/>
  <c r="E92" i="219"/>
  <c r="S92" i="217"/>
  <c r="Q92" i="217"/>
  <c r="Q245" i="217" s="1"/>
  <c r="O92" i="217"/>
  <c r="O245" i="217" s="1"/>
  <c r="M92" i="217"/>
  <c r="K92" i="217"/>
  <c r="I92" i="217"/>
  <c r="I245" i="217" s="1"/>
  <c r="I247" i="217" s="1"/>
  <c r="G92" i="217"/>
  <c r="G245" i="217" s="1"/>
  <c r="E92" i="217"/>
  <c r="T92" i="217"/>
  <c r="R92" i="217"/>
  <c r="R245" i="217" s="1"/>
  <c r="P92" i="217"/>
  <c r="N92" i="217"/>
  <c r="L92" i="217"/>
  <c r="J92" i="217"/>
  <c r="J245" i="217" s="1"/>
  <c r="J247" i="217" s="1"/>
  <c r="H92" i="217"/>
  <c r="F92" i="217"/>
  <c r="D92" i="217"/>
  <c r="K190" i="217"/>
  <c r="L190" i="217" s="1"/>
  <c r="M190" i="217" s="1"/>
  <c r="N190" i="217" s="1"/>
  <c r="O190" i="217" s="1"/>
  <c r="P190" i="217" s="1"/>
  <c r="Q190" i="217" s="1"/>
  <c r="R190" i="217" s="1"/>
  <c r="S190" i="217" s="1"/>
  <c r="T190" i="217" s="1"/>
  <c r="K190" i="219"/>
  <c r="S91" i="214"/>
  <c r="T242" i="214"/>
  <c r="E235" i="214"/>
  <c r="H222" i="214"/>
  <c r="E212" i="214"/>
  <c r="H92" i="210"/>
  <c r="L68" i="210"/>
  <c r="H224" i="214"/>
  <c r="K259" i="212"/>
  <c r="K153" i="214"/>
  <c r="L153" i="214"/>
  <c r="M153" i="214"/>
  <c r="N153" i="214"/>
  <c r="O153" i="214" s="1"/>
  <c r="P153" i="214" s="1"/>
  <c r="Q153" i="214"/>
  <c r="R153" i="214" s="1"/>
  <c r="S153" i="214" s="1"/>
  <c r="T153" i="214" s="1"/>
  <c r="M175" i="214"/>
  <c r="L175" i="214"/>
  <c r="K175" i="214"/>
  <c r="R175" i="214"/>
  <c r="N175" i="214"/>
  <c r="O175" i="214" s="1"/>
  <c r="Q175" i="214"/>
  <c r="T175" i="214"/>
  <c r="S175" i="214"/>
  <c r="O219" i="214"/>
  <c r="J171" i="214"/>
  <c r="R208" i="217"/>
  <c r="N208" i="217"/>
  <c r="Q208" i="217"/>
  <c r="M208" i="217"/>
  <c r="T208" i="217"/>
  <c r="P208" i="217"/>
  <c r="L208" i="217"/>
  <c r="S208" i="217"/>
  <c r="O208" i="217"/>
  <c r="K208" i="217"/>
  <c r="D171" i="211"/>
  <c r="H33" i="211"/>
  <c r="F33" i="211"/>
  <c r="F170" i="211" s="1"/>
  <c r="D116" i="217"/>
  <c r="D224" i="214"/>
  <c r="E182" i="214"/>
  <c r="K219" i="214"/>
  <c r="D27" i="214"/>
  <c r="H61" i="214"/>
  <c r="H60" i="214" s="1"/>
  <c r="H64" i="214" s="1"/>
  <c r="H66" i="214" s="1"/>
  <c r="H67" i="214" s="1"/>
  <c r="H10" i="214" s="1"/>
  <c r="K187" i="214"/>
  <c r="L187" i="214"/>
  <c r="M187" i="214"/>
  <c r="N187" i="214" s="1"/>
  <c r="O187" i="214" s="1"/>
  <c r="P187" i="214" s="1"/>
  <c r="Q187" i="214" s="1"/>
  <c r="R187" i="214" s="1"/>
  <c r="S187" i="214" s="1"/>
  <c r="T187" i="214" s="1"/>
  <c r="I175" i="211"/>
  <c r="P99" i="217"/>
  <c r="Q99" i="217" s="1"/>
  <c r="R99" i="217" s="1"/>
  <c r="S99" i="217" s="1"/>
  <c r="P117" i="217"/>
  <c r="P116" i="217"/>
  <c r="S219" i="214"/>
  <c r="E219" i="214"/>
  <c r="H175" i="211"/>
  <c r="I99" i="210"/>
  <c r="I12" i="211"/>
  <c r="I170" i="211" s="1"/>
  <c r="D113" i="214"/>
  <c r="D61" i="214"/>
  <c r="D60" i="214"/>
  <c r="D64" i="214" s="1"/>
  <c r="D19" i="214" s="1"/>
  <c r="G235" i="214"/>
  <c r="J210" i="214"/>
  <c r="J212" i="214"/>
  <c r="H212" i="214"/>
  <c r="F212" i="214"/>
  <c r="I130" i="214"/>
  <c r="I27" i="214"/>
  <c r="G27" i="214"/>
  <c r="E27" i="214"/>
  <c r="G201" i="214"/>
  <c r="E201" i="214"/>
  <c r="E34" i="214"/>
  <c r="J224" i="214"/>
  <c r="J225" i="214" s="1"/>
  <c r="J188" i="214"/>
  <c r="E203" i="214"/>
  <c r="I201" i="214"/>
  <c r="I203" i="214"/>
  <c r="F201" i="214"/>
  <c r="F203" i="214"/>
  <c r="J61" i="214"/>
  <c r="K179" i="214"/>
  <c r="L179" i="214"/>
  <c r="M179" i="214"/>
  <c r="N179" i="214" s="1"/>
  <c r="O179" i="214" s="1"/>
  <c r="P179" i="214"/>
  <c r="Q179" i="214"/>
  <c r="J201" i="214"/>
  <c r="J50" i="214"/>
  <c r="J51" i="214"/>
  <c r="F182" i="214"/>
  <c r="K155" i="214"/>
  <c r="F224" i="214"/>
  <c r="D222" i="214"/>
  <c r="G210" i="214"/>
  <c r="G65" i="214"/>
  <c r="F235" i="214"/>
  <c r="D201" i="214"/>
  <c r="D203" i="214" s="1"/>
  <c r="D34" i="214"/>
  <c r="T205" i="214"/>
  <c r="R205" i="214"/>
  <c r="P205" i="214"/>
  <c r="N205" i="214"/>
  <c r="L205" i="214"/>
  <c r="K70" i="214"/>
  <c r="E101" i="214"/>
  <c r="E103" i="214" s="1"/>
  <c r="K69" i="214"/>
  <c r="I95" i="214"/>
  <c r="H95" i="214"/>
  <c r="I250" i="214" s="1"/>
  <c r="G95" i="214"/>
  <c r="G96" i="214"/>
  <c r="F101" i="214"/>
  <c r="F103" i="214" s="1"/>
  <c r="F104" i="214" s="1"/>
  <c r="F89" i="214"/>
  <c r="E89" i="214"/>
  <c r="E90" i="214"/>
  <c r="D95" i="214"/>
  <c r="D96" i="214"/>
  <c r="T228" i="214"/>
  <c r="R228" i="214"/>
  <c r="J101" i="214"/>
  <c r="K101" i="214"/>
  <c r="L101" i="214" s="1"/>
  <c r="K216" i="214"/>
  <c r="K223" i="214"/>
  <c r="L223" i="214"/>
  <c r="M223" i="214" s="1"/>
  <c r="N223" i="214" s="1"/>
  <c r="O223" i="214" s="1"/>
  <c r="P223" i="214" s="1"/>
  <c r="Q223" i="214" s="1"/>
  <c r="R223" i="214" s="1"/>
  <c r="S223" i="214" s="1"/>
  <c r="T223" i="214" s="1"/>
  <c r="Q242" i="214"/>
  <c r="S205" i="214"/>
  <c r="Q205" i="214"/>
  <c r="O205" i="214"/>
  <c r="M205" i="214"/>
  <c r="K205" i="214"/>
  <c r="F222" i="214"/>
  <c r="J222" i="214"/>
  <c r="D173" i="214"/>
  <c r="I219" i="214"/>
  <c r="G219" i="214"/>
  <c r="F215" i="214"/>
  <c r="F243" i="214"/>
  <c r="H130" i="214"/>
  <c r="G130" i="214"/>
  <c r="F130" i="214"/>
  <c r="E130" i="214"/>
  <c r="D130" i="214"/>
  <c r="I182" i="214"/>
  <c r="G182" i="214"/>
  <c r="D188" i="214"/>
  <c r="D191" i="214"/>
  <c r="D194" i="214" s="1"/>
  <c r="D35" i="214"/>
  <c r="I171" i="214"/>
  <c r="I173" i="214"/>
  <c r="I143" i="214"/>
  <c r="I144" i="214"/>
  <c r="H171" i="214"/>
  <c r="H173" i="214" s="1"/>
  <c r="G171" i="214"/>
  <c r="G143" i="214"/>
  <c r="G144" i="214"/>
  <c r="G147" i="214" s="1"/>
  <c r="G148" i="214" s="1"/>
  <c r="F171" i="214"/>
  <c r="F173" i="214"/>
  <c r="E171" i="214"/>
  <c r="E173" i="214"/>
  <c r="E143" i="214"/>
  <c r="E144" i="214"/>
  <c r="E147" i="214" s="1"/>
  <c r="E148" i="214" s="1"/>
  <c r="I61" i="214"/>
  <c r="I60" i="214"/>
  <c r="I64" i="214" s="1"/>
  <c r="I101" i="214"/>
  <c r="I103" i="214" s="1"/>
  <c r="I89" i="214"/>
  <c r="H65" i="214"/>
  <c r="H101" i="214"/>
  <c r="H103" i="214" s="1"/>
  <c r="H89" i="214"/>
  <c r="H90" i="214" s="1"/>
  <c r="G101" i="214"/>
  <c r="G103" i="214"/>
  <c r="G89" i="214"/>
  <c r="G245" i="214" s="1"/>
  <c r="F95" i="214"/>
  <c r="F96" i="214" s="1"/>
  <c r="E95" i="214"/>
  <c r="D101" i="214"/>
  <c r="D103" i="214" s="1"/>
  <c r="D104" i="214" s="1"/>
  <c r="D89" i="214"/>
  <c r="D90" i="214" s="1"/>
  <c r="K176" i="214"/>
  <c r="L176" i="214" s="1"/>
  <c r="M176" i="214" s="1"/>
  <c r="N176" i="214" s="1"/>
  <c r="O176" i="214" s="1"/>
  <c r="J62" i="214"/>
  <c r="D175" i="214"/>
  <c r="J89" i="214"/>
  <c r="J90" i="214"/>
  <c r="H201" i="214"/>
  <c r="H203" i="214"/>
  <c r="H31" i="214" s="1"/>
  <c r="E12" i="211"/>
  <c r="J192" i="214"/>
  <c r="K192" i="214" s="1"/>
  <c r="J182" i="214"/>
  <c r="I221" i="214"/>
  <c r="G221" i="214"/>
  <c r="E224" i="214"/>
  <c r="I188" i="214"/>
  <c r="I191" i="214"/>
  <c r="I194" i="214" s="1"/>
  <c r="I35" i="214"/>
  <c r="G188" i="214"/>
  <c r="G192" i="214"/>
  <c r="E188" i="214"/>
  <c r="E191" i="214" s="1"/>
  <c r="E192" i="214"/>
  <c r="E50" i="214"/>
  <c r="E9" i="214"/>
  <c r="L219" i="214"/>
  <c r="T219" i="214"/>
  <c r="R219" i="214"/>
  <c r="P219" i="214"/>
  <c r="N219" i="214"/>
  <c r="C12" i="211"/>
  <c r="C170" i="211" s="1"/>
  <c r="C175" i="211"/>
  <c r="C172" i="211"/>
  <c r="E172" i="211"/>
  <c r="K257" i="212"/>
  <c r="I172" i="211"/>
  <c r="G12" i="211"/>
  <c r="G170" i="211"/>
  <c r="F12" i="211"/>
  <c r="H143" i="214"/>
  <c r="H144" i="214"/>
  <c r="H147" i="214" s="1"/>
  <c r="H148" i="214" s="1"/>
  <c r="J9" i="214"/>
  <c r="D172" i="211"/>
  <c r="H12" i="211"/>
  <c r="H170" i="211"/>
  <c r="D12" i="211"/>
  <c r="D170" i="211"/>
  <c r="H215" i="214"/>
  <c r="H252" i="214"/>
  <c r="I51" i="214"/>
  <c r="H182" i="214"/>
  <c r="H188" i="214"/>
  <c r="H192" i="214"/>
  <c r="F188" i="214"/>
  <c r="F192" i="214" s="1"/>
  <c r="I76" i="214"/>
  <c r="I77" i="214"/>
  <c r="G61" i="214"/>
  <c r="G60" i="214" s="1"/>
  <c r="G64" i="214" s="1"/>
  <c r="G66" i="214" s="1"/>
  <c r="E65" i="214"/>
  <c r="K125" i="214"/>
  <c r="J175" i="214"/>
  <c r="H175" i="214"/>
  <c r="F175" i="214"/>
  <c r="G172" i="211"/>
  <c r="E170" i="211"/>
  <c r="F60" i="214"/>
  <c r="F64" i="214"/>
  <c r="F19" i="214" s="1"/>
  <c r="F76" i="214"/>
  <c r="F77" i="214"/>
  <c r="I235" i="214"/>
  <c r="J235" i="214"/>
  <c r="K135" i="214"/>
  <c r="I224" i="214"/>
  <c r="I225" i="214" s="1"/>
  <c r="J221" i="214"/>
  <c r="F221" i="214"/>
  <c r="H219" i="214"/>
  <c r="F219" i="214"/>
  <c r="I210" i="214"/>
  <c r="E210" i="214"/>
  <c r="G51" i="214"/>
  <c r="D143" i="214"/>
  <c r="D144" i="214" s="1"/>
  <c r="I65" i="214"/>
  <c r="F65" i="214"/>
  <c r="D65" i="214"/>
  <c r="D50" i="214"/>
  <c r="D51" i="214" s="1"/>
  <c r="D9" i="214"/>
  <c r="D10" i="214" s="1"/>
  <c r="J130" i="214"/>
  <c r="J65" i="214"/>
  <c r="Q219" i="214"/>
  <c r="M219" i="214"/>
  <c r="S228" i="214"/>
  <c r="Q228" i="214"/>
  <c r="P228" i="214"/>
  <c r="O228" i="214"/>
  <c r="N228" i="214"/>
  <c r="M228" i="214"/>
  <c r="L228" i="214"/>
  <c r="L131" i="214" s="1"/>
  <c r="M131" i="214" s="1"/>
  <c r="N131" i="214" s="1"/>
  <c r="O131" i="214" s="1"/>
  <c r="I175" i="214"/>
  <c r="G175" i="214"/>
  <c r="E175" i="214"/>
  <c r="J95" i="214"/>
  <c r="J96" i="214" s="1"/>
  <c r="H69" i="214"/>
  <c r="G69" i="214"/>
  <c r="F69" i="214"/>
  <c r="H21" i="214" s="1"/>
  <c r="H20" i="214" s="1"/>
  <c r="E69" i="214"/>
  <c r="K113" i="214"/>
  <c r="K121" i="214"/>
  <c r="D157" i="214"/>
  <c r="E151" i="214"/>
  <c r="E157" i="214"/>
  <c r="E161" i="214" s="1"/>
  <c r="G224" i="214"/>
  <c r="G222" i="214"/>
  <c r="H221" i="214"/>
  <c r="E221" i="214"/>
  <c r="G215" i="214"/>
  <c r="G238" i="214"/>
  <c r="E215" i="214"/>
  <c r="E233" i="214"/>
  <c r="E234" i="214" s="1"/>
  <c r="H210" i="214"/>
  <c r="F210" i="214"/>
  <c r="J215" i="214"/>
  <c r="I233" i="214"/>
  <c r="I234" i="214"/>
  <c r="I238" i="214"/>
  <c r="I243" i="214"/>
  <c r="I248" i="214"/>
  <c r="F9" i="214"/>
  <c r="F10" i="214" s="1"/>
  <c r="K62" i="214"/>
  <c r="L155" i="214"/>
  <c r="L62" i="214" s="1"/>
  <c r="F34" i="214"/>
  <c r="F238" i="214"/>
  <c r="I222" i="214"/>
  <c r="E222" i="214"/>
  <c r="J219" i="214"/>
  <c r="H51" i="214"/>
  <c r="H76" i="214"/>
  <c r="K114" i="214"/>
  <c r="K22" i="214" s="1"/>
  <c r="K228" i="214"/>
  <c r="G76" i="214"/>
  <c r="E76" i="214"/>
  <c r="D76" i="214"/>
  <c r="C2" i="164"/>
  <c r="B26" i="164"/>
  <c r="B28" i="164"/>
  <c r="B4" i="164"/>
  <c r="B21" i="164" s="1"/>
  <c r="B41" i="164" s="1"/>
  <c r="B24" i="164"/>
  <c r="B25" i="164"/>
  <c r="M246" i="212"/>
  <c r="N246" i="212" s="1"/>
  <c r="O246" i="212" s="1"/>
  <c r="P246" i="212"/>
  <c r="Q246" i="212" s="1"/>
  <c r="R246" i="212" s="1"/>
  <c r="S246" i="212" s="1"/>
  <c r="T246" i="212" s="1"/>
  <c r="U246" i="212"/>
  <c r="V246" i="212" s="1"/>
  <c r="W246" i="212" s="1"/>
  <c r="X246" i="212"/>
  <c r="Y246" i="212" s="1"/>
  <c r="Z246" i="212" s="1"/>
  <c r="AA246" i="212" s="1"/>
  <c r="AB246" i="212" s="1"/>
  <c r="AC246" i="212" s="1"/>
  <c r="AD246" i="212" s="1"/>
  <c r="AE246" i="212" s="1"/>
  <c r="AF246" i="212" s="1"/>
  <c r="AG246" i="212" s="1"/>
  <c r="AH246" i="212" s="1"/>
  <c r="AI246" i="212" s="1"/>
  <c r="AJ246" i="212" s="1"/>
  <c r="AK246" i="212"/>
  <c r="AL246" i="212" s="1"/>
  <c r="AM246" i="212" s="1"/>
  <c r="AN246" i="212" s="1"/>
  <c r="AO246" i="212" s="1"/>
  <c r="AP246" i="212" s="1"/>
  <c r="AQ246" i="212" s="1"/>
  <c r="AR246" i="212" s="1"/>
  <c r="AS246" i="212" s="1"/>
  <c r="AT246" i="212" s="1"/>
  <c r="AU246" i="212" s="1"/>
  <c r="M238" i="212"/>
  <c r="J60" i="214"/>
  <c r="J64" i="214" s="1"/>
  <c r="L95" i="217"/>
  <c r="M95" i="217" s="1"/>
  <c r="N95" i="217" s="1"/>
  <c r="I34" i="214"/>
  <c r="H34" i="214"/>
  <c r="D117" i="214"/>
  <c r="F225" i="214"/>
  <c r="M163" i="219"/>
  <c r="F233" i="214"/>
  <c r="F234" i="214"/>
  <c r="L190" i="219"/>
  <c r="G245" i="219"/>
  <c r="S245" i="219"/>
  <c r="P245" i="217"/>
  <c r="L245" i="219"/>
  <c r="E66" i="214"/>
  <c r="E67" i="214" s="1"/>
  <c r="E10" i="214" s="1"/>
  <c r="F252" i="214"/>
  <c r="H191" i="214"/>
  <c r="F248" i="214"/>
  <c r="G67" i="214"/>
  <c r="G10" i="214"/>
  <c r="G191" i="214"/>
  <c r="E51" i="214"/>
  <c r="G248" i="214"/>
  <c r="G249" i="214"/>
  <c r="J233" i="214"/>
  <c r="J234" i="214"/>
  <c r="D61" i="217"/>
  <c r="D60" i="217" s="1"/>
  <c r="D64" i="217" s="1"/>
  <c r="D120" i="217"/>
  <c r="E114" i="217" s="1"/>
  <c r="E120" i="217" s="1"/>
  <c r="G233" i="214"/>
  <c r="G234" i="214" s="1"/>
  <c r="J248" i="214"/>
  <c r="D192" i="214"/>
  <c r="D28" i="214"/>
  <c r="I192" i="214"/>
  <c r="I28" i="214"/>
  <c r="D66" i="214"/>
  <c r="D67" i="214" s="1"/>
  <c r="F191" i="214"/>
  <c r="H238" i="214"/>
  <c r="F66" i="214"/>
  <c r="F67" i="214" s="1"/>
  <c r="Q116" i="217"/>
  <c r="Q117" i="217"/>
  <c r="E225" i="214"/>
  <c r="E238" i="214"/>
  <c r="D161" i="214"/>
  <c r="D163" i="214"/>
  <c r="G252" i="214"/>
  <c r="K215" i="214"/>
  <c r="K160" i="214"/>
  <c r="L160" i="214" s="1"/>
  <c r="J103" i="214"/>
  <c r="E248" i="214"/>
  <c r="K103" i="214"/>
  <c r="K254" i="214" s="1"/>
  <c r="G250" i="214"/>
  <c r="L216" i="214"/>
  <c r="F90" i="214"/>
  <c r="G243" i="214"/>
  <c r="E245" i="214"/>
  <c r="I30" i="214"/>
  <c r="I31" i="214"/>
  <c r="E30" i="214"/>
  <c r="E31" i="214"/>
  <c r="H233" i="214"/>
  <c r="H234" i="214"/>
  <c r="H243" i="214"/>
  <c r="H248" i="214"/>
  <c r="G254" i="214"/>
  <c r="G19" i="214"/>
  <c r="H19" i="214"/>
  <c r="G194" i="214"/>
  <c r="G28" i="214"/>
  <c r="G35" i="214"/>
  <c r="G225" i="214"/>
  <c r="H225" i="214"/>
  <c r="L114" i="214"/>
  <c r="L22" i="214" s="1"/>
  <c r="L113" i="214"/>
  <c r="M155" i="214"/>
  <c r="N155" i="214" s="1"/>
  <c r="E77" i="214"/>
  <c r="D77" i="214"/>
  <c r="G77" i="214"/>
  <c r="F31" i="214"/>
  <c r="F30" i="214"/>
  <c r="H30" i="214"/>
  <c r="F151" i="214"/>
  <c r="F157" i="214" s="1"/>
  <c r="E163" i="214"/>
  <c r="E165" i="214"/>
  <c r="E166" i="214" s="1"/>
  <c r="H77" i="214"/>
  <c r="C28" i="164"/>
  <c r="C4" i="164"/>
  <c r="C21" i="164" s="1"/>
  <c r="N238" i="212"/>
  <c r="L253" i="217"/>
  <c r="M190" i="219"/>
  <c r="F84" i="219"/>
  <c r="F82" i="219"/>
  <c r="F83" i="219"/>
  <c r="D66" i="217"/>
  <c r="D67" i="217"/>
  <c r="D19" i="217"/>
  <c r="R117" i="217"/>
  <c r="R116" i="217"/>
  <c r="C51" i="164"/>
  <c r="K211" i="214"/>
  <c r="K212" i="214"/>
  <c r="K196" i="214" s="1"/>
  <c r="J104" i="214"/>
  <c r="K238" i="214"/>
  <c r="K168" i="214"/>
  <c r="K56" i="214"/>
  <c r="K186" i="214"/>
  <c r="K243" i="214"/>
  <c r="K131" i="214"/>
  <c r="K233" i="214"/>
  <c r="L215" i="214"/>
  <c r="L243" i="214" s="1"/>
  <c r="E33" i="214"/>
  <c r="F161" i="214"/>
  <c r="F163" i="214" s="1"/>
  <c r="G80" i="214"/>
  <c r="E80" i="214"/>
  <c r="F240" i="214"/>
  <c r="H80" i="214"/>
  <c r="M62" i="214"/>
  <c r="C48" i="164"/>
  <c r="O238" i="212"/>
  <c r="M253" i="217"/>
  <c r="F75" i="219"/>
  <c r="F73" i="219"/>
  <c r="F49" i="219"/>
  <c r="F50" i="219" s="1"/>
  <c r="F47" i="219"/>
  <c r="F52" i="219"/>
  <c r="F18" i="219" s="1"/>
  <c r="F48" i="219"/>
  <c r="F89" i="219"/>
  <c r="F90" i="219" s="1"/>
  <c r="F95" i="219"/>
  <c r="F55" i="219"/>
  <c r="F56" i="219"/>
  <c r="G83" i="219"/>
  <c r="G84" i="219"/>
  <c r="G82" i="219"/>
  <c r="D6" i="217"/>
  <c r="F114" i="217"/>
  <c r="F120" i="217" s="1"/>
  <c r="G114" i="217" s="1"/>
  <c r="G120" i="217" s="1"/>
  <c r="H114" i="217" s="1"/>
  <c r="H120" i="217" s="1"/>
  <c r="I114" i="217" s="1"/>
  <c r="E6" i="217"/>
  <c r="K48" i="214"/>
  <c r="S117" i="217"/>
  <c r="F86" i="219"/>
  <c r="M215" i="214"/>
  <c r="M252" i="214" s="1"/>
  <c r="L69" i="214"/>
  <c r="L70" i="214"/>
  <c r="L211" i="214"/>
  <c r="L238" i="214"/>
  <c r="L233" i="214"/>
  <c r="L252" i="214"/>
  <c r="L248" i="214"/>
  <c r="L56" i="214"/>
  <c r="L192" i="214"/>
  <c r="M192" i="214" s="1"/>
  <c r="E6" i="214"/>
  <c r="N62" i="214"/>
  <c r="O155" i="214"/>
  <c r="D6" i="214"/>
  <c r="D48" i="164"/>
  <c r="P238" i="212"/>
  <c r="F6" i="214"/>
  <c r="F64" i="219"/>
  <c r="F19" i="219" s="1"/>
  <c r="F66" i="219"/>
  <c r="H84" i="219"/>
  <c r="H82" i="219"/>
  <c r="H83" i="219"/>
  <c r="F96" i="219"/>
  <c r="F238" i="219"/>
  <c r="F279" i="219"/>
  <c r="G52" i="219"/>
  <c r="G18" i="219" s="1"/>
  <c r="G19" i="219" s="1"/>
  <c r="G48" i="219"/>
  <c r="G49" i="219"/>
  <c r="G47" i="219"/>
  <c r="G56" i="219"/>
  <c r="G55" i="219"/>
  <c r="G73" i="219"/>
  <c r="F74" i="219"/>
  <c r="G75" i="219"/>
  <c r="F280" i="219"/>
  <c r="G6" i="214"/>
  <c r="H6" i="214"/>
  <c r="F6" i="217"/>
  <c r="T99" i="217"/>
  <c r="G86" i="219"/>
  <c r="G64" i="219"/>
  <c r="G66" i="219" s="1"/>
  <c r="G67" i="219" s="1"/>
  <c r="N215" i="214"/>
  <c r="N233" i="214" s="1"/>
  <c r="L48" i="214"/>
  <c r="M211" i="214"/>
  <c r="I6" i="214"/>
  <c r="O62" i="214"/>
  <c r="P155" i="214"/>
  <c r="Q155" i="214" s="1"/>
  <c r="R155" i="214" s="1"/>
  <c r="Q238" i="212"/>
  <c r="F67" i="219"/>
  <c r="H55" i="219"/>
  <c r="H56" i="219"/>
  <c r="H49" i="219"/>
  <c r="H47" i="219"/>
  <c r="H50" i="219" s="1"/>
  <c r="H52" i="219"/>
  <c r="H48" i="219"/>
  <c r="G89" i="219"/>
  <c r="G95" i="219"/>
  <c r="G253" i="219" s="1"/>
  <c r="I83" i="219"/>
  <c r="I82" i="219"/>
  <c r="I84" i="219"/>
  <c r="G50" i="219"/>
  <c r="G51" i="219" s="1"/>
  <c r="G280" i="219"/>
  <c r="G74" i="219"/>
  <c r="G279" i="219"/>
  <c r="G6" i="217"/>
  <c r="O215" i="214"/>
  <c r="O238" i="214" s="1"/>
  <c r="H86" i="219"/>
  <c r="H64" i="219"/>
  <c r="H66" i="219"/>
  <c r="H67" i="219" s="1"/>
  <c r="E48" i="164"/>
  <c r="N211" i="214"/>
  <c r="N212" i="214"/>
  <c r="M48" i="214"/>
  <c r="N48" i="214" s="1"/>
  <c r="J6" i="214"/>
  <c r="P62" i="214"/>
  <c r="R238" i="212"/>
  <c r="I52" i="219"/>
  <c r="I18" i="219" s="1"/>
  <c r="I48" i="219"/>
  <c r="I49" i="219"/>
  <c r="I47" i="219"/>
  <c r="I50" i="219" s="1"/>
  <c r="I9" i="219" s="1"/>
  <c r="J84" i="219"/>
  <c r="J82" i="219"/>
  <c r="J83" i="219"/>
  <c r="I56" i="219"/>
  <c r="I19" i="219" s="1"/>
  <c r="I55" i="219"/>
  <c r="I95" i="219"/>
  <c r="I89" i="219"/>
  <c r="I90" i="219" s="1"/>
  <c r="H74" i="219"/>
  <c r="H76" i="219" s="1"/>
  <c r="H280" i="219"/>
  <c r="H75" i="219"/>
  <c r="H73" i="219"/>
  <c r="G247" i="219"/>
  <c r="H18" i="219"/>
  <c r="H19" i="219" s="1"/>
  <c r="H279" i="219"/>
  <c r="H89" i="219"/>
  <c r="H247" i="219" s="1"/>
  <c r="H95" i="219"/>
  <c r="H96" i="219" s="1"/>
  <c r="G96" i="219"/>
  <c r="H6" i="217"/>
  <c r="O233" i="214"/>
  <c r="I64" i="219"/>
  <c r="I66" i="219" s="1"/>
  <c r="I67" i="219" s="1"/>
  <c r="I86" i="219"/>
  <c r="F48" i="164"/>
  <c r="O211" i="214"/>
  <c r="O212" i="214" s="1"/>
  <c r="Q62" i="214"/>
  <c r="S238" i="212"/>
  <c r="J55" i="219"/>
  <c r="J56" i="219"/>
  <c r="K56" i="219"/>
  <c r="L56" i="219" s="1"/>
  <c r="M56" i="219" s="1"/>
  <c r="J49" i="219"/>
  <c r="J47" i="219"/>
  <c r="J52" i="219"/>
  <c r="J18" i="219" s="1"/>
  <c r="J19" i="219" s="1"/>
  <c r="J48" i="219"/>
  <c r="H90" i="219"/>
  <c r="H238" i="219"/>
  <c r="I248" i="219"/>
  <c r="I73" i="219"/>
  <c r="I75" i="219"/>
  <c r="I279" i="219"/>
  <c r="J95" i="219"/>
  <c r="K95" i="219" s="1"/>
  <c r="J89" i="219"/>
  <c r="J248" i="219" s="1"/>
  <c r="I280" i="219"/>
  <c r="I74" i="219"/>
  <c r="I6" i="217"/>
  <c r="G48" i="164"/>
  <c r="J86" i="219"/>
  <c r="P211" i="214"/>
  <c r="S155" i="214"/>
  <c r="R62" i="214"/>
  <c r="T238" i="212"/>
  <c r="U238" i="212" s="1"/>
  <c r="V238" i="212" s="1"/>
  <c r="W238" i="212" s="1"/>
  <c r="X238" i="212" s="1"/>
  <c r="Y238" i="212" s="1"/>
  <c r="Z238" i="212" s="1"/>
  <c r="AA238" i="212" s="1"/>
  <c r="AB238" i="212" s="1"/>
  <c r="AC238" i="212" s="1"/>
  <c r="AD238" i="212" s="1"/>
  <c r="AE238" i="212" s="1"/>
  <c r="AF238" i="212" s="1"/>
  <c r="AG238" i="212" s="1"/>
  <c r="AH238" i="212" s="1"/>
  <c r="AI238" i="212" s="1"/>
  <c r="AJ238" i="212" s="1"/>
  <c r="AK238" i="212" s="1"/>
  <c r="AL238" i="212" s="1"/>
  <c r="AM238" i="212" s="1"/>
  <c r="AN238" i="212" s="1"/>
  <c r="AO238" i="212" s="1"/>
  <c r="AP238" i="212" s="1"/>
  <c r="AQ238" i="212" s="1"/>
  <c r="J280" i="219"/>
  <c r="J96" i="219"/>
  <c r="I281" i="219"/>
  <c r="J73" i="219"/>
  <c r="J237" i="219" s="1"/>
  <c r="J74" i="219"/>
  <c r="J279" i="219"/>
  <c r="K89" i="219"/>
  <c r="K247" i="219" s="1"/>
  <c r="I238" i="219"/>
  <c r="I237" i="219"/>
  <c r="J50" i="219"/>
  <c r="J9" i="219" s="1"/>
  <c r="J75" i="219"/>
  <c r="G281" i="219"/>
  <c r="G282" i="219" s="1"/>
  <c r="G283" i="219" s="1"/>
  <c r="H281" i="219"/>
  <c r="F281" i="219"/>
  <c r="J6" i="217"/>
  <c r="Q211" i="214"/>
  <c r="T155" i="214"/>
  <c r="T62" i="214" s="1"/>
  <c r="S62" i="214"/>
  <c r="K248" i="219"/>
  <c r="L89" i="219"/>
  <c r="L248" i="219" s="1"/>
  <c r="J281" i="219"/>
  <c r="R211" i="214"/>
  <c r="J282" i="219"/>
  <c r="J283" i="219" s="1"/>
  <c r="S211" i="214"/>
  <c r="S212" i="214"/>
  <c r="T211" i="214"/>
  <c r="T212" i="214"/>
  <c r="F204" i="219"/>
  <c r="F27" i="219"/>
  <c r="F206" i="219"/>
  <c r="F34" i="219"/>
  <c r="G204" i="219"/>
  <c r="G27" i="219"/>
  <c r="G206" i="219"/>
  <c r="G34" i="219"/>
  <c r="H204" i="219"/>
  <c r="H34" i="219" s="1"/>
  <c r="H27" i="219"/>
  <c r="F30" i="219"/>
  <c r="F31" i="219"/>
  <c r="F6" i="219"/>
  <c r="H206" i="219"/>
  <c r="G31" i="219"/>
  <c r="G6" i="219"/>
  <c r="G30" i="219"/>
  <c r="J204" i="219"/>
  <c r="J27" i="219"/>
  <c r="I6" i="219"/>
  <c r="J6" i="219"/>
  <c r="AR238" i="212"/>
  <c r="AS238" i="212" s="1"/>
  <c r="AT238" i="212" s="1"/>
  <c r="AU238" i="212" s="1"/>
  <c r="K10" i="210"/>
  <c r="I104" i="214" l="1"/>
  <c r="I254" i="214"/>
  <c r="J254" i="214"/>
  <c r="L103" i="214"/>
  <c r="L254" i="214" s="1"/>
  <c r="M101" i="214"/>
  <c r="F277" i="219"/>
  <c r="G276" i="219"/>
  <c r="H104" i="214"/>
  <c r="H253" i="214"/>
  <c r="F51" i="219"/>
  <c r="F9" i="219"/>
  <c r="F10" i="219" s="1"/>
  <c r="O95" i="217"/>
  <c r="N253" i="217"/>
  <c r="F254" i="214"/>
  <c r="E21" i="214"/>
  <c r="E20" i="214" s="1"/>
  <c r="E23" i="214" s="1"/>
  <c r="E41" i="214" s="1"/>
  <c r="F253" i="214"/>
  <c r="G271" i="219"/>
  <c r="G286" i="219"/>
  <c r="N192" i="214"/>
  <c r="I51" i="219"/>
  <c r="I282" i="219"/>
  <c r="I283" i="219" s="1"/>
  <c r="G252" i="219"/>
  <c r="H77" i="219"/>
  <c r="H80" i="219" s="1"/>
  <c r="N227" i="214"/>
  <c r="N238" i="214"/>
  <c r="M70" i="214"/>
  <c r="N70" i="214" s="1"/>
  <c r="M238" i="214"/>
  <c r="M243" i="214"/>
  <c r="G76" i="219"/>
  <c r="K51" i="214"/>
  <c r="K104" i="214"/>
  <c r="H250" i="214"/>
  <c r="H96" i="217"/>
  <c r="I96" i="217"/>
  <c r="M189" i="219"/>
  <c r="M194" i="219" s="1"/>
  <c r="M183" i="219"/>
  <c r="H255" i="219"/>
  <c r="M230" i="219"/>
  <c r="J10" i="219"/>
  <c r="H253" i="219"/>
  <c r="O252" i="214"/>
  <c r="N243" i="214"/>
  <c r="N252" i="214"/>
  <c r="M56" i="214"/>
  <c r="N56" i="214" s="1"/>
  <c r="O56" i="214" s="1"/>
  <c r="L227" i="214"/>
  <c r="K55" i="214"/>
  <c r="H249" i="214"/>
  <c r="H245" i="214"/>
  <c r="G90" i="214"/>
  <c r="J252" i="217"/>
  <c r="I90" i="217"/>
  <c r="I253" i="217"/>
  <c r="M246" i="219"/>
  <c r="L255" i="219"/>
  <c r="L191" i="219"/>
  <c r="M191" i="219" s="1"/>
  <c r="L217" i="219"/>
  <c r="M217" i="219" s="1"/>
  <c r="N217" i="219" s="1"/>
  <c r="I228" i="219"/>
  <c r="I215" i="219"/>
  <c r="J286" i="219"/>
  <c r="N248" i="214"/>
  <c r="G9" i="219"/>
  <c r="G10" i="219" s="1"/>
  <c r="M233" i="214"/>
  <c r="M69" i="214"/>
  <c r="N69" i="214" s="1"/>
  <c r="O69" i="214" s="1"/>
  <c r="P69" i="214" s="1"/>
  <c r="L168" i="214"/>
  <c r="M168" i="214" s="1"/>
  <c r="N168" i="214" s="1"/>
  <c r="O168" i="214" s="1"/>
  <c r="H96" i="214"/>
  <c r="H12" i="214" s="1"/>
  <c r="H11" i="214" s="1"/>
  <c r="H13" i="214" s="1"/>
  <c r="O227" i="214"/>
  <c r="G247" i="217"/>
  <c r="M255" i="219"/>
  <c r="M186" i="219"/>
  <c r="H269" i="219"/>
  <c r="H271" i="219" s="1"/>
  <c r="J271" i="219"/>
  <c r="I253" i="219"/>
  <c r="I252" i="219"/>
  <c r="I96" i="219"/>
  <c r="J253" i="219"/>
  <c r="O48" i="214"/>
  <c r="P48" i="214" s="1"/>
  <c r="Q48" i="214" s="1"/>
  <c r="R48" i="214" s="1"/>
  <c r="S48" i="214" s="1"/>
  <c r="T48" i="214" s="1"/>
  <c r="M216" i="214"/>
  <c r="H38" i="219"/>
  <c r="H6" i="219"/>
  <c r="I204" i="219"/>
  <c r="I27" i="219"/>
  <c r="J206" i="219"/>
  <c r="H30" i="219"/>
  <c r="H31" i="219"/>
  <c r="F282" i="219"/>
  <c r="C56" i="164"/>
  <c r="C41" i="164"/>
  <c r="C33" i="164"/>
  <c r="H194" i="214"/>
  <c r="H28" i="214" s="1"/>
  <c r="H35" i="214"/>
  <c r="J34" i="219"/>
  <c r="K252" i="219"/>
  <c r="K253" i="219"/>
  <c r="L95" i="219"/>
  <c r="M103" i="214"/>
  <c r="N101" i="214"/>
  <c r="E111" i="214"/>
  <c r="E117" i="214" s="1"/>
  <c r="D38" i="214"/>
  <c r="L247" i="219"/>
  <c r="M89" i="219"/>
  <c r="Q212" i="214"/>
  <c r="R212" i="214"/>
  <c r="J76" i="219"/>
  <c r="J238" i="219"/>
  <c r="K96" i="219"/>
  <c r="L96" i="219" s="1"/>
  <c r="P212" i="214"/>
  <c r="H282" i="219"/>
  <c r="O243" i="214"/>
  <c r="P215" i="214"/>
  <c r="O248" i="214"/>
  <c r="G90" i="219"/>
  <c r="H248" i="219"/>
  <c r="O70" i="214"/>
  <c r="P70" i="214" s="1"/>
  <c r="F194" i="214"/>
  <c r="F28" i="214" s="1"/>
  <c r="F35" i="214"/>
  <c r="J250" i="214"/>
  <c r="K95" i="214"/>
  <c r="K60" i="214"/>
  <c r="K108" i="214"/>
  <c r="K107" i="214"/>
  <c r="G203" i="214"/>
  <c r="G34" i="214"/>
  <c r="K223" i="219"/>
  <c r="K220" i="214"/>
  <c r="K223" i="217"/>
  <c r="J206" i="214"/>
  <c r="I76" i="219"/>
  <c r="J90" i="219"/>
  <c r="K90" i="219" s="1"/>
  <c r="L90" i="219" s="1"/>
  <c r="M90" i="219" s="1"/>
  <c r="J252" i="219"/>
  <c r="J51" i="219"/>
  <c r="G77" i="219"/>
  <c r="G248" i="219"/>
  <c r="L212" i="214"/>
  <c r="L51" i="214" s="1"/>
  <c r="M51" i="214" s="1"/>
  <c r="N51" i="214" s="1"/>
  <c r="O51" i="214" s="1"/>
  <c r="P51" i="214" s="1"/>
  <c r="Q51" i="214" s="1"/>
  <c r="R51" i="214" s="1"/>
  <c r="S51" i="214" s="1"/>
  <c r="T51" i="214" s="1"/>
  <c r="M212" i="214"/>
  <c r="F237" i="219"/>
  <c r="G237" i="219"/>
  <c r="F76" i="219"/>
  <c r="G238" i="219"/>
  <c r="F77" i="219"/>
  <c r="N190" i="219"/>
  <c r="O190" i="219" s="1"/>
  <c r="P190" i="219" s="1"/>
  <c r="Q190" i="219" s="1"/>
  <c r="R190" i="219" s="1"/>
  <c r="S190" i="219" s="1"/>
  <c r="T190" i="219" s="1"/>
  <c r="M113" i="214"/>
  <c r="L121" i="214"/>
  <c r="L61" i="214"/>
  <c r="M114" i="214"/>
  <c r="I19" i="214"/>
  <c r="I66" i="214"/>
  <c r="I67" i="214" s="1"/>
  <c r="I10" i="214" s="1"/>
  <c r="I147" i="214"/>
  <c r="I148" i="214" s="1"/>
  <c r="F245" i="214"/>
  <c r="R179" i="214"/>
  <c r="I245" i="219"/>
  <c r="H9" i="219"/>
  <c r="H10" i="219" s="1"/>
  <c r="H51" i="219"/>
  <c r="I10" i="219"/>
  <c r="O192" i="214"/>
  <c r="P192" i="214" s="1"/>
  <c r="D21" i="214"/>
  <c r="D20" i="214" s="1"/>
  <c r="D23" i="214" s="1"/>
  <c r="D41" i="214" s="1"/>
  <c r="D80" i="214"/>
  <c r="D12" i="214" s="1"/>
  <c r="D11" i="214" s="1"/>
  <c r="D13" i="214" s="1"/>
  <c r="M160" i="214"/>
  <c r="D166" i="214"/>
  <c r="D165" i="214"/>
  <c r="L135" i="214"/>
  <c r="K136" i="214"/>
  <c r="K126" i="214"/>
  <c r="L125" i="214"/>
  <c r="K193" i="214"/>
  <c r="L186" i="214"/>
  <c r="K49" i="214"/>
  <c r="K130" i="214"/>
  <c r="K78" i="214" s="1"/>
  <c r="H23" i="214"/>
  <c r="H41" i="214" s="1"/>
  <c r="B56" i="164"/>
  <c r="B33" i="164"/>
  <c r="C26" i="164"/>
  <c r="C50" i="164" s="1"/>
  <c r="C24" i="164"/>
  <c r="C25" i="164"/>
  <c r="D2" i="164"/>
  <c r="C27" i="164"/>
  <c r="C46" i="164" s="1"/>
  <c r="K209" i="214"/>
  <c r="K82" i="214"/>
  <c r="I95" i="210"/>
  <c r="E249" i="214"/>
  <c r="E96" i="214"/>
  <c r="E250" i="214"/>
  <c r="F250" i="214"/>
  <c r="G253" i="214"/>
  <c r="G104" i="214"/>
  <c r="G12" i="214" s="1"/>
  <c r="G11" i="214" s="1"/>
  <c r="G13" i="214" s="1"/>
  <c r="H254" i="214"/>
  <c r="I90" i="214"/>
  <c r="J245" i="214"/>
  <c r="I245" i="214"/>
  <c r="L230" i="212"/>
  <c r="K241" i="212"/>
  <c r="H150" i="217"/>
  <c r="H151" i="217" s="1"/>
  <c r="E253" i="217"/>
  <c r="E96" i="217"/>
  <c r="F253" i="217"/>
  <c r="F252" i="217"/>
  <c r="K60" i="217"/>
  <c r="K110" i="217"/>
  <c r="L219" i="217"/>
  <c r="K111" i="217"/>
  <c r="M248" i="214"/>
  <c r="M227" i="214"/>
  <c r="K63" i="214"/>
  <c r="G21" i="214"/>
  <c r="G20" i="214" s="1"/>
  <c r="K83" i="214"/>
  <c r="L83" i="214" s="1"/>
  <c r="M83" i="214" s="1"/>
  <c r="N83" i="214" s="1"/>
  <c r="O83" i="214" s="1"/>
  <c r="P83" i="214" s="1"/>
  <c r="S116" i="217"/>
  <c r="F165" i="214"/>
  <c r="F166" i="214" s="1"/>
  <c r="G151" i="214"/>
  <c r="G157" i="214" s="1"/>
  <c r="G23" i="214"/>
  <c r="G41" i="214" s="1"/>
  <c r="J66" i="214"/>
  <c r="J19" i="214"/>
  <c r="F80" i="214"/>
  <c r="F12" i="214" s="1"/>
  <c r="F11" i="214" s="1"/>
  <c r="F13" i="214" s="1"/>
  <c r="G240" i="214"/>
  <c r="I240" i="214"/>
  <c r="I80" i="214"/>
  <c r="I96" i="214"/>
  <c r="I249" i="214"/>
  <c r="K171" i="214"/>
  <c r="J173" i="214"/>
  <c r="J191" i="214"/>
  <c r="K188" i="214"/>
  <c r="L188" i="214" s="1"/>
  <c r="M188" i="214" s="1"/>
  <c r="N188" i="214" s="1"/>
  <c r="O188" i="214" s="1"/>
  <c r="P188" i="214" s="1"/>
  <c r="H245" i="217"/>
  <c r="H247" i="217" s="1"/>
  <c r="K89" i="217"/>
  <c r="K245" i="217"/>
  <c r="S245" i="217"/>
  <c r="L245" i="217"/>
  <c r="T245" i="217"/>
  <c r="J245" i="219"/>
  <c r="J247" i="219" s="1"/>
  <c r="Q245" i="219"/>
  <c r="R245" i="219"/>
  <c r="I98" i="210"/>
  <c r="I96" i="210"/>
  <c r="I94" i="210"/>
  <c r="I92" i="210"/>
  <c r="I88" i="210"/>
  <c r="I91" i="210"/>
  <c r="F245" i="217"/>
  <c r="F247" i="217" s="1"/>
  <c r="E245" i="217"/>
  <c r="E247" i="217" s="1"/>
  <c r="M245" i="217"/>
  <c r="N245" i="217"/>
  <c r="N245" i="219"/>
  <c r="O242" i="214"/>
  <c r="P242" i="214"/>
  <c r="H100" i="210"/>
  <c r="H98" i="210"/>
  <c r="H88" i="210"/>
  <c r="H101" i="210"/>
  <c r="I101" i="210"/>
  <c r="I97" i="210"/>
  <c r="H95" i="210"/>
  <c r="H93" i="210"/>
  <c r="H240" i="217" s="1"/>
  <c r="H242" i="217" s="1"/>
  <c r="J76" i="214"/>
  <c r="K76" i="214" s="1"/>
  <c r="L76" i="214" s="1"/>
  <c r="M76" i="214" s="1"/>
  <c r="N76" i="214" s="1"/>
  <c r="O76" i="214" s="1"/>
  <c r="P76" i="214" s="1"/>
  <c r="J77" i="214"/>
  <c r="J69" i="214"/>
  <c r="I69" i="214"/>
  <c r="I21" i="214" s="1"/>
  <c r="I20" i="214" s="1"/>
  <c r="F21" i="214"/>
  <c r="F20" i="214" s="1"/>
  <c r="F23" i="214" s="1"/>
  <c r="F41" i="214" s="1"/>
  <c r="J21" i="214"/>
  <c r="J20" i="214" s="1"/>
  <c r="K183" i="214"/>
  <c r="L183" i="214" s="1"/>
  <c r="M183" i="214" s="1"/>
  <c r="N183" i="214" s="1"/>
  <c r="O183" i="214" s="1"/>
  <c r="P183" i="214" s="1"/>
  <c r="K180" i="214"/>
  <c r="K214" i="214"/>
  <c r="L214" i="214" s="1"/>
  <c r="M214" i="214" s="1"/>
  <c r="N214" i="214" s="1"/>
  <c r="O214" i="214" s="1"/>
  <c r="P214" i="214" s="1"/>
  <c r="D33" i="214"/>
  <c r="D36" i="214" s="1"/>
  <c r="D43" i="214" s="1"/>
  <c r="D147" i="214"/>
  <c r="D148" i="214" s="1"/>
  <c r="D26" i="214" s="1"/>
  <c r="D29" i="214" s="1"/>
  <c r="D42" i="214" s="1"/>
  <c r="E194" i="214"/>
  <c r="E28" i="214" s="1"/>
  <c r="E35" i="214"/>
  <c r="E36" i="214" s="1"/>
  <c r="E43" i="214" s="1"/>
  <c r="I253" i="214"/>
  <c r="E26" i="214"/>
  <c r="E29" i="214" s="1"/>
  <c r="E42" i="214" s="1"/>
  <c r="E104" i="214"/>
  <c r="E254" i="214"/>
  <c r="J34" i="214"/>
  <c r="J203" i="214"/>
  <c r="R242" i="214"/>
  <c r="S242" i="214"/>
  <c r="N242" i="214"/>
  <c r="L242" i="214"/>
  <c r="K89" i="214"/>
  <c r="K242" i="214"/>
  <c r="I93" i="210"/>
  <c r="H99" i="210"/>
  <c r="K75" i="214" s="1"/>
  <c r="L75" i="214" s="1"/>
  <c r="M75" i="214" s="1"/>
  <c r="N75" i="214" s="1"/>
  <c r="O75" i="214" s="1"/>
  <c r="P75" i="214" s="1"/>
  <c r="L244" i="212"/>
  <c r="K255" i="212"/>
  <c r="H240" i="214"/>
  <c r="K248" i="214"/>
  <c r="K227" i="214"/>
  <c r="K167" i="214"/>
  <c r="L167" i="214" s="1"/>
  <c r="M167" i="214" s="1"/>
  <c r="N167" i="214" s="1"/>
  <c r="O167" i="214" s="1"/>
  <c r="P167" i="214" s="1"/>
  <c r="K252" i="214"/>
  <c r="K253" i="214" s="1"/>
  <c r="E240" i="214"/>
  <c r="J243" i="214"/>
  <c r="J252" i="214"/>
  <c r="J253" i="214" s="1"/>
  <c r="J238" i="214"/>
  <c r="E243" i="214"/>
  <c r="E252" i="214"/>
  <c r="E253" i="214" s="1"/>
  <c r="K61" i="214"/>
  <c r="D31" i="214"/>
  <c r="D30" i="214"/>
  <c r="H97" i="210"/>
  <c r="K253" i="217"/>
  <c r="F247" i="214"/>
  <c r="F249" i="214" s="1"/>
  <c r="J247" i="214"/>
  <c r="J249" i="214" s="1"/>
  <c r="N250" i="219"/>
  <c r="F9" i="217"/>
  <c r="F51" i="217"/>
  <c r="J51" i="217"/>
  <c r="J9" i="217"/>
  <c r="D9" i="217"/>
  <c r="D10" i="217" s="1"/>
  <c r="D51" i="217"/>
  <c r="H9" i="217"/>
  <c r="H10" i="217" s="1"/>
  <c r="H51" i="217"/>
  <c r="G55" i="217"/>
  <c r="G19" i="217"/>
  <c r="G147" i="217"/>
  <c r="F197" i="219"/>
  <c r="F28" i="219" s="1"/>
  <c r="F35" i="219"/>
  <c r="F92" i="214"/>
  <c r="G91" i="214"/>
  <c r="D91" i="214"/>
  <c r="H91" i="214"/>
  <c r="H242" i="214" s="1"/>
  <c r="H244" i="214" s="1"/>
  <c r="E91" i="214"/>
  <c r="E242" i="214" s="1"/>
  <c r="E244" i="214" s="1"/>
  <c r="I91" i="214"/>
  <c r="E168" i="217"/>
  <c r="F243" i="217"/>
  <c r="F80" i="217"/>
  <c r="G243" i="217"/>
  <c r="G31" i="217"/>
  <c r="G30" i="217"/>
  <c r="F122" i="219"/>
  <c r="F122" i="217"/>
  <c r="F119" i="214"/>
  <c r="F142" i="214" s="1"/>
  <c r="J122" i="219"/>
  <c r="J122" i="217"/>
  <c r="J119" i="214"/>
  <c r="I123" i="219"/>
  <c r="I123" i="217"/>
  <c r="I120" i="214"/>
  <c r="G92" i="214"/>
  <c r="E191" i="219"/>
  <c r="E191" i="217"/>
  <c r="D176" i="211"/>
  <c r="K217" i="217"/>
  <c r="K255" i="217"/>
  <c r="K236" i="217"/>
  <c r="K134" i="217"/>
  <c r="K170" i="217"/>
  <c r="K84" i="217"/>
  <c r="K251" i="217"/>
  <c r="K252" i="217" s="1"/>
  <c r="L218" i="217"/>
  <c r="L70" i="217" s="1"/>
  <c r="K56" i="217"/>
  <c r="K246" i="217"/>
  <c r="K230" i="217"/>
  <c r="K163" i="217"/>
  <c r="K196" i="217"/>
  <c r="K129" i="217"/>
  <c r="L128" i="217"/>
  <c r="L179" i="217"/>
  <c r="F164" i="217"/>
  <c r="F166" i="217" s="1"/>
  <c r="G154" i="217"/>
  <c r="G160" i="217" s="1"/>
  <c r="D146" i="217"/>
  <c r="D147" i="217"/>
  <c r="D165" i="217"/>
  <c r="D166" i="217" s="1"/>
  <c r="G165" i="217"/>
  <c r="N124" i="217"/>
  <c r="M61" i="217"/>
  <c r="L82" i="217"/>
  <c r="I10" i="217"/>
  <c r="M24" i="217"/>
  <c r="L22" i="217"/>
  <c r="F66" i="217"/>
  <c r="F67" i="217" s="1"/>
  <c r="F19" i="217"/>
  <c r="E104" i="217"/>
  <c r="E146" i="217"/>
  <c r="E147" i="217"/>
  <c r="J185" i="217"/>
  <c r="K182" i="217"/>
  <c r="F194" i="217"/>
  <c r="J194" i="217"/>
  <c r="K189" i="217"/>
  <c r="G191" i="217"/>
  <c r="G195" i="217" s="1"/>
  <c r="G194" i="217"/>
  <c r="N195" i="219"/>
  <c r="J197" i="219"/>
  <c r="J28" i="219" s="1"/>
  <c r="J35" i="219"/>
  <c r="I92" i="214"/>
  <c r="I150" i="219"/>
  <c r="I151" i="219" s="1"/>
  <c r="L83" i="217"/>
  <c r="E166" i="217"/>
  <c r="L186" i="217"/>
  <c r="K191" i="217"/>
  <c r="L191" i="217" s="1"/>
  <c r="D31" i="217"/>
  <c r="D30" i="217"/>
  <c r="H243" i="217"/>
  <c r="H80" i="217"/>
  <c r="D90" i="217"/>
  <c r="E248" i="217"/>
  <c r="J253" i="217"/>
  <c r="J96" i="217"/>
  <c r="K96" i="217" s="1"/>
  <c r="L96" i="217" s="1"/>
  <c r="M96" i="217" s="1"/>
  <c r="N96" i="217" s="1"/>
  <c r="O96" i="217" s="1"/>
  <c r="E243" i="217"/>
  <c r="E80" i="217"/>
  <c r="M155" i="217"/>
  <c r="N155" i="217" s="1"/>
  <c r="O155" i="217" s="1"/>
  <c r="P155" i="217" s="1"/>
  <c r="Q155" i="217" s="1"/>
  <c r="R155" i="217" s="1"/>
  <c r="S155" i="217" s="1"/>
  <c r="T155" i="217" s="1"/>
  <c r="L158" i="217"/>
  <c r="J241" i="217"/>
  <c r="F255" i="217"/>
  <c r="G65" i="217"/>
  <c r="G66" i="217" s="1"/>
  <c r="G67" i="217" s="1"/>
  <c r="D191" i="217"/>
  <c r="J66" i="217"/>
  <c r="G104" i="217"/>
  <c r="P178" i="217"/>
  <c r="K178" i="217"/>
  <c r="L178" i="217"/>
  <c r="H101" i="217"/>
  <c r="H103" i="217"/>
  <c r="E103" i="217"/>
  <c r="G102" i="217"/>
  <c r="F101" i="217"/>
  <c r="F106" i="217" s="1"/>
  <c r="D103" i="217"/>
  <c r="H104" i="217"/>
  <c r="I104" i="217"/>
  <c r="R178" i="217"/>
  <c r="O178" i="217"/>
  <c r="N178" i="217"/>
  <c r="J101" i="217"/>
  <c r="J103" i="217"/>
  <c r="D102" i="217"/>
  <c r="D106" i="217" s="1"/>
  <c r="I102" i="217"/>
  <c r="I106" i="217" s="1"/>
  <c r="F103" i="217"/>
  <c r="J104" i="217"/>
  <c r="K104" i="217" s="1"/>
  <c r="L104" i="217" s="1"/>
  <c r="M104" i="217" s="1"/>
  <c r="N104" i="217" s="1"/>
  <c r="O104" i="217" s="1"/>
  <c r="P104" i="217" s="1"/>
  <c r="Q104" i="217" s="1"/>
  <c r="R104" i="217" s="1"/>
  <c r="S104" i="217" s="1"/>
  <c r="T104" i="217" s="1"/>
  <c r="F104" i="217"/>
  <c r="T178" i="217"/>
  <c r="Q178" i="217"/>
  <c r="H102" i="217"/>
  <c r="F102" i="217"/>
  <c r="G101" i="217"/>
  <c r="G103" i="217"/>
  <c r="E102" i="217"/>
  <c r="E106" i="217" s="1"/>
  <c r="D195" i="219"/>
  <c r="D194" i="219"/>
  <c r="E27" i="217"/>
  <c r="E204" i="217"/>
  <c r="I204" i="217"/>
  <c r="I27" i="217"/>
  <c r="I118" i="219"/>
  <c r="I118" i="217"/>
  <c r="I120" i="217" s="1"/>
  <c r="J114" i="217" s="1"/>
  <c r="J120" i="217" s="1"/>
  <c r="K114" i="217" s="1"/>
  <c r="K120" i="217" s="1"/>
  <c r="I138" i="219"/>
  <c r="K138" i="219" s="1"/>
  <c r="I138" i="217"/>
  <c r="K138" i="217" s="1"/>
  <c r="E246" i="219"/>
  <c r="E241" i="219"/>
  <c r="E255" i="219"/>
  <c r="E251" i="219"/>
  <c r="E236" i="219"/>
  <c r="E237" i="219" s="1"/>
  <c r="F228" i="219"/>
  <c r="G228" i="219"/>
  <c r="G147" i="219"/>
  <c r="I246" i="219"/>
  <c r="I241" i="219"/>
  <c r="I269" i="219"/>
  <c r="K171" i="219"/>
  <c r="L171" i="219" s="1"/>
  <c r="M171" i="219" s="1"/>
  <c r="D146" i="219"/>
  <c r="D147" i="219" s="1"/>
  <c r="D164" i="219"/>
  <c r="D166" i="219" s="1"/>
  <c r="H241" i="219"/>
  <c r="H251" i="219"/>
  <c r="H252" i="219" s="1"/>
  <c r="F164" i="219"/>
  <c r="F166" i="219" s="1"/>
  <c r="G154" i="219"/>
  <c r="G160" i="219" s="1"/>
  <c r="E146" i="219"/>
  <c r="E164" i="219"/>
  <c r="E166" i="219" s="1"/>
  <c r="N218" i="219"/>
  <c r="N163" i="219" s="1"/>
  <c r="H196" i="219"/>
  <c r="H197" i="219" s="1"/>
  <c r="H28" i="219" s="1"/>
  <c r="H133" i="219"/>
  <c r="I133" i="219"/>
  <c r="K128" i="219"/>
  <c r="F255" i="219"/>
  <c r="F246" i="219"/>
  <c r="J101" i="219"/>
  <c r="J103" i="219"/>
  <c r="F104" i="219"/>
  <c r="E101" i="219"/>
  <c r="I101" i="219"/>
  <c r="I103" i="219"/>
  <c r="I104" i="219"/>
  <c r="K69" i="219"/>
  <c r="L69" i="219" s="1"/>
  <c r="M69" i="219" s="1"/>
  <c r="Q231" i="219"/>
  <c r="T231" i="219"/>
  <c r="D178" i="219"/>
  <c r="M178" i="219"/>
  <c r="E95" i="219"/>
  <c r="J174" i="219"/>
  <c r="E69" i="219"/>
  <c r="J102" i="219"/>
  <c r="H104" i="219"/>
  <c r="D103" i="219"/>
  <c r="I102" i="219"/>
  <c r="G104" i="219"/>
  <c r="K231" i="219"/>
  <c r="I174" i="219"/>
  <c r="I176" i="219" s="1"/>
  <c r="F174" i="219"/>
  <c r="F176" i="219" s="1"/>
  <c r="H103" i="219"/>
  <c r="D104" i="219"/>
  <c r="D102" i="219"/>
  <c r="G103" i="219"/>
  <c r="E104" i="219"/>
  <c r="S231" i="219"/>
  <c r="P231" i="219"/>
  <c r="R231" i="219"/>
  <c r="E89" i="219"/>
  <c r="D89" i="219"/>
  <c r="D90" i="219" s="1"/>
  <c r="H69" i="219"/>
  <c r="F178" i="219"/>
  <c r="H101" i="219"/>
  <c r="H106" i="219" s="1"/>
  <c r="F102" i="219"/>
  <c r="E103" i="219"/>
  <c r="G101" i="219"/>
  <c r="G106" i="219" s="1"/>
  <c r="D19" i="219"/>
  <c r="D120" i="219"/>
  <c r="E114" i="219" s="1"/>
  <c r="E120" i="219" s="1"/>
  <c r="F114" i="219" s="1"/>
  <c r="F120" i="219" s="1"/>
  <c r="G114" i="219" s="1"/>
  <c r="G120" i="219" s="1"/>
  <c r="H114" i="219" s="1"/>
  <c r="H120" i="219" s="1"/>
  <c r="I114" i="219" s="1"/>
  <c r="I120" i="219" s="1"/>
  <c r="J114" i="219" s="1"/>
  <c r="J120" i="219" s="1"/>
  <c r="K114" i="219" s="1"/>
  <c r="K120" i="219" s="1"/>
  <c r="E227" i="219"/>
  <c r="E228" i="219" s="1"/>
  <c r="E225" i="219"/>
  <c r="F224" i="219"/>
  <c r="K226" i="219"/>
  <c r="L226" i="219" s="1"/>
  <c r="M226" i="219" s="1"/>
  <c r="N226" i="219" s="1"/>
  <c r="O226" i="219" s="1"/>
  <c r="P226" i="219" s="1"/>
  <c r="Q226" i="219" s="1"/>
  <c r="R226" i="219" s="1"/>
  <c r="S226" i="219" s="1"/>
  <c r="T226" i="219" s="1"/>
  <c r="E19" i="219"/>
  <c r="L155" i="219"/>
  <c r="M155" i="219" s="1"/>
  <c r="N155" i="219" s="1"/>
  <c r="O155" i="219" s="1"/>
  <c r="P155" i="219" s="1"/>
  <c r="Q155" i="219" s="1"/>
  <c r="R155" i="219" s="1"/>
  <c r="S155" i="219" s="1"/>
  <c r="T155" i="219" s="1"/>
  <c r="K158" i="219"/>
  <c r="K156" i="219"/>
  <c r="K219" i="219"/>
  <c r="K110" i="219" s="1"/>
  <c r="K222" i="219"/>
  <c r="K104" i="219" s="1"/>
  <c r="L104" i="219" s="1"/>
  <c r="M104" i="219" s="1"/>
  <c r="N104" i="219" s="1"/>
  <c r="O104" i="219" s="1"/>
  <c r="P104" i="219" s="1"/>
  <c r="Q104" i="219" s="1"/>
  <c r="R104" i="219" s="1"/>
  <c r="S104" i="219" s="1"/>
  <c r="T104" i="219" s="1"/>
  <c r="L222" i="219"/>
  <c r="S222" i="219"/>
  <c r="T222" i="219"/>
  <c r="M116" i="219"/>
  <c r="L117" i="219"/>
  <c r="K124" i="219"/>
  <c r="D10" i="219"/>
  <c r="I185" i="219"/>
  <c r="K182" i="219"/>
  <c r="D206" i="219"/>
  <c r="D34" i="219"/>
  <c r="G213" i="219"/>
  <c r="E133" i="219"/>
  <c r="D133" i="219"/>
  <c r="E76" i="219"/>
  <c r="E77" i="219" s="1"/>
  <c r="E147" i="219"/>
  <c r="F133" i="219"/>
  <c r="G133" i="219"/>
  <c r="H14" i="214" l="1"/>
  <c r="H16" i="214"/>
  <c r="H40" i="214"/>
  <c r="G277" i="219"/>
  <c r="H276" i="219"/>
  <c r="H277" i="219" s="1"/>
  <c r="N171" i="219"/>
  <c r="L171" i="217"/>
  <c r="L56" i="217"/>
  <c r="L170" i="217"/>
  <c r="L217" i="217"/>
  <c r="L63" i="214"/>
  <c r="M63" i="214" s="1"/>
  <c r="N63" i="214" s="1"/>
  <c r="O63" i="214" s="1"/>
  <c r="P63" i="214" s="1"/>
  <c r="Q63" i="214" s="1"/>
  <c r="R63" i="214" s="1"/>
  <c r="S63" i="214" s="1"/>
  <c r="T63" i="214" s="1"/>
  <c r="L49" i="214"/>
  <c r="M49" i="214" s="1"/>
  <c r="N49" i="214" s="1"/>
  <c r="O49" i="214" s="1"/>
  <c r="P49" i="214" s="1"/>
  <c r="Q49" i="214" s="1"/>
  <c r="R49" i="214" s="1"/>
  <c r="S49" i="214" s="1"/>
  <c r="T49" i="214" s="1"/>
  <c r="L253" i="214"/>
  <c r="G240" i="219"/>
  <c r="O253" i="217"/>
  <c r="P95" i="217"/>
  <c r="L194" i="219"/>
  <c r="L35" i="219" s="1"/>
  <c r="N69" i="219"/>
  <c r="N189" i="219"/>
  <c r="F40" i="214"/>
  <c r="F16" i="214"/>
  <c r="F14" i="214"/>
  <c r="K79" i="214"/>
  <c r="K139" i="217"/>
  <c r="L138" i="217"/>
  <c r="D168" i="217"/>
  <c r="D169" i="217" s="1"/>
  <c r="K139" i="219"/>
  <c r="L138" i="219"/>
  <c r="G10" i="217"/>
  <c r="G16" i="214"/>
  <c r="G40" i="214"/>
  <c r="G14" i="214"/>
  <c r="D16" i="214"/>
  <c r="D40" i="214"/>
  <c r="D14" i="214"/>
  <c r="D31" i="219"/>
  <c r="D30" i="219"/>
  <c r="G107" i="219"/>
  <c r="G21" i="219"/>
  <c r="G20" i="219" s="1"/>
  <c r="G23" i="219" s="1"/>
  <c r="G41" i="219" s="1"/>
  <c r="H21" i="219"/>
  <c r="H20" i="219" s="1"/>
  <c r="H23" i="219" s="1"/>
  <c r="H41" i="219" s="1"/>
  <c r="I206" i="217"/>
  <c r="I34" i="217"/>
  <c r="D35" i="219"/>
  <c r="D197" i="219"/>
  <c r="D28" i="219" s="1"/>
  <c r="E107" i="217"/>
  <c r="E256" i="217"/>
  <c r="E257" i="217"/>
  <c r="F107" i="217"/>
  <c r="F257" i="217"/>
  <c r="F256" i="217"/>
  <c r="H106" i="217"/>
  <c r="I256" i="217" s="1"/>
  <c r="J35" i="217"/>
  <c r="J197" i="217"/>
  <c r="J28" i="217" s="1"/>
  <c r="E150" i="217"/>
  <c r="E151" i="217" s="1"/>
  <c r="E33" i="217"/>
  <c r="I107" i="217"/>
  <c r="I12" i="217" s="1"/>
  <c r="I11" i="217" s="1"/>
  <c r="D33" i="217"/>
  <c r="D150" i="217"/>
  <c r="D151" i="217" s="1"/>
  <c r="F143" i="214"/>
  <c r="F144" i="214" s="1"/>
  <c r="J30" i="214"/>
  <c r="J31" i="214"/>
  <c r="L171" i="214"/>
  <c r="G161" i="214"/>
  <c r="G163" i="214" s="1"/>
  <c r="G33" i="214" s="1"/>
  <c r="G36" i="214" s="1"/>
  <c r="G43" i="214" s="1"/>
  <c r="G165" i="214"/>
  <c r="H151" i="214"/>
  <c r="H157" i="214" s="1"/>
  <c r="E21" i="217"/>
  <c r="E20" i="217" s="1"/>
  <c r="E23" i="217" s="1"/>
  <c r="E41" i="217" s="1"/>
  <c r="M230" i="212"/>
  <c r="L259" i="212"/>
  <c r="L257" i="212"/>
  <c r="L241" i="212"/>
  <c r="E12" i="214"/>
  <c r="E11" i="214" s="1"/>
  <c r="E13" i="214" s="1"/>
  <c r="D26" i="164"/>
  <c r="D50" i="164" s="1"/>
  <c r="D4" i="164"/>
  <c r="D21" i="164" s="1"/>
  <c r="D27" i="164"/>
  <c r="D46" i="164" s="1"/>
  <c r="D28" i="164"/>
  <c r="D51" i="164" s="1"/>
  <c r="E2" i="164"/>
  <c r="D25" i="164"/>
  <c r="D43" i="164" s="1"/>
  <c r="D24" i="164"/>
  <c r="M135" i="214"/>
  <c r="L136" i="214"/>
  <c r="L146" i="214" s="1"/>
  <c r="N160" i="214"/>
  <c r="I240" i="217"/>
  <c r="I242" i="217" s="1"/>
  <c r="F237" i="214"/>
  <c r="F239" i="214" s="1"/>
  <c r="K75" i="217"/>
  <c r="L75" i="217" s="1"/>
  <c r="M35" i="219"/>
  <c r="K64" i="214"/>
  <c r="Q70" i="214"/>
  <c r="P233" i="214"/>
  <c r="P227" i="214"/>
  <c r="P243" i="214"/>
  <c r="P248" i="214"/>
  <c r="P252" i="214"/>
  <c r="Q215" i="214"/>
  <c r="Q183" i="214" s="1"/>
  <c r="P168" i="214"/>
  <c r="P238" i="214"/>
  <c r="P176" i="214"/>
  <c r="Q176" i="214" s="1"/>
  <c r="K76" i="219"/>
  <c r="L76" i="219" s="1"/>
  <c r="M76" i="219" s="1"/>
  <c r="N76" i="219" s="1"/>
  <c r="J77" i="219"/>
  <c r="M248" i="219"/>
  <c r="M247" i="219"/>
  <c r="N89" i="219"/>
  <c r="N90" i="219" s="1"/>
  <c r="F286" i="219"/>
  <c r="F283" i="219"/>
  <c r="F284" i="219" s="1"/>
  <c r="F240" i="219"/>
  <c r="F242" i="219" s="1"/>
  <c r="L182" i="219"/>
  <c r="K185" i="219"/>
  <c r="L219" i="219"/>
  <c r="K60" i="219"/>
  <c r="K111" i="219"/>
  <c r="D106" i="219"/>
  <c r="J176" i="219"/>
  <c r="K174" i="219"/>
  <c r="K196" i="219"/>
  <c r="K197" i="219" s="1"/>
  <c r="K28" i="219" s="1"/>
  <c r="K129" i="219"/>
  <c r="L128" i="219"/>
  <c r="I271" i="219"/>
  <c r="I276" i="219" s="1"/>
  <c r="I286" i="219"/>
  <c r="K123" i="217"/>
  <c r="L114" i="217"/>
  <c r="L120" i="217" s="1"/>
  <c r="M114" i="217" s="1"/>
  <c r="M120" i="217" s="1"/>
  <c r="N114" i="217" s="1"/>
  <c r="N120" i="217" s="1"/>
  <c r="O114" i="217" s="1"/>
  <c r="O120" i="217" s="1"/>
  <c r="P114" i="217" s="1"/>
  <c r="P120" i="217" s="1"/>
  <c r="Q114" i="217" s="1"/>
  <c r="Q120" i="217" s="1"/>
  <c r="R114" i="217" s="1"/>
  <c r="R120" i="217" s="1"/>
  <c r="S114" i="217" s="1"/>
  <c r="S120" i="217" s="1"/>
  <c r="T114" i="217" s="1"/>
  <c r="E206" i="217"/>
  <c r="E34" i="217"/>
  <c r="K101" i="217"/>
  <c r="J106" i="217"/>
  <c r="J67" i="217"/>
  <c r="J10" i="217" s="1"/>
  <c r="L62" i="217"/>
  <c r="M158" i="217"/>
  <c r="F21" i="217"/>
  <c r="F20" i="217" s="1"/>
  <c r="F23" i="217" s="1"/>
  <c r="F41" i="217" s="1"/>
  <c r="E169" i="217"/>
  <c r="G197" i="217"/>
  <c r="G28" i="217" s="1"/>
  <c r="G35" i="217"/>
  <c r="F35" i="217"/>
  <c r="F197" i="217"/>
  <c r="F28" i="217" s="1"/>
  <c r="O124" i="217"/>
  <c r="N61" i="217"/>
  <c r="L163" i="217"/>
  <c r="L255" i="217"/>
  <c r="L236" i="217"/>
  <c r="L251" i="217"/>
  <c r="L252" i="217" s="1"/>
  <c r="M218" i="217"/>
  <c r="M179" i="217" s="1"/>
  <c r="L246" i="217"/>
  <c r="L69" i="217"/>
  <c r="L230" i="217"/>
  <c r="L195" i="217"/>
  <c r="M195" i="217" s="1"/>
  <c r="L241" i="217"/>
  <c r="L76" i="217"/>
  <c r="L134" i="217"/>
  <c r="J142" i="214"/>
  <c r="F145" i="217"/>
  <c r="F38" i="217"/>
  <c r="E168" i="219"/>
  <c r="E169" i="219" s="1"/>
  <c r="Q167" i="214"/>
  <c r="I12" i="214"/>
  <c r="I11" i="214" s="1"/>
  <c r="I13" i="214" s="1"/>
  <c r="Q76" i="214"/>
  <c r="Q188" i="214"/>
  <c r="J23" i="214"/>
  <c r="J41" i="214" s="1"/>
  <c r="I21" i="217"/>
  <c r="I20" i="217" s="1"/>
  <c r="I23" i="217" s="1"/>
  <c r="I41" i="217" s="1"/>
  <c r="K84" i="214"/>
  <c r="L82" i="214"/>
  <c r="M82" i="214" s="1"/>
  <c r="N82" i="214" s="1"/>
  <c r="O82" i="214" s="1"/>
  <c r="P82" i="214" s="1"/>
  <c r="Q82" i="214" s="1"/>
  <c r="C43" i="164"/>
  <c r="D49" i="164"/>
  <c r="C49" i="164"/>
  <c r="C47" i="164"/>
  <c r="M186" i="214"/>
  <c r="L191" i="214"/>
  <c r="M125" i="214"/>
  <c r="L126" i="214"/>
  <c r="L193" i="214"/>
  <c r="E240" i="219"/>
  <c r="H237" i="214"/>
  <c r="H239" i="214" s="1"/>
  <c r="S179" i="214"/>
  <c r="I23" i="214"/>
  <c r="I41" i="214" s="1"/>
  <c r="M121" i="214"/>
  <c r="M61" i="214" s="1"/>
  <c r="L104" i="214"/>
  <c r="M104" i="214" s="1"/>
  <c r="G243" i="219"/>
  <c r="G242" i="219"/>
  <c r="H242" i="219"/>
  <c r="G80" i="219"/>
  <c r="H243" i="219"/>
  <c r="K225" i="217"/>
  <c r="K86" i="217"/>
  <c r="K227" i="217"/>
  <c r="K228" i="217" s="1"/>
  <c r="K47" i="217" s="1"/>
  <c r="K224" i="217"/>
  <c r="K102" i="217" s="1"/>
  <c r="K212" i="217"/>
  <c r="G30" i="214"/>
  <c r="G31" i="214"/>
  <c r="I77" i="219"/>
  <c r="L196" i="214"/>
  <c r="M196" i="214" s="1"/>
  <c r="N196" i="214" s="1"/>
  <c r="O196" i="214" s="1"/>
  <c r="P196" i="214" s="1"/>
  <c r="Q196" i="214" s="1"/>
  <c r="R196" i="214" s="1"/>
  <c r="S196" i="214" s="1"/>
  <c r="T196" i="214" s="1"/>
  <c r="E38" i="214"/>
  <c r="F111" i="214"/>
  <c r="F117" i="214" s="1"/>
  <c r="H240" i="219"/>
  <c r="P131" i="214"/>
  <c r="Q131" i="214" s="1"/>
  <c r="E150" i="219"/>
  <c r="E151" i="219" s="1"/>
  <c r="E33" i="219"/>
  <c r="L124" i="219"/>
  <c r="K61" i="219"/>
  <c r="L156" i="219"/>
  <c r="M156" i="219" s="1"/>
  <c r="N156" i="219" s="1"/>
  <c r="O156" i="219" s="1"/>
  <c r="P156" i="219" s="1"/>
  <c r="Q156" i="219" s="1"/>
  <c r="R156" i="219" s="1"/>
  <c r="S156" i="219" s="1"/>
  <c r="T156" i="219" s="1"/>
  <c r="L114" i="219"/>
  <c r="L120" i="219" s="1"/>
  <c r="M114" i="219" s="1"/>
  <c r="K123" i="219"/>
  <c r="F106" i="219"/>
  <c r="G257" i="219" s="1"/>
  <c r="K134" i="219"/>
  <c r="L134" i="219" s="1"/>
  <c r="M134" i="219" s="1"/>
  <c r="N134" i="219" s="1"/>
  <c r="K230" i="219"/>
  <c r="K212" i="219"/>
  <c r="E96" i="219"/>
  <c r="E253" i="219"/>
  <c r="E252" i="219"/>
  <c r="F253" i="219"/>
  <c r="I106" i="219"/>
  <c r="K101" i="219"/>
  <c r="J106" i="219"/>
  <c r="G164" i="219"/>
  <c r="G166" i="219" s="1"/>
  <c r="H154" i="219"/>
  <c r="H160" i="219" s="1"/>
  <c r="G168" i="219"/>
  <c r="D168" i="219"/>
  <c r="D169" i="219"/>
  <c r="G33" i="219"/>
  <c r="G36" i="219" s="1"/>
  <c r="G43" i="219" s="1"/>
  <c r="G150" i="219"/>
  <c r="G151" i="219" s="1"/>
  <c r="N70" i="219"/>
  <c r="N186" i="219"/>
  <c r="G106" i="217"/>
  <c r="D195" i="217"/>
  <c r="D194" i="217"/>
  <c r="K185" i="217"/>
  <c r="L182" i="217"/>
  <c r="M22" i="217"/>
  <c r="M156" i="217"/>
  <c r="N156" i="217" s="1"/>
  <c r="O156" i="217" s="1"/>
  <c r="P156" i="217" s="1"/>
  <c r="Q156" i="217" s="1"/>
  <c r="R156" i="217" s="1"/>
  <c r="S156" i="217" s="1"/>
  <c r="T156" i="217" s="1"/>
  <c r="L183" i="217"/>
  <c r="M183" i="217" s="1"/>
  <c r="N170" i="219"/>
  <c r="F168" i="217"/>
  <c r="F169" i="217" s="1"/>
  <c r="L196" i="217"/>
  <c r="L129" i="217"/>
  <c r="M128" i="217"/>
  <c r="E194" i="217"/>
  <c r="E195" i="217"/>
  <c r="J145" i="217"/>
  <c r="J38" i="217"/>
  <c r="K122" i="217"/>
  <c r="F145" i="219"/>
  <c r="F38" i="219"/>
  <c r="F12" i="217"/>
  <c r="F11" i="217" s="1"/>
  <c r="I242" i="214"/>
  <c r="I244" i="214" s="1"/>
  <c r="G242" i="214"/>
  <c r="G244" i="214" s="1"/>
  <c r="G150" i="217"/>
  <c r="G151" i="217" s="1"/>
  <c r="Q214" i="214"/>
  <c r="J240" i="217"/>
  <c r="J242" i="217" s="1"/>
  <c r="K75" i="219"/>
  <c r="L75" i="219" s="1"/>
  <c r="M75" i="219" s="1"/>
  <c r="N75" i="219" s="1"/>
  <c r="E237" i="214"/>
  <c r="E239" i="214" s="1"/>
  <c r="J242" i="214"/>
  <c r="J244" i="214" s="1"/>
  <c r="J35" i="214"/>
  <c r="J194" i="214"/>
  <c r="J28" i="214" s="1"/>
  <c r="J67" i="214"/>
  <c r="J10" i="214" s="1"/>
  <c r="F252" i="219"/>
  <c r="K210" i="214"/>
  <c r="C45" i="164"/>
  <c r="C44" i="164"/>
  <c r="C42" i="164"/>
  <c r="K191" i="214"/>
  <c r="K200" i="214"/>
  <c r="K127" i="214"/>
  <c r="Q192" i="214"/>
  <c r="Q69" i="214"/>
  <c r="G237" i="214"/>
  <c r="G239" i="214" s="1"/>
  <c r="J237" i="214"/>
  <c r="E240" i="217"/>
  <c r="E242" i="217" s="1"/>
  <c r="N113" i="214"/>
  <c r="F243" i="219"/>
  <c r="F80" i="219"/>
  <c r="L130" i="214"/>
  <c r="L78" i="214" s="1"/>
  <c r="K222" i="214"/>
  <c r="K224" i="214"/>
  <c r="K225" i="214" s="1"/>
  <c r="K47" i="214" s="1"/>
  <c r="K221" i="214"/>
  <c r="K86" i="214"/>
  <c r="K249" i="214"/>
  <c r="L95" i="214"/>
  <c r="K250" i="214"/>
  <c r="K82" i="219"/>
  <c r="N103" i="214"/>
  <c r="O101" i="214"/>
  <c r="K96" i="214"/>
  <c r="P56" i="214"/>
  <c r="Q56" i="214" s="1"/>
  <c r="E80" i="219"/>
  <c r="E243" i="219"/>
  <c r="E242" i="219"/>
  <c r="M117" i="219"/>
  <c r="L22" i="219"/>
  <c r="L158" i="219"/>
  <c r="K62" i="219"/>
  <c r="H256" i="219"/>
  <c r="H107" i="219"/>
  <c r="H12" i="219" s="1"/>
  <c r="H11" i="219" s="1"/>
  <c r="H13" i="219" s="1"/>
  <c r="H257" i="219"/>
  <c r="E248" i="219"/>
  <c r="E90" i="219"/>
  <c r="F248" i="219"/>
  <c r="E247" i="219"/>
  <c r="F247" i="219"/>
  <c r="E106" i="219"/>
  <c r="N251" i="219"/>
  <c r="N241" i="219"/>
  <c r="N236" i="219"/>
  <c r="O218" i="219"/>
  <c r="O217" i="219" s="1"/>
  <c r="N191" i="219"/>
  <c r="N255" i="219"/>
  <c r="N246" i="219"/>
  <c r="N179" i="219"/>
  <c r="O179" i="219" s="1"/>
  <c r="N230" i="219"/>
  <c r="D150" i="219"/>
  <c r="D151" i="219" s="1"/>
  <c r="D26" i="219" s="1"/>
  <c r="D29" i="219" s="1"/>
  <c r="D42" i="219" s="1"/>
  <c r="D33" i="219"/>
  <c r="D36" i="219" s="1"/>
  <c r="D43" i="219" s="1"/>
  <c r="F168" i="219"/>
  <c r="F169" i="219" s="1"/>
  <c r="D107" i="217"/>
  <c r="D12" i="217" s="1"/>
  <c r="D11" i="217" s="1"/>
  <c r="D13" i="217" s="1"/>
  <c r="D21" i="217"/>
  <c r="D20" i="217" s="1"/>
  <c r="D23" i="217" s="1"/>
  <c r="D41" i="217" s="1"/>
  <c r="E12" i="217"/>
  <c r="E11" i="217" s="1"/>
  <c r="E13" i="217" s="1"/>
  <c r="M191" i="217"/>
  <c r="L189" i="217"/>
  <c r="K194" i="217"/>
  <c r="I13" i="217"/>
  <c r="N183" i="219"/>
  <c r="G168" i="217"/>
  <c r="H154" i="217"/>
  <c r="H160" i="217" s="1"/>
  <c r="G164" i="217"/>
  <c r="G166" i="217" s="1"/>
  <c r="K130" i="217"/>
  <c r="K203" i="217"/>
  <c r="L84" i="217"/>
  <c r="K73" i="217"/>
  <c r="E195" i="219"/>
  <c r="E194" i="219"/>
  <c r="J145" i="219"/>
  <c r="J38" i="219"/>
  <c r="K122" i="219"/>
  <c r="F242" i="214"/>
  <c r="F244" i="214" s="1"/>
  <c r="F10" i="217"/>
  <c r="M244" i="212"/>
  <c r="L255" i="212"/>
  <c r="K244" i="214"/>
  <c r="K245" i="214"/>
  <c r="L89" i="214"/>
  <c r="K90" i="214"/>
  <c r="L90" i="214" s="1"/>
  <c r="L180" i="214"/>
  <c r="K182" i="214"/>
  <c r="J240" i="214"/>
  <c r="J80" i="214"/>
  <c r="J12" i="214" s="1"/>
  <c r="J11" i="214" s="1"/>
  <c r="J239" i="214"/>
  <c r="K247" i="217"/>
  <c r="K90" i="217"/>
  <c r="L89" i="217"/>
  <c r="K248" i="217"/>
  <c r="T116" i="217"/>
  <c r="T117" i="217"/>
  <c r="M219" i="217"/>
  <c r="K137" i="214"/>
  <c r="K146" i="214"/>
  <c r="I237" i="214"/>
  <c r="I239" i="214" s="1"/>
  <c r="G240" i="217"/>
  <c r="G242" i="217" s="1"/>
  <c r="F240" i="217"/>
  <c r="F242" i="217" s="1"/>
  <c r="I247" i="219"/>
  <c r="N114" i="214"/>
  <c r="M22" i="214"/>
  <c r="I240" i="219"/>
  <c r="K225" i="219"/>
  <c r="K224" i="219"/>
  <c r="K103" i="219" s="1"/>
  <c r="K227" i="219"/>
  <c r="K228" i="219" s="1"/>
  <c r="K47" i="219" s="1"/>
  <c r="K86" i="219"/>
  <c r="L55" i="214"/>
  <c r="M55" i="214" s="1"/>
  <c r="N55" i="214" s="1"/>
  <c r="O55" i="214" s="1"/>
  <c r="P55" i="214" s="1"/>
  <c r="Q55" i="214" s="1"/>
  <c r="R55" i="214" s="1"/>
  <c r="S55" i="214" s="1"/>
  <c r="T55" i="214" s="1"/>
  <c r="H283" i="219"/>
  <c r="H286" i="219"/>
  <c r="P175" i="214"/>
  <c r="M254" i="214"/>
  <c r="M253" i="214"/>
  <c r="M95" i="219"/>
  <c r="L252" i="219"/>
  <c r="L253" i="219"/>
  <c r="N56" i="219"/>
  <c r="J30" i="219"/>
  <c r="J31" i="219"/>
  <c r="I34" i="219"/>
  <c r="I206" i="219"/>
  <c r="N216" i="214"/>
  <c r="K83" i="219"/>
  <c r="L83" i="219" s="1"/>
  <c r="M83" i="219" s="1"/>
  <c r="N83" i="219" s="1"/>
  <c r="O69" i="219" l="1"/>
  <c r="P69" i="219" s="1"/>
  <c r="M171" i="217"/>
  <c r="P253" i="217"/>
  <c r="Q95" i="217"/>
  <c r="P96" i="217"/>
  <c r="F13" i="217"/>
  <c r="M83" i="217"/>
  <c r="M134" i="217"/>
  <c r="N134" i="217" s="1"/>
  <c r="Q168" i="214"/>
  <c r="Q83" i="214"/>
  <c r="I257" i="217"/>
  <c r="O83" i="219"/>
  <c r="G12" i="219"/>
  <c r="G11" i="219" s="1"/>
  <c r="G13" i="219" s="1"/>
  <c r="G16" i="219" s="1"/>
  <c r="G287" i="219" s="1"/>
  <c r="M76" i="217"/>
  <c r="M75" i="217"/>
  <c r="H16" i="219"/>
  <c r="H287" i="219" s="1"/>
  <c r="H40" i="219"/>
  <c r="H14" i="219"/>
  <c r="F147" i="214"/>
  <c r="F148" i="214" s="1"/>
  <c r="F26" i="214" s="1"/>
  <c r="F29" i="214" s="1"/>
  <c r="F42" i="214" s="1"/>
  <c r="F33" i="214"/>
  <c r="F36" i="214" s="1"/>
  <c r="F43" i="214" s="1"/>
  <c r="D14" i="217"/>
  <c r="D40" i="217"/>
  <c r="D16" i="217"/>
  <c r="G40" i="219"/>
  <c r="O216" i="214"/>
  <c r="M252" i="219"/>
  <c r="N95" i="219"/>
  <c r="M253" i="219"/>
  <c r="L90" i="217"/>
  <c r="M89" i="214"/>
  <c r="L245" i="214"/>
  <c r="L244" i="214"/>
  <c r="M255" i="212"/>
  <c r="N244" i="212"/>
  <c r="L122" i="219"/>
  <c r="K145" i="219"/>
  <c r="K148" i="217"/>
  <c r="K131" i="217"/>
  <c r="O183" i="219"/>
  <c r="K102" i="219"/>
  <c r="K106" i="219" s="1"/>
  <c r="N253" i="214"/>
  <c r="N254" i="214"/>
  <c r="J13" i="214"/>
  <c r="O186" i="219"/>
  <c r="G169" i="219"/>
  <c r="K214" i="219"/>
  <c r="K213" i="219"/>
  <c r="L123" i="219"/>
  <c r="K205" i="219"/>
  <c r="M124" i="219"/>
  <c r="L61" i="219"/>
  <c r="I242" i="219"/>
  <c r="I243" i="219"/>
  <c r="I80" i="219"/>
  <c r="M130" i="214"/>
  <c r="M78" i="214" s="1"/>
  <c r="L129" i="219"/>
  <c r="L196" i="219"/>
  <c r="L197" i="219" s="1"/>
  <c r="L28" i="219" s="1"/>
  <c r="M128" i="219"/>
  <c r="L174" i="219"/>
  <c r="Q233" i="214"/>
  <c r="Q238" i="214"/>
  <c r="R215" i="214"/>
  <c r="R192" i="214" s="1"/>
  <c r="Q243" i="214"/>
  <c r="Q227" i="214"/>
  <c r="Q252" i="214"/>
  <c r="Q248" i="214"/>
  <c r="E28" i="164"/>
  <c r="E51" i="164" s="1"/>
  <c r="E25" i="164"/>
  <c r="E24" i="164"/>
  <c r="E27" i="164"/>
  <c r="E46" i="164" s="1"/>
  <c r="E4" i="164"/>
  <c r="E21" i="164" s="1"/>
  <c r="F2" i="164"/>
  <c r="E26" i="164"/>
  <c r="E50" i="164" s="1"/>
  <c r="L220" i="214"/>
  <c r="L223" i="217"/>
  <c r="L223" i="219"/>
  <c r="I151" i="214"/>
  <c r="I157" i="214" s="1"/>
  <c r="H33" i="214"/>
  <c r="H36" i="214" s="1"/>
  <c r="H43" i="214" s="1"/>
  <c r="H161" i="214"/>
  <c r="H163" i="214" s="1"/>
  <c r="O195" i="219"/>
  <c r="O189" i="219"/>
  <c r="G256" i="219"/>
  <c r="Q75" i="214"/>
  <c r="R75" i="214" s="1"/>
  <c r="I31" i="219"/>
  <c r="I30" i="219"/>
  <c r="O56" i="219"/>
  <c r="F16" i="217"/>
  <c r="F40" i="217"/>
  <c r="F14" i="217"/>
  <c r="L73" i="217"/>
  <c r="K238" i="217"/>
  <c r="K237" i="217"/>
  <c r="K85" i="217"/>
  <c r="G169" i="217"/>
  <c r="G26" i="217" s="1"/>
  <c r="G29" i="217" s="1"/>
  <c r="G42" i="217" s="1"/>
  <c r="I40" i="217"/>
  <c r="I16" i="217"/>
  <c r="I14" i="217"/>
  <c r="O191" i="219"/>
  <c r="N117" i="219"/>
  <c r="M22" i="219"/>
  <c r="R56" i="214"/>
  <c r="L82" i="219"/>
  <c r="M82" i="219" s="1"/>
  <c r="N82" i="219" s="1"/>
  <c r="O82" i="219" s="1"/>
  <c r="K84" i="219"/>
  <c r="L86" i="214"/>
  <c r="K74" i="214"/>
  <c r="K237" i="214"/>
  <c r="K145" i="214"/>
  <c r="K128" i="214"/>
  <c r="O75" i="219"/>
  <c r="G33" i="217"/>
  <c r="G36" i="217" s="1"/>
  <c r="G43" i="217" s="1"/>
  <c r="J146" i="217"/>
  <c r="K146" i="217" s="1"/>
  <c r="L146" i="217" s="1"/>
  <c r="M146" i="217" s="1"/>
  <c r="N146" i="217" s="1"/>
  <c r="O146" i="217" s="1"/>
  <c r="P146" i="217" s="1"/>
  <c r="Q146" i="217" s="1"/>
  <c r="R146" i="217" s="1"/>
  <c r="S146" i="217" s="1"/>
  <c r="T146" i="217" s="1"/>
  <c r="J147" i="217"/>
  <c r="N128" i="217"/>
  <c r="M196" i="217"/>
  <c r="M129" i="217"/>
  <c r="O170" i="219"/>
  <c r="N22" i="217"/>
  <c r="D35" i="217"/>
  <c r="D197" i="217"/>
  <c r="D28" i="217" s="1"/>
  <c r="O70" i="219"/>
  <c r="J257" i="219"/>
  <c r="J256" i="219"/>
  <c r="J107" i="219"/>
  <c r="M120" i="219"/>
  <c r="N114" i="219" s="1"/>
  <c r="G111" i="214"/>
  <c r="G117" i="214" s="1"/>
  <c r="F38" i="214"/>
  <c r="M193" i="214"/>
  <c r="N130" i="214"/>
  <c r="M126" i="214"/>
  <c r="N125" i="214"/>
  <c r="L84" i="214"/>
  <c r="M84" i="214" s="1"/>
  <c r="N84" i="214" s="1"/>
  <c r="O84" i="214" s="1"/>
  <c r="P84" i="214" s="1"/>
  <c r="Q84" i="214" s="1"/>
  <c r="K73" i="214"/>
  <c r="J144" i="214"/>
  <c r="J143" i="214"/>
  <c r="K143" i="214" s="1"/>
  <c r="L143" i="214" s="1"/>
  <c r="M143" i="214" s="1"/>
  <c r="N143" i="214" s="1"/>
  <c r="O143" i="214" s="1"/>
  <c r="P143" i="214" s="1"/>
  <c r="Q143" i="214" s="1"/>
  <c r="R143" i="214" s="1"/>
  <c r="S143" i="214" s="1"/>
  <c r="T143" i="214" s="1"/>
  <c r="M251" i="217"/>
  <c r="M252" i="217" s="1"/>
  <c r="N218" i="217"/>
  <c r="N171" i="217" s="1"/>
  <c r="M246" i="217"/>
  <c r="M230" i="217"/>
  <c r="M241" i="217"/>
  <c r="M255" i="217"/>
  <c r="M236" i="217"/>
  <c r="P124" i="217"/>
  <c r="O61" i="217"/>
  <c r="E30" i="217"/>
  <c r="E31" i="217"/>
  <c r="J276" i="219"/>
  <c r="I277" i="219"/>
  <c r="K130" i="219"/>
  <c r="M182" i="219"/>
  <c r="L185" i="219"/>
  <c r="F292" i="219"/>
  <c r="G284" i="219"/>
  <c r="F289" i="219"/>
  <c r="F290" i="219" s="1"/>
  <c r="M96" i="219"/>
  <c r="N96" i="219" s="1"/>
  <c r="N135" i="214"/>
  <c r="M136" i="214"/>
  <c r="M146" i="214" s="1"/>
  <c r="E40" i="214"/>
  <c r="E16" i="214"/>
  <c r="E14" i="214"/>
  <c r="N230" i="212"/>
  <c r="M259" i="212"/>
  <c r="M257" i="212"/>
  <c r="M241" i="212"/>
  <c r="M171" i="214"/>
  <c r="M217" i="217"/>
  <c r="D26" i="217"/>
  <c r="D29" i="217" s="1"/>
  <c r="D42" i="217" s="1"/>
  <c r="E26" i="217"/>
  <c r="M186" i="217"/>
  <c r="N186" i="217" s="1"/>
  <c r="I31" i="217"/>
  <c r="I30" i="217"/>
  <c r="I21" i="219"/>
  <c r="I20" i="219" s="1"/>
  <c r="I23" i="219" s="1"/>
  <c r="I41" i="219" s="1"/>
  <c r="F21" i="219"/>
  <c r="F20" i="219" s="1"/>
  <c r="F23" i="219" s="1"/>
  <c r="F41" i="219" s="1"/>
  <c r="M70" i="217"/>
  <c r="L79" i="214"/>
  <c r="K80" i="214"/>
  <c r="K12" i="214" s="1"/>
  <c r="K11" i="214" s="1"/>
  <c r="N219" i="217"/>
  <c r="M180" i="214"/>
  <c r="L182" i="214"/>
  <c r="J146" i="219"/>
  <c r="K146" i="219" s="1"/>
  <c r="L146" i="219" s="1"/>
  <c r="M146" i="219" s="1"/>
  <c r="N146" i="219" s="1"/>
  <c r="O146" i="219" s="1"/>
  <c r="P146" i="219" s="1"/>
  <c r="Q146" i="219" s="1"/>
  <c r="R146" i="219" s="1"/>
  <c r="S146" i="219" s="1"/>
  <c r="T146" i="219" s="1"/>
  <c r="J147" i="219"/>
  <c r="I154" i="217"/>
  <c r="I160" i="217" s="1"/>
  <c r="H164" i="217"/>
  <c r="H166" i="217" s="1"/>
  <c r="H168" i="217"/>
  <c r="H33" i="217"/>
  <c r="H36" i="217" s="1"/>
  <c r="H43" i="217" s="1"/>
  <c r="K197" i="217"/>
  <c r="K28" i="217" s="1"/>
  <c r="K35" i="217"/>
  <c r="E14" i="217"/>
  <c r="E40" i="217"/>
  <c r="E16" i="217"/>
  <c r="O241" i="219"/>
  <c r="O236" i="219"/>
  <c r="P218" i="219"/>
  <c r="O255" i="219"/>
  <c r="O246" i="219"/>
  <c r="O251" i="219"/>
  <c r="O230" i="219"/>
  <c r="E107" i="219"/>
  <c r="E12" i="219" s="1"/>
  <c r="E11" i="219" s="1"/>
  <c r="E13" i="219" s="1"/>
  <c r="E257" i="219"/>
  <c r="E256" i="219"/>
  <c r="E21" i="219"/>
  <c r="E20" i="219" s="1"/>
  <c r="E23" i="219" s="1"/>
  <c r="E41" i="219" s="1"/>
  <c r="L96" i="214"/>
  <c r="O113" i="214"/>
  <c r="F146" i="219"/>
  <c r="F147" i="219" s="1"/>
  <c r="L130" i="217"/>
  <c r="L148" i="217" s="1"/>
  <c r="M182" i="217"/>
  <c r="L185" i="217"/>
  <c r="G26" i="219"/>
  <c r="G29" i="219" s="1"/>
  <c r="L101" i="219"/>
  <c r="O134" i="219"/>
  <c r="E26" i="219"/>
  <c r="E29" i="219" s="1"/>
  <c r="E42" i="219" s="1"/>
  <c r="K240" i="217"/>
  <c r="K74" i="217"/>
  <c r="K77" i="217" s="1"/>
  <c r="L86" i="217"/>
  <c r="N104" i="214"/>
  <c r="T179" i="214"/>
  <c r="L35" i="214"/>
  <c r="L194" i="214"/>
  <c r="L28" i="214" s="1"/>
  <c r="R188" i="214"/>
  <c r="R167" i="214"/>
  <c r="M163" i="217"/>
  <c r="M62" i="217"/>
  <c r="N158" i="217"/>
  <c r="J256" i="217"/>
  <c r="J107" i="217"/>
  <c r="J257" i="217"/>
  <c r="J21" i="217"/>
  <c r="J20" i="217" s="1"/>
  <c r="J23" i="217" s="1"/>
  <c r="J41" i="217" s="1"/>
  <c r="T120" i="217"/>
  <c r="D107" i="219"/>
  <c r="D12" i="219" s="1"/>
  <c r="D11" i="219" s="1"/>
  <c r="D13" i="219" s="1"/>
  <c r="D21" i="219"/>
  <c r="D20" i="219" s="1"/>
  <c r="D23" i="219" s="1"/>
  <c r="D41" i="219" s="1"/>
  <c r="M219" i="219"/>
  <c r="J243" i="219"/>
  <c r="J80" i="219"/>
  <c r="J12" i="219" s="1"/>
  <c r="J11" i="219" s="1"/>
  <c r="J13" i="219" s="1"/>
  <c r="R70" i="214"/>
  <c r="I40" i="214"/>
  <c r="I16" i="214"/>
  <c r="I14" i="214"/>
  <c r="D44" i="164"/>
  <c r="D45" i="164"/>
  <c r="D42" i="164"/>
  <c r="R183" i="214"/>
  <c r="M170" i="217"/>
  <c r="D36" i="217"/>
  <c r="D43" i="217" s="1"/>
  <c r="H256" i="217"/>
  <c r="H257" i="217"/>
  <c r="H107" i="217"/>
  <c r="H12" i="217" s="1"/>
  <c r="H11" i="217" s="1"/>
  <c r="H13" i="217" s="1"/>
  <c r="H21" i="217"/>
  <c r="H20" i="217" s="1"/>
  <c r="H23" i="217" s="1"/>
  <c r="H41" i="217" s="1"/>
  <c r="K103" i="217"/>
  <c r="K106" i="217" s="1"/>
  <c r="O171" i="219"/>
  <c r="M138" i="219"/>
  <c r="L139" i="219"/>
  <c r="L149" i="219" s="1"/>
  <c r="M138" i="217"/>
  <c r="L139" i="217"/>
  <c r="L149" i="217" s="1"/>
  <c r="O163" i="219"/>
  <c r="K74" i="219"/>
  <c r="K240" i="219"/>
  <c r="L86" i="219"/>
  <c r="O114" i="214"/>
  <c r="N22" i="214"/>
  <c r="K138" i="214"/>
  <c r="L137" i="214"/>
  <c r="M137" i="214" s="1"/>
  <c r="L247" i="217"/>
  <c r="L248" i="217"/>
  <c r="M89" i="217"/>
  <c r="M90" i="214"/>
  <c r="E35" i="219"/>
  <c r="E36" i="219" s="1"/>
  <c r="E43" i="219" s="1"/>
  <c r="E197" i="219"/>
  <c r="E28" i="219" s="1"/>
  <c r="M189" i="217"/>
  <c r="L194" i="217"/>
  <c r="M158" i="219"/>
  <c r="L62" i="219"/>
  <c r="O103" i="214"/>
  <c r="P101" i="214"/>
  <c r="L250" i="214"/>
  <c r="M95" i="214"/>
  <c r="L249" i="214"/>
  <c r="K50" i="214"/>
  <c r="R69" i="214"/>
  <c r="K194" i="214"/>
  <c r="K28" i="214" s="1"/>
  <c r="K35" i="214"/>
  <c r="R214" i="214"/>
  <c r="K145" i="217"/>
  <c r="L122" i="217"/>
  <c r="E197" i="217"/>
  <c r="E28" i="217" s="1"/>
  <c r="E35" i="217"/>
  <c r="E36" i="217" s="1"/>
  <c r="E43" i="217" s="1"/>
  <c r="G256" i="217"/>
  <c r="G257" i="217"/>
  <c r="G107" i="217"/>
  <c r="G12" i="217" s="1"/>
  <c r="G11" i="217" s="1"/>
  <c r="G13" i="217" s="1"/>
  <c r="G21" i="217"/>
  <c r="G20" i="217" s="1"/>
  <c r="G23" i="217" s="1"/>
  <c r="G41" i="217" s="1"/>
  <c r="I154" i="219"/>
  <c r="I160" i="219" s="1"/>
  <c r="H164" i="219"/>
  <c r="H166" i="219" s="1"/>
  <c r="H168" i="219"/>
  <c r="I107" i="219"/>
  <c r="I257" i="219"/>
  <c r="I256" i="219"/>
  <c r="F107" i="219"/>
  <c r="F12" i="219" s="1"/>
  <c r="F11" i="219" s="1"/>
  <c r="F13" i="219" s="1"/>
  <c r="F256" i="219"/>
  <c r="F257" i="219"/>
  <c r="R131" i="214"/>
  <c r="K214" i="217"/>
  <c r="L212" i="217"/>
  <c r="K213" i="217"/>
  <c r="N121" i="214"/>
  <c r="O121" i="214" s="1"/>
  <c r="L127" i="214"/>
  <c r="L145" i="214" s="1"/>
  <c r="M191" i="214"/>
  <c r="N186" i="214"/>
  <c r="R76" i="214"/>
  <c r="F146" i="217"/>
  <c r="F147" i="217" s="1"/>
  <c r="M69" i="217"/>
  <c r="N69" i="217" s="1"/>
  <c r="L101" i="217"/>
  <c r="L123" i="217"/>
  <c r="K205" i="217"/>
  <c r="O89" i="219"/>
  <c r="N248" i="219"/>
  <c r="N247" i="219"/>
  <c r="O76" i="219"/>
  <c r="P76" i="219" s="1"/>
  <c r="R168" i="214"/>
  <c r="O160" i="214"/>
  <c r="D47" i="164"/>
  <c r="E49" i="164"/>
  <c r="D33" i="164"/>
  <c r="D41" i="164"/>
  <c r="D56" i="164"/>
  <c r="R83" i="214"/>
  <c r="G166" i="214"/>
  <c r="G26" i="214" s="1"/>
  <c r="G29" i="214" s="1"/>
  <c r="G42" i="214" s="1"/>
  <c r="M56" i="217"/>
  <c r="M82" i="217"/>
  <c r="N194" i="219"/>
  <c r="J21" i="219"/>
  <c r="J20" i="219" s="1"/>
  <c r="J23" i="219" s="1"/>
  <c r="J41" i="219" s="1"/>
  <c r="N116" i="219"/>
  <c r="J240" i="219"/>
  <c r="J242" i="219" s="1"/>
  <c r="K149" i="219"/>
  <c r="K140" i="219"/>
  <c r="K140" i="217"/>
  <c r="K149" i="217"/>
  <c r="N82" i="217" l="1"/>
  <c r="N76" i="217"/>
  <c r="N78" i="214"/>
  <c r="G14" i="219"/>
  <c r="Q253" i="217"/>
  <c r="R95" i="217"/>
  <c r="N56" i="217"/>
  <c r="N170" i="217"/>
  <c r="N183" i="217"/>
  <c r="N75" i="217"/>
  <c r="N179" i="217"/>
  <c r="N70" i="217"/>
  <c r="N217" i="217"/>
  <c r="L85" i="217"/>
  <c r="Q96" i="217"/>
  <c r="F33" i="219"/>
  <c r="F36" i="219" s="1"/>
  <c r="F43" i="219" s="1"/>
  <c r="F150" i="219"/>
  <c r="F151" i="219" s="1"/>
  <c r="F26" i="219" s="1"/>
  <c r="F29" i="219" s="1"/>
  <c r="K243" i="217"/>
  <c r="K21" i="217"/>
  <c r="K242" i="217"/>
  <c r="F33" i="217"/>
  <c r="F36" i="217" s="1"/>
  <c r="F43" i="217" s="1"/>
  <c r="F150" i="217"/>
  <c r="F151" i="217" s="1"/>
  <c r="F26" i="217" s="1"/>
  <c r="F29" i="217" s="1"/>
  <c r="F42" i="217" s="1"/>
  <c r="F40" i="219"/>
  <c r="F16" i="219"/>
  <c r="F287" i="219" s="1"/>
  <c r="F14" i="219"/>
  <c r="G40" i="217"/>
  <c r="G14" i="217"/>
  <c r="G16" i="217"/>
  <c r="E14" i="219"/>
  <c r="E16" i="219"/>
  <c r="E40" i="219"/>
  <c r="P160" i="214"/>
  <c r="K257" i="217"/>
  <c r="K256" i="217"/>
  <c r="M194" i="214"/>
  <c r="M28" i="214" s="1"/>
  <c r="M35" i="214"/>
  <c r="Q101" i="214"/>
  <c r="P103" i="214"/>
  <c r="L74" i="219"/>
  <c r="N138" i="217"/>
  <c r="M139" i="217"/>
  <c r="M149" i="217" s="1"/>
  <c r="N219" i="219"/>
  <c r="N62" i="217"/>
  <c r="O158" i="217"/>
  <c r="N163" i="217"/>
  <c r="M101" i="219"/>
  <c r="P230" i="219"/>
  <c r="P251" i="219"/>
  <c r="P241" i="219"/>
  <c r="P236" i="219"/>
  <c r="P246" i="219"/>
  <c r="P255" i="219"/>
  <c r="Q218" i="219"/>
  <c r="Q69" i="219" s="1"/>
  <c r="I164" i="217"/>
  <c r="I166" i="217" s="1"/>
  <c r="I33" i="217"/>
  <c r="I36" i="217" s="1"/>
  <c r="I43" i="217" s="1"/>
  <c r="J154" i="217"/>
  <c r="J160" i="217" s="1"/>
  <c r="O219" i="217"/>
  <c r="M79" i="214"/>
  <c r="L80" i="214"/>
  <c r="L12" i="214" s="1"/>
  <c r="L11" i="214" s="1"/>
  <c r="K131" i="219"/>
  <c r="K148" i="219"/>
  <c r="K85" i="214"/>
  <c r="K235" i="214"/>
  <c r="K77" i="214"/>
  <c r="K234" i="214"/>
  <c r="L73" i="214"/>
  <c r="M127" i="214"/>
  <c r="M145" i="214" s="1"/>
  <c r="N120" i="219"/>
  <c r="O114" i="219" s="1"/>
  <c r="P70" i="219"/>
  <c r="Q70" i="219" s="1"/>
  <c r="O22" i="217"/>
  <c r="P82" i="219"/>
  <c r="Q82" i="219" s="1"/>
  <c r="P191" i="219"/>
  <c r="Q191" i="219" s="1"/>
  <c r="P189" i="219"/>
  <c r="O194" i="219"/>
  <c r="L224" i="219"/>
  <c r="L103" i="219" s="1"/>
  <c r="L227" i="219"/>
  <c r="L228" i="219" s="1"/>
  <c r="L47" i="219" s="1"/>
  <c r="L225" i="219"/>
  <c r="F25" i="164"/>
  <c r="F24" i="164"/>
  <c r="F28" i="164"/>
  <c r="F51" i="164" s="1"/>
  <c r="G2" i="164"/>
  <c r="F4" i="164"/>
  <c r="F21" i="164" s="1"/>
  <c r="F26" i="164"/>
  <c r="F50" i="164" s="1"/>
  <c r="F27" i="164"/>
  <c r="F46" i="164" s="1"/>
  <c r="E47" i="164"/>
  <c r="F49" i="164"/>
  <c r="F43" i="164"/>
  <c r="E43" i="164"/>
  <c r="M123" i="219"/>
  <c r="L205" i="219"/>
  <c r="J14" i="214"/>
  <c r="J16" i="214"/>
  <c r="J40" i="214"/>
  <c r="M90" i="217"/>
  <c r="N35" i="219"/>
  <c r="O247" i="219"/>
  <c r="P89" i="219"/>
  <c r="O248" i="219"/>
  <c r="M101" i="217"/>
  <c r="L214" i="217"/>
  <c r="L213" i="217"/>
  <c r="H169" i="219"/>
  <c r="H26" i="219" s="1"/>
  <c r="H29" i="219" s="1"/>
  <c r="M122" i="217"/>
  <c r="L145" i="217"/>
  <c r="O254" i="214"/>
  <c r="O253" i="214"/>
  <c r="L35" i="217"/>
  <c r="L197" i="217"/>
  <c r="L28" i="217" s="1"/>
  <c r="P114" i="214"/>
  <c r="O22" i="214"/>
  <c r="O104" i="214"/>
  <c r="P104" i="214" s="1"/>
  <c r="G42" i="219"/>
  <c r="N61" i="214"/>
  <c r="M84" i="217"/>
  <c r="M182" i="214"/>
  <c r="N180" i="214"/>
  <c r="M223" i="217"/>
  <c r="M220" i="214"/>
  <c r="M223" i="219"/>
  <c r="N182" i="219"/>
  <c r="M185" i="219"/>
  <c r="N255" i="217"/>
  <c r="N236" i="217"/>
  <c r="N251" i="217"/>
  <c r="N252" i="217" s="1"/>
  <c r="O218" i="217"/>
  <c r="N246" i="217"/>
  <c r="N230" i="217"/>
  <c r="N241" i="217"/>
  <c r="J147" i="214"/>
  <c r="P170" i="219"/>
  <c r="Q170" i="219" s="1"/>
  <c r="N196" i="217"/>
  <c r="N129" i="217"/>
  <c r="O128" i="217"/>
  <c r="P75" i="219"/>
  <c r="Q75" i="219" s="1"/>
  <c r="L74" i="214"/>
  <c r="S56" i="214"/>
  <c r="N191" i="217"/>
  <c r="P83" i="219"/>
  <c r="Q83" i="219" s="1"/>
  <c r="P195" i="219"/>
  <c r="Q195" i="219" s="1"/>
  <c r="L227" i="217"/>
  <c r="L228" i="217" s="1"/>
  <c r="L47" i="217" s="1"/>
  <c r="L224" i="217"/>
  <c r="L102" i="217" s="1"/>
  <c r="L225" i="217"/>
  <c r="E41" i="164"/>
  <c r="E56" i="164"/>
  <c r="E33" i="164"/>
  <c r="R176" i="214"/>
  <c r="M129" i="219"/>
  <c r="M196" i="219"/>
  <c r="M197" i="219" s="1"/>
  <c r="M28" i="219" s="1"/>
  <c r="N128" i="219"/>
  <c r="L212" i="219"/>
  <c r="P186" i="219"/>
  <c r="Q186" i="219" s="1"/>
  <c r="L102" i="219"/>
  <c r="L106" i="219" s="1"/>
  <c r="N253" i="219"/>
  <c r="N252" i="219"/>
  <c r="O95" i="219"/>
  <c r="P216" i="214"/>
  <c r="K141" i="217"/>
  <c r="L140" i="217"/>
  <c r="M140" i="217" s="1"/>
  <c r="O116" i="219"/>
  <c r="Q76" i="219"/>
  <c r="L200" i="214"/>
  <c r="M200" i="214" s="1"/>
  <c r="K215" i="217"/>
  <c r="K48" i="217"/>
  <c r="I164" i="219"/>
  <c r="I166" i="219" s="1"/>
  <c r="I33" i="219" s="1"/>
  <c r="I36" i="219" s="1"/>
  <c r="I43" i="219" s="1"/>
  <c r="J154" i="219"/>
  <c r="J160" i="219" s="1"/>
  <c r="M249" i="214"/>
  <c r="N95" i="214"/>
  <c r="M250" i="214"/>
  <c r="N189" i="217"/>
  <c r="M194" i="217"/>
  <c r="M248" i="217"/>
  <c r="M247" i="217"/>
  <c r="N89" i="217"/>
  <c r="N137" i="214"/>
  <c r="M86" i="219"/>
  <c r="P163" i="219"/>
  <c r="M139" i="219"/>
  <c r="M149" i="219" s="1"/>
  <c r="N138" i="219"/>
  <c r="H14" i="217"/>
  <c r="H16" i="217"/>
  <c r="H40" i="217"/>
  <c r="D14" i="219"/>
  <c r="D16" i="219"/>
  <c r="D40" i="219"/>
  <c r="K107" i="217"/>
  <c r="J12" i="217"/>
  <c r="J11" i="217" s="1"/>
  <c r="J13" i="217" s="1"/>
  <c r="M86" i="217"/>
  <c r="P134" i="219"/>
  <c r="Q134" i="219" s="1"/>
  <c r="L203" i="217"/>
  <c r="O61" i="214"/>
  <c r="P113" i="214"/>
  <c r="J150" i="219"/>
  <c r="E29" i="217"/>
  <c r="E42" i="217" s="1"/>
  <c r="N171" i="214"/>
  <c r="O230" i="212"/>
  <c r="N259" i="212"/>
  <c r="N257" i="212"/>
  <c r="N241" i="212"/>
  <c r="G289" i="219"/>
  <c r="G290" i="219" s="1"/>
  <c r="G292" i="219"/>
  <c r="G293" i="219" s="1"/>
  <c r="H284" i="219"/>
  <c r="H111" i="214"/>
  <c r="H117" i="214" s="1"/>
  <c r="G38" i="214"/>
  <c r="J150" i="217"/>
  <c r="K65" i="214"/>
  <c r="K129" i="214"/>
  <c r="K15" i="214"/>
  <c r="L128" i="214"/>
  <c r="M86" i="214"/>
  <c r="M85" i="217"/>
  <c r="L237" i="217"/>
  <c r="L238" i="217"/>
  <c r="M73" i="217"/>
  <c r="P56" i="219"/>
  <c r="Q56" i="219" s="1"/>
  <c r="S75" i="214"/>
  <c r="I161" i="214"/>
  <c r="I163" i="214" s="1"/>
  <c r="J151" i="214"/>
  <c r="J157" i="214" s="1"/>
  <c r="L222" i="214"/>
  <c r="L221" i="214"/>
  <c r="L224" i="214"/>
  <c r="L225" i="214" s="1"/>
  <c r="L47" i="214" s="1"/>
  <c r="L209" i="214"/>
  <c r="R252" i="214"/>
  <c r="R227" i="214"/>
  <c r="S215" i="214"/>
  <c r="S70" i="214" s="1"/>
  <c r="R238" i="214"/>
  <c r="R233" i="214"/>
  <c r="R248" i="214"/>
  <c r="R243" i="214"/>
  <c r="I12" i="219"/>
  <c r="I11" i="219" s="1"/>
  <c r="I13" i="219" s="1"/>
  <c r="N124" i="219"/>
  <c r="O124" i="219" s="1"/>
  <c r="M61" i="219"/>
  <c r="N83" i="217"/>
  <c r="O83" i="217" s="1"/>
  <c r="P183" i="219"/>
  <c r="Q183" i="219" s="1"/>
  <c r="L145" i="219"/>
  <c r="M122" i="219"/>
  <c r="O90" i="219"/>
  <c r="P90" i="219" s="1"/>
  <c r="L140" i="219"/>
  <c r="M140" i="219" s="1"/>
  <c r="K141" i="219"/>
  <c r="L205" i="217"/>
  <c r="M123" i="217"/>
  <c r="N191" i="214"/>
  <c r="O186" i="214"/>
  <c r="S131" i="214"/>
  <c r="H33" i="219"/>
  <c r="H36" i="219" s="1"/>
  <c r="H43" i="219" s="1"/>
  <c r="K52" i="214"/>
  <c r="K18" i="214" s="1"/>
  <c r="K19" i="214" s="1"/>
  <c r="K9" i="214"/>
  <c r="K10" i="214" s="1"/>
  <c r="K13" i="214" s="1"/>
  <c r="M62" i="219"/>
  <c r="N158" i="219"/>
  <c r="L138" i="214"/>
  <c r="M138" i="214" s="1"/>
  <c r="N138" i="214" s="1"/>
  <c r="P171" i="219"/>
  <c r="Q171" i="219" s="1"/>
  <c r="S183" i="214"/>
  <c r="J14" i="219"/>
  <c r="J40" i="219"/>
  <c r="J16" i="219"/>
  <c r="J287" i="219" s="1"/>
  <c r="L74" i="217"/>
  <c r="L77" i="217" s="1"/>
  <c r="L240" i="217"/>
  <c r="K257" i="219"/>
  <c r="K256" i="219"/>
  <c r="N182" i="217"/>
  <c r="M185" i="217"/>
  <c r="M96" i="214"/>
  <c r="N96" i="214" s="1"/>
  <c r="P179" i="219"/>
  <c r="Q179" i="219" s="1"/>
  <c r="H169" i="217"/>
  <c r="H26" i="217" s="1"/>
  <c r="H29" i="217" s="1"/>
  <c r="H42" i="217" s="1"/>
  <c r="N136" i="214"/>
  <c r="N146" i="214" s="1"/>
  <c r="O135" i="214"/>
  <c r="K203" i="219"/>
  <c r="J277" i="219"/>
  <c r="Q124" i="217"/>
  <c r="P61" i="217"/>
  <c r="N195" i="217"/>
  <c r="N126" i="214"/>
  <c r="O130" i="214"/>
  <c r="O125" i="214"/>
  <c r="O78" i="214" s="1"/>
  <c r="N193" i="214"/>
  <c r="M130" i="217"/>
  <c r="M148" i="217" s="1"/>
  <c r="M203" i="217"/>
  <c r="L84" i="219"/>
  <c r="M84" i="219" s="1"/>
  <c r="N84" i="219" s="1"/>
  <c r="O84" i="219" s="1"/>
  <c r="P84" i="219" s="1"/>
  <c r="Q84" i="219" s="1"/>
  <c r="K73" i="219"/>
  <c r="O117" i="219"/>
  <c r="N22" i="219"/>
  <c r="H166" i="214"/>
  <c r="H26" i="214" s="1"/>
  <c r="H29" i="214" s="1"/>
  <c r="H42" i="214" s="1"/>
  <c r="H165" i="214"/>
  <c r="E45" i="164"/>
  <c r="E42" i="164"/>
  <c r="E44" i="164"/>
  <c r="M174" i="219"/>
  <c r="L130" i="219"/>
  <c r="L148" i="219" s="1"/>
  <c r="R82" i="214"/>
  <c r="S82" i="214" s="1"/>
  <c r="K215" i="219"/>
  <c r="K107" i="219" s="1"/>
  <c r="K48" i="219"/>
  <c r="K132" i="217"/>
  <c r="L131" i="217"/>
  <c r="K65" i="217"/>
  <c r="K15" i="217"/>
  <c r="N255" i="212"/>
  <c r="O244" i="212"/>
  <c r="M245" i="214"/>
  <c r="M244" i="214"/>
  <c r="N89" i="214"/>
  <c r="P217" i="219"/>
  <c r="Q217" i="219" s="1"/>
  <c r="S83" i="214" l="1"/>
  <c r="R96" i="217"/>
  <c r="R253" i="217"/>
  <c r="S95" i="217"/>
  <c r="S176" i="214"/>
  <c r="L257" i="219"/>
  <c r="L256" i="219"/>
  <c r="Q163" i="219"/>
  <c r="P95" i="219"/>
  <c r="O253" i="219"/>
  <c r="O252" i="219"/>
  <c r="K147" i="214"/>
  <c r="J148" i="214"/>
  <c r="O246" i="217"/>
  <c r="O230" i="217"/>
  <c r="O241" i="217"/>
  <c r="O236" i="217"/>
  <c r="P218" i="217"/>
  <c r="O251" i="217"/>
  <c r="O252" i="217" s="1"/>
  <c r="O255" i="217"/>
  <c r="M227" i="217"/>
  <c r="M228" i="217" s="1"/>
  <c r="M47" i="217" s="1"/>
  <c r="M225" i="217"/>
  <c r="M224" i="217"/>
  <c r="Q114" i="214"/>
  <c r="P22" i="214"/>
  <c r="O69" i="217"/>
  <c r="Q89" i="219"/>
  <c r="P248" i="219"/>
  <c r="P247" i="219"/>
  <c r="G26" i="164"/>
  <c r="G50" i="164" s="1"/>
  <c r="G4" i="164"/>
  <c r="G21" i="164" s="1"/>
  <c r="G27" i="164"/>
  <c r="G46" i="164" s="1"/>
  <c r="G28" i="164"/>
  <c r="G51" i="164" s="1"/>
  <c r="G24" i="164"/>
  <c r="G25" i="164"/>
  <c r="G47" i="164" s="1"/>
  <c r="Q189" i="219"/>
  <c r="P194" i="219"/>
  <c r="P219" i="217"/>
  <c r="P158" i="217"/>
  <c r="O62" i="217"/>
  <c r="O219" i="219"/>
  <c r="O138" i="217"/>
  <c r="N139" i="217"/>
  <c r="N149" i="217" s="1"/>
  <c r="O255" i="212"/>
  <c r="P244" i="212"/>
  <c r="P83" i="217"/>
  <c r="I166" i="214"/>
  <c r="I26" i="214" s="1"/>
  <c r="I29" i="214" s="1"/>
  <c r="I42" i="214" s="1"/>
  <c r="L243" i="217"/>
  <c r="L242" i="217"/>
  <c r="J151" i="217"/>
  <c r="K150" i="217"/>
  <c r="N223" i="219"/>
  <c r="N223" i="217"/>
  <c r="N220" i="214"/>
  <c r="N86" i="214" s="1"/>
  <c r="Q113" i="214"/>
  <c r="N86" i="217"/>
  <c r="H42" i="219"/>
  <c r="K240" i="214"/>
  <c r="K239" i="214"/>
  <c r="K21" i="214"/>
  <c r="K20" i="214" s="1"/>
  <c r="L131" i="219"/>
  <c r="K65" i="219"/>
  <c r="K132" i="219"/>
  <c r="L132" i="219" s="1"/>
  <c r="N245" i="214"/>
  <c r="O89" i="214"/>
  <c r="N244" i="214"/>
  <c r="L132" i="217"/>
  <c r="N174" i="219"/>
  <c r="P117" i="219"/>
  <c r="O22" i="219"/>
  <c r="N127" i="214"/>
  <c r="N145" i="214" s="1"/>
  <c r="N200" i="214"/>
  <c r="K16" i="214"/>
  <c r="K14" i="214"/>
  <c r="M145" i="219"/>
  <c r="N122" i="219"/>
  <c r="S227" i="214"/>
  <c r="S238" i="214"/>
  <c r="T215" i="214"/>
  <c r="T70" i="214" s="1"/>
  <c r="S248" i="214"/>
  <c r="S252" i="214"/>
  <c r="S243" i="214"/>
  <c r="S233" i="214"/>
  <c r="L50" i="214"/>
  <c r="I33" i="214"/>
  <c r="I36" i="214" s="1"/>
  <c r="I43" i="214" s="1"/>
  <c r="M237" i="217"/>
  <c r="M238" i="217"/>
  <c r="L129" i="214"/>
  <c r="K66" i="214"/>
  <c r="P230" i="212"/>
  <c r="O259" i="212"/>
  <c r="O257" i="212"/>
  <c r="O241" i="212"/>
  <c r="S167" i="214"/>
  <c r="O170" i="217"/>
  <c r="P170" i="217" s="1"/>
  <c r="O138" i="219"/>
  <c r="N139" i="219"/>
  <c r="N149" i="219" s="1"/>
  <c r="N86" i="219"/>
  <c r="N250" i="214"/>
  <c r="N249" i="214"/>
  <c r="O95" i="214"/>
  <c r="O96" i="214" s="1"/>
  <c r="S76" i="214"/>
  <c r="O82" i="217"/>
  <c r="P82" i="217" s="1"/>
  <c r="L141" i="217"/>
  <c r="M141" i="217" s="1"/>
  <c r="M212" i="219"/>
  <c r="L213" i="219"/>
  <c r="L214" i="219"/>
  <c r="M130" i="219"/>
  <c r="M148" i="219" s="1"/>
  <c r="M203" i="219"/>
  <c r="M74" i="214"/>
  <c r="O129" i="217"/>
  <c r="P128" i="217"/>
  <c r="O196" i="217"/>
  <c r="O182" i="219"/>
  <c r="N185" i="219"/>
  <c r="O186" i="217"/>
  <c r="P186" i="217" s="1"/>
  <c r="N84" i="217"/>
  <c r="O84" i="217" s="1"/>
  <c r="P84" i="217" s="1"/>
  <c r="N90" i="214"/>
  <c r="O90" i="214" s="1"/>
  <c r="M212" i="217"/>
  <c r="P22" i="217"/>
  <c r="O96" i="219"/>
  <c r="P96" i="219" s="1"/>
  <c r="M80" i="214"/>
  <c r="M12" i="214" s="1"/>
  <c r="M11" i="214" s="1"/>
  <c r="N79" i="214"/>
  <c r="J164" i="217"/>
  <c r="K154" i="217"/>
  <c r="O183" i="217"/>
  <c r="P183" i="217" s="1"/>
  <c r="S188" i="214"/>
  <c r="T188" i="214" s="1"/>
  <c r="L103" i="217"/>
  <c r="M103" i="217" s="1"/>
  <c r="P254" i="214"/>
  <c r="P253" i="214"/>
  <c r="S192" i="214"/>
  <c r="T192" i="214" s="1"/>
  <c r="F42" i="219"/>
  <c r="F293" i="219"/>
  <c r="K133" i="219"/>
  <c r="K78" i="219" s="1"/>
  <c r="K63" i="219"/>
  <c r="K199" i="219"/>
  <c r="K55" i="219"/>
  <c r="K49" i="219"/>
  <c r="K51" i="219"/>
  <c r="Q61" i="217"/>
  <c r="R124" i="217"/>
  <c r="O136" i="214"/>
  <c r="O146" i="214" s="1"/>
  <c r="P135" i="214"/>
  <c r="Q90" i="219"/>
  <c r="L48" i="219"/>
  <c r="K50" i="219"/>
  <c r="K237" i="219"/>
  <c r="K85" i="219"/>
  <c r="K77" i="219"/>
  <c r="K238" i="219"/>
  <c r="L73" i="219"/>
  <c r="O195" i="217"/>
  <c r="P195" i="217" s="1"/>
  <c r="K23" i="214"/>
  <c r="P121" i="214"/>
  <c r="Q121" i="214" s="1"/>
  <c r="O56" i="217"/>
  <c r="P56" i="217" s="1"/>
  <c r="P124" i="219"/>
  <c r="I165" i="214"/>
  <c r="T75" i="214"/>
  <c r="H38" i="214"/>
  <c r="I111" i="214"/>
  <c r="I117" i="214" s="1"/>
  <c r="J151" i="219"/>
  <c r="K150" i="219"/>
  <c r="O171" i="217"/>
  <c r="P171" i="217" s="1"/>
  <c r="M35" i="217"/>
  <c r="M197" i="217"/>
  <c r="M28" i="217" s="1"/>
  <c r="K154" i="219"/>
  <c r="J164" i="219"/>
  <c r="L48" i="217"/>
  <c r="O76" i="217"/>
  <c r="P76" i="217" s="1"/>
  <c r="N61" i="219"/>
  <c r="T176" i="214"/>
  <c r="L237" i="214"/>
  <c r="N130" i="217"/>
  <c r="N148" i="217" s="1"/>
  <c r="N203" i="217"/>
  <c r="R84" i="214"/>
  <c r="S84" i="214" s="1"/>
  <c r="M224" i="219"/>
  <c r="M225" i="219"/>
  <c r="M227" i="219"/>
  <c r="M228" i="219" s="1"/>
  <c r="M47" i="219" s="1"/>
  <c r="O70" i="217"/>
  <c r="P70" i="217" s="1"/>
  <c r="O134" i="217"/>
  <c r="P134" i="217" s="1"/>
  <c r="N101" i="217"/>
  <c r="S168" i="214"/>
  <c r="T168" i="214" s="1"/>
  <c r="N90" i="217"/>
  <c r="F44" i="164"/>
  <c r="F45" i="164"/>
  <c r="F42" i="164"/>
  <c r="M103" i="219"/>
  <c r="L77" i="214"/>
  <c r="M237" i="214" s="1"/>
  <c r="L234" i="214"/>
  <c r="L235" i="214"/>
  <c r="M73" i="214"/>
  <c r="L85" i="214"/>
  <c r="O217" i="217"/>
  <c r="P217" i="217" s="1"/>
  <c r="Q246" i="219"/>
  <c r="Q255" i="219"/>
  <c r="Q236" i="219"/>
  <c r="R218" i="219"/>
  <c r="R191" i="219" s="1"/>
  <c r="Q241" i="219"/>
  <c r="Q251" i="219"/>
  <c r="Q230" i="219"/>
  <c r="M74" i="219"/>
  <c r="R101" i="214"/>
  <c r="Q103" i="214"/>
  <c r="Q104" i="214" s="1"/>
  <c r="L65" i="217"/>
  <c r="M131" i="217"/>
  <c r="T183" i="214"/>
  <c r="N35" i="214"/>
  <c r="N194" i="214"/>
  <c r="N28" i="214" s="1"/>
  <c r="M205" i="217"/>
  <c r="N123" i="217"/>
  <c r="L210" i="214"/>
  <c r="M209" i="214"/>
  <c r="L203" i="219"/>
  <c r="P125" i="214"/>
  <c r="P78" i="214" s="1"/>
  <c r="O126" i="214"/>
  <c r="P130" i="214"/>
  <c r="O193" i="214"/>
  <c r="N185" i="217"/>
  <c r="O182" i="217"/>
  <c r="M74" i="217"/>
  <c r="M77" i="217" s="1"/>
  <c r="M240" i="217"/>
  <c r="N62" i="219"/>
  <c r="O158" i="219"/>
  <c r="S214" i="214"/>
  <c r="T214" i="214" s="1"/>
  <c r="O191" i="214"/>
  <c r="P186" i="214"/>
  <c r="L141" i="219"/>
  <c r="M141" i="219" s="1"/>
  <c r="R183" i="219"/>
  <c r="I14" i="219"/>
  <c r="I16" i="219"/>
  <c r="I287" i="219" s="1"/>
  <c r="I40" i="219"/>
  <c r="K151" i="214"/>
  <c r="J161" i="214"/>
  <c r="R56" i="219"/>
  <c r="M128" i="214"/>
  <c r="L65" i="214"/>
  <c r="L15" i="214"/>
  <c r="I284" i="219"/>
  <c r="H289" i="219"/>
  <c r="H290" i="219" s="1"/>
  <c r="H292" i="219"/>
  <c r="H293" i="219" s="1"/>
  <c r="O171" i="214"/>
  <c r="R134" i="219"/>
  <c r="J16" i="217"/>
  <c r="J14" i="217"/>
  <c r="J40" i="217"/>
  <c r="N247" i="217"/>
  <c r="N248" i="217"/>
  <c r="O89" i="217"/>
  <c r="N194" i="217"/>
  <c r="O189" i="217"/>
  <c r="S69" i="214"/>
  <c r="I168" i="219"/>
  <c r="I169" i="219" s="1"/>
  <c r="I26" i="219" s="1"/>
  <c r="I29" i="219" s="1"/>
  <c r="K63" i="217"/>
  <c r="K199" i="217"/>
  <c r="K133" i="217"/>
  <c r="K78" i="217" s="1"/>
  <c r="K49" i="217"/>
  <c r="K50" i="217" s="1"/>
  <c r="K55" i="217"/>
  <c r="K51" i="217"/>
  <c r="K66" i="217"/>
  <c r="O179" i="217"/>
  <c r="P179" i="217" s="1"/>
  <c r="P116" i="219"/>
  <c r="O61" i="219"/>
  <c r="Q216" i="214"/>
  <c r="M102" i="219"/>
  <c r="M106" i="219" s="1"/>
  <c r="O128" i="219"/>
  <c r="N129" i="219"/>
  <c r="N196" i="219"/>
  <c r="N197" i="219" s="1"/>
  <c r="N28" i="219" s="1"/>
  <c r="M102" i="217"/>
  <c r="M106" i="217" s="1"/>
  <c r="O191" i="217"/>
  <c r="P191" i="217" s="1"/>
  <c r="R75" i="219"/>
  <c r="M224" i="214"/>
  <c r="M225" i="214" s="1"/>
  <c r="M47" i="214" s="1"/>
  <c r="M221" i="214"/>
  <c r="M222" i="214"/>
  <c r="O180" i="214"/>
  <c r="N182" i="214"/>
  <c r="M145" i="217"/>
  <c r="N122" i="217"/>
  <c r="L215" i="217"/>
  <c r="L133" i="217" s="1"/>
  <c r="O75" i="217"/>
  <c r="P75" i="217" s="1"/>
  <c r="M205" i="219"/>
  <c r="N123" i="219"/>
  <c r="F56" i="164"/>
  <c r="F41" i="164"/>
  <c r="F33" i="164"/>
  <c r="F47" i="164"/>
  <c r="G49" i="164"/>
  <c r="G43" i="164"/>
  <c r="O35" i="219"/>
  <c r="R82" i="219"/>
  <c r="O120" i="219"/>
  <c r="P114" i="219" s="1"/>
  <c r="I168" i="217"/>
  <c r="I169" i="217" s="1"/>
  <c r="I26" i="217" s="1"/>
  <c r="I29" i="217" s="1"/>
  <c r="I42" i="217" s="1"/>
  <c r="N101" i="219"/>
  <c r="O163" i="217"/>
  <c r="Q160" i="214"/>
  <c r="L25" i="217"/>
  <c r="K20" i="217"/>
  <c r="L24" i="217" s="1"/>
  <c r="L51" i="217" l="1"/>
  <c r="L199" i="217"/>
  <c r="R195" i="219"/>
  <c r="T76" i="214"/>
  <c r="T167" i="214"/>
  <c r="L55" i="217"/>
  <c r="N73" i="217"/>
  <c r="S253" i="217"/>
  <c r="T95" i="217"/>
  <c r="T253" i="217" s="1"/>
  <c r="L49" i="217"/>
  <c r="R70" i="219"/>
  <c r="L85" i="219"/>
  <c r="T131" i="214"/>
  <c r="R69" i="219"/>
  <c r="R179" i="219"/>
  <c r="S96" i="217"/>
  <c r="T96" i="217" s="1"/>
  <c r="M256" i="219"/>
  <c r="M257" i="219"/>
  <c r="M50" i="214"/>
  <c r="I42" i="219"/>
  <c r="P120" i="219"/>
  <c r="Q114" i="219" s="1"/>
  <c r="Q116" i="219"/>
  <c r="P61" i="219"/>
  <c r="L63" i="217"/>
  <c r="K64" i="217"/>
  <c r="N35" i="217"/>
  <c r="N197" i="217"/>
  <c r="N28" i="217" s="1"/>
  <c r="N128" i="214"/>
  <c r="M65" i="214"/>
  <c r="K156" i="214"/>
  <c r="N240" i="217"/>
  <c r="N74" i="217"/>
  <c r="N77" i="217" s="1"/>
  <c r="O123" i="217"/>
  <c r="N205" i="217"/>
  <c r="O101" i="217"/>
  <c r="L150" i="219"/>
  <c r="K243" i="219"/>
  <c r="K242" i="219"/>
  <c r="K21" i="219"/>
  <c r="K20" i="219" s="1"/>
  <c r="L240" i="219"/>
  <c r="S124" i="217"/>
  <c r="R61" i="217"/>
  <c r="K64" i="219"/>
  <c r="K159" i="217"/>
  <c r="K160" i="217" s="1"/>
  <c r="Q96" i="219"/>
  <c r="P182" i="219"/>
  <c r="O185" i="219"/>
  <c r="O130" i="217"/>
  <c r="O148" i="217" s="1"/>
  <c r="M213" i="219"/>
  <c r="N212" i="219"/>
  <c r="M214" i="219"/>
  <c r="M48" i="219" s="1"/>
  <c r="O250" i="214"/>
  <c r="P95" i="214"/>
  <c r="P96" i="214" s="1"/>
  <c r="O249" i="214"/>
  <c r="K67" i="214"/>
  <c r="L66" i="214"/>
  <c r="O73" i="217"/>
  <c r="N238" i="217"/>
  <c r="N237" i="217"/>
  <c r="L52" i="214"/>
  <c r="L18" i="214" s="1"/>
  <c r="L19" i="214" s="1"/>
  <c r="L9" i="214"/>
  <c r="L10" i="214" s="1"/>
  <c r="L13" i="214" s="1"/>
  <c r="O86" i="217"/>
  <c r="N225" i="217"/>
  <c r="N227" i="217"/>
  <c r="N228" i="217" s="1"/>
  <c r="N47" i="217" s="1"/>
  <c r="N224" i="217"/>
  <c r="N85" i="217"/>
  <c r="P219" i="219"/>
  <c r="G41" i="164"/>
  <c r="G56" i="164"/>
  <c r="G33" i="164"/>
  <c r="R114" i="214"/>
  <c r="Q22" i="214"/>
  <c r="L147" i="214"/>
  <c r="L50" i="217"/>
  <c r="P253" i="219"/>
  <c r="P252" i="219"/>
  <c r="Q95" i="219"/>
  <c r="R163" i="219"/>
  <c r="P163" i="217"/>
  <c r="P180" i="214"/>
  <c r="O182" i="214"/>
  <c r="N131" i="217"/>
  <c r="M65" i="217"/>
  <c r="Q124" i="219"/>
  <c r="K9" i="219"/>
  <c r="K52" i="219"/>
  <c r="K18" i="219" s="1"/>
  <c r="K19" i="219" s="1"/>
  <c r="K23" i="219" s="1"/>
  <c r="Q128" i="217"/>
  <c r="P196" i="217"/>
  <c r="P129" i="217"/>
  <c r="Q230" i="212"/>
  <c r="P241" i="212"/>
  <c r="P257" i="212"/>
  <c r="P259" i="212"/>
  <c r="M242" i="217"/>
  <c r="M243" i="217"/>
  <c r="M21" i="217"/>
  <c r="R189" i="219"/>
  <c r="Q194" i="219"/>
  <c r="R160" i="214"/>
  <c r="O101" i="219"/>
  <c r="N130" i="219"/>
  <c r="N148" i="219" s="1"/>
  <c r="O247" i="217"/>
  <c r="P89" i="217"/>
  <c r="O248" i="217"/>
  <c r="I292" i="219"/>
  <c r="I293" i="219" s="1"/>
  <c r="J284" i="219"/>
  <c r="I289" i="219"/>
  <c r="I290" i="219" s="1"/>
  <c r="N141" i="219"/>
  <c r="P158" i="219"/>
  <c r="O62" i="219"/>
  <c r="O185" i="217"/>
  <c r="P182" i="217"/>
  <c r="O127" i="214"/>
  <c r="O145" i="214" s="1"/>
  <c r="O200" i="214"/>
  <c r="Q254" i="214"/>
  <c r="Q253" i="214"/>
  <c r="S218" i="219"/>
  <c r="R241" i="219"/>
  <c r="R230" i="219"/>
  <c r="R236" i="219"/>
  <c r="R251" i="219"/>
  <c r="R255" i="219"/>
  <c r="R246" i="219"/>
  <c r="N103" i="219"/>
  <c r="O90" i="217"/>
  <c r="R121" i="214"/>
  <c r="N140" i="219"/>
  <c r="K66" i="219"/>
  <c r="K79" i="219"/>
  <c r="J166" i="217"/>
  <c r="K164" i="217"/>
  <c r="N141" i="217"/>
  <c r="O139" i="219"/>
  <c r="O149" i="219" s="1"/>
  <c r="P138" i="219"/>
  <c r="M129" i="214"/>
  <c r="N129" i="214" s="1"/>
  <c r="O122" i="219"/>
  <c r="N145" i="219"/>
  <c r="O174" i="219"/>
  <c r="O245" i="214"/>
  <c r="O244" i="214"/>
  <c r="P89" i="214"/>
  <c r="L65" i="219"/>
  <c r="M131" i="219"/>
  <c r="M132" i="219" s="1"/>
  <c r="P61" i="214"/>
  <c r="N227" i="219"/>
  <c r="N228" i="219" s="1"/>
  <c r="N47" i="219" s="1"/>
  <c r="N225" i="219"/>
  <c r="N224" i="219"/>
  <c r="O139" i="217"/>
  <c r="O149" i="217" s="1"/>
  <c r="P138" i="217"/>
  <c r="Q219" i="217"/>
  <c r="G44" i="164"/>
  <c r="G42" i="164"/>
  <c r="G45" i="164"/>
  <c r="R89" i="219"/>
  <c r="Q248" i="219"/>
  <c r="Q247" i="219"/>
  <c r="R170" i="219"/>
  <c r="R186" i="219"/>
  <c r="S186" i="219" s="1"/>
  <c r="N140" i="217"/>
  <c r="O122" i="217"/>
  <c r="N145" i="217"/>
  <c r="N102" i="219"/>
  <c r="P189" i="217"/>
  <c r="O194" i="217"/>
  <c r="K161" i="214"/>
  <c r="J163" i="214"/>
  <c r="O194" i="214"/>
  <c r="O28" i="214" s="1"/>
  <c r="O35" i="214"/>
  <c r="N74" i="219"/>
  <c r="N73" i="214"/>
  <c r="M235" i="214"/>
  <c r="M77" i="214"/>
  <c r="M234" i="214"/>
  <c r="K52" i="217"/>
  <c r="K18" i="217" s="1"/>
  <c r="K19" i="217" s="1"/>
  <c r="K9" i="217"/>
  <c r="K160" i="219"/>
  <c r="K159" i="219"/>
  <c r="N103" i="217"/>
  <c r="P90" i="214"/>
  <c r="Q117" i="219"/>
  <c r="P22" i="219"/>
  <c r="M132" i="217"/>
  <c r="N132" i="217" s="1"/>
  <c r="N222" i="214"/>
  <c r="N221" i="214"/>
  <c r="N224" i="214"/>
  <c r="N225" i="214" s="1"/>
  <c r="N47" i="214" s="1"/>
  <c r="N205" i="219"/>
  <c r="O123" i="219"/>
  <c r="N102" i="217"/>
  <c r="O129" i="219"/>
  <c r="O196" i="219"/>
  <c r="O197" i="219" s="1"/>
  <c r="O28" i="219" s="1"/>
  <c r="P128" i="219"/>
  <c r="R216" i="214"/>
  <c r="K67" i="217"/>
  <c r="L66" i="217"/>
  <c r="K79" i="217"/>
  <c r="L78" i="217"/>
  <c r="T69" i="214"/>
  <c r="P171" i="214"/>
  <c r="Q186" i="214"/>
  <c r="P191" i="214"/>
  <c r="Q125" i="214"/>
  <c r="P193" i="214"/>
  <c r="P126" i="214"/>
  <c r="R217" i="219"/>
  <c r="S217" i="219" s="1"/>
  <c r="N209" i="214"/>
  <c r="M210" i="214"/>
  <c r="L15" i="217"/>
  <c r="M15" i="217" s="1"/>
  <c r="S101" i="214"/>
  <c r="R103" i="214"/>
  <c r="M85" i="214"/>
  <c r="L240" i="214"/>
  <c r="L239" i="214"/>
  <c r="L21" i="214"/>
  <c r="R83" i="219"/>
  <c r="K164" i="219"/>
  <c r="J166" i="219"/>
  <c r="O137" i="214"/>
  <c r="I38" i="214"/>
  <c r="J111" i="214"/>
  <c r="J117" i="214" s="1"/>
  <c r="L238" i="219"/>
  <c r="M73" i="219"/>
  <c r="L237" i="219"/>
  <c r="L77" i="219"/>
  <c r="P136" i="214"/>
  <c r="P146" i="214" s="1"/>
  <c r="Q135" i="214"/>
  <c r="O79" i="214"/>
  <c r="N80" i="214"/>
  <c r="N12" i="214" s="1"/>
  <c r="N11" i="214" s="1"/>
  <c r="Q22" i="217"/>
  <c r="M213" i="217"/>
  <c r="N212" i="217"/>
  <c r="M214" i="217"/>
  <c r="N74" i="214"/>
  <c r="N237" i="214"/>
  <c r="L215" i="219"/>
  <c r="L49" i="219" s="1"/>
  <c r="O223" i="219"/>
  <c r="O223" i="217"/>
  <c r="O220" i="214"/>
  <c r="O86" i="214" s="1"/>
  <c r="T243" i="214"/>
  <c r="T238" i="214"/>
  <c r="T233" i="214"/>
  <c r="T248" i="214"/>
  <c r="T252" i="214"/>
  <c r="T227" i="214"/>
  <c r="R171" i="219"/>
  <c r="T82" i="214"/>
  <c r="K15" i="219"/>
  <c r="L15" i="219" s="1"/>
  <c r="R113" i="214"/>
  <c r="Q61" i="214"/>
  <c r="L150" i="217"/>
  <c r="P255" i="212"/>
  <c r="Q244" i="212"/>
  <c r="Q158" i="217"/>
  <c r="P62" i="217"/>
  <c r="P35" i="219"/>
  <c r="T83" i="214"/>
  <c r="P69" i="217"/>
  <c r="P246" i="217"/>
  <c r="P230" i="217"/>
  <c r="P241" i="217"/>
  <c r="P251" i="217"/>
  <c r="P252" i="217" s="1"/>
  <c r="P236" i="217"/>
  <c r="P255" i="217"/>
  <c r="Q218" i="217"/>
  <c r="Q191" i="217" s="1"/>
  <c r="T56" i="214"/>
  <c r="R76" i="219"/>
  <c r="L106" i="217"/>
  <c r="O85" i="217" l="1"/>
  <c r="T84" i="214"/>
  <c r="K10" i="217"/>
  <c r="Q171" i="217"/>
  <c r="N106" i="219"/>
  <c r="Q75" i="217"/>
  <c r="R75" i="217" s="1"/>
  <c r="L154" i="217"/>
  <c r="L50" i="219"/>
  <c r="N257" i="219"/>
  <c r="N256" i="219"/>
  <c r="L257" i="217"/>
  <c r="L256" i="217"/>
  <c r="L21" i="217"/>
  <c r="L107" i="217"/>
  <c r="M150" i="217"/>
  <c r="O224" i="219"/>
  <c r="O227" i="219"/>
  <c r="O228" i="219" s="1"/>
  <c r="O47" i="219" s="1"/>
  <c r="O225" i="219"/>
  <c r="M215" i="217"/>
  <c r="R22" i="217"/>
  <c r="R135" i="214"/>
  <c r="Q136" i="214"/>
  <c r="Q146" i="214" s="1"/>
  <c r="M238" i="219"/>
  <c r="M77" i="219"/>
  <c r="M237" i="219"/>
  <c r="N73" i="219"/>
  <c r="P137" i="214"/>
  <c r="Q137" i="214" s="1"/>
  <c r="O138" i="214"/>
  <c r="P138" i="214" s="1"/>
  <c r="Q138" i="214" s="1"/>
  <c r="Q171" i="214"/>
  <c r="S216" i="214"/>
  <c r="R117" i="219"/>
  <c r="Q22" i="219"/>
  <c r="N77" i="214"/>
  <c r="N235" i="214"/>
  <c r="N234" i="214"/>
  <c r="O73" i="214"/>
  <c r="O197" i="217"/>
  <c r="O28" i="217" s="1"/>
  <c r="O35" i="217"/>
  <c r="R248" i="219"/>
  <c r="R247" i="219"/>
  <c r="S89" i="219"/>
  <c r="O145" i="219"/>
  <c r="P122" i="219"/>
  <c r="K67" i="219"/>
  <c r="L66" i="219"/>
  <c r="S236" i="219"/>
  <c r="S246" i="219"/>
  <c r="S255" i="219"/>
  <c r="S230" i="219"/>
  <c r="S251" i="219"/>
  <c r="S241" i="219"/>
  <c r="T218" i="219"/>
  <c r="S189" i="219"/>
  <c r="R194" i="219"/>
  <c r="L63" i="219"/>
  <c r="R90" i="219"/>
  <c r="P101" i="217"/>
  <c r="S76" i="219"/>
  <c r="T76" i="219" s="1"/>
  <c r="Q255" i="212"/>
  <c r="R244" i="212"/>
  <c r="Q170" i="217"/>
  <c r="N214" i="217"/>
  <c r="O212" i="217"/>
  <c r="N213" i="217"/>
  <c r="J168" i="219"/>
  <c r="K168" i="219" s="1"/>
  <c r="L168" i="219" s="1"/>
  <c r="J33" i="219"/>
  <c r="J36" i="219" s="1"/>
  <c r="J43" i="219" s="1"/>
  <c r="P127" i="214"/>
  <c r="P145" i="214" s="1"/>
  <c r="P194" i="214"/>
  <c r="P28" i="214" s="1"/>
  <c r="P35" i="214"/>
  <c r="L159" i="219"/>
  <c r="J166" i="214"/>
  <c r="J26" i="214" s="1"/>
  <c r="J29" i="214" s="1"/>
  <c r="J42" i="214" s="1"/>
  <c r="J165" i="214"/>
  <c r="K165" i="214" s="1"/>
  <c r="L165" i="214" s="1"/>
  <c r="M165" i="214" s="1"/>
  <c r="N165" i="214" s="1"/>
  <c r="O165" i="214" s="1"/>
  <c r="P165" i="214" s="1"/>
  <c r="Q165" i="214" s="1"/>
  <c r="R165" i="214" s="1"/>
  <c r="S165" i="214" s="1"/>
  <c r="T165" i="214" s="1"/>
  <c r="J33" i="214"/>
  <c r="J36" i="214" s="1"/>
  <c r="J43" i="214" s="1"/>
  <c r="Q189" i="217"/>
  <c r="P194" i="217"/>
  <c r="P122" i="217"/>
  <c r="O145" i="217"/>
  <c r="S170" i="219"/>
  <c r="T170" i="219" s="1"/>
  <c r="Q83" i="217"/>
  <c r="Q183" i="217"/>
  <c r="O140" i="219"/>
  <c r="Q217" i="217"/>
  <c r="Q158" i="219"/>
  <c r="P62" i="219"/>
  <c r="J292" i="219"/>
  <c r="J289" i="219"/>
  <c r="J290" i="219" s="1"/>
  <c r="N203" i="219"/>
  <c r="P101" i="219"/>
  <c r="R230" i="212"/>
  <c r="Q259" i="212"/>
  <c r="Q241" i="212"/>
  <c r="Q257" i="212"/>
  <c r="M256" i="217"/>
  <c r="Q180" i="214"/>
  <c r="P182" i="214"/>
  <c r="S163" i="219"/>
  <c r="L52" i="217"/>
  <c r="L18" i="217" s="1"/>
  <c r="L9" i="217"/>
  <c r="R22" i="214"/>
  <c r="S114" i="214"/>
  <c r="L16" i="214"/>
  <c r="L14" i="214"/>
  <c r="O212" i="219"/>
  <c r="N213" i="219"/>
  <c r="N214" i="219"/>
  <c r="M150" i="219"/>
  <c r="S191" i="219"/>
  <c r="T191" i="219" s="1"/>
  <c r="M15" i="214"/>
  <c r="Q120" i="219"/>
  <c r="R114" i="219" s="1"/>
  <c r="R120" i="219" s="1"/>
  <c r="S114" i="219" s="1"/>
  <c r="M52" i="214"/>
  <c r="M18" i="214" s="1"/>
  <c r="M19" i="214" s="1"/>
  <c r="M9" i="214"/>
  <c r="M10" i="214" s="1"/>
  <c r="M13" i="214" s="1"/>
  <c r="L133" i="219"/>
  <c r="L78" i="219" s="1"/>
  <c r="L107" i="219"/>
  <c r="S83" i="219"/>
  <c r="T83" i="219" s="1"/>
  <c r="R84" i="219"/>
  <c r="T101" i="214"/>
  <c r="T103" i="214" s="1"/>
  <c r="S103" i="214"/>
  <c r="Q193" i="214"/>
  <c r="Q126" i="214"/>
  <c r="R125" i="214"/>
  <c r="M66" i="217"/>
  <c r="O130" i="219"/>
  <c r="O148" i="219" s="1"/>
  <c r="K23" i="217"/>
  <c r="K24" i="217"/>
  <c r="N24" i="217" s="1"/>
  <c r="T186" i="219"/>
  <c r="O141" i="217"/>
  <c r="J33" i="217"/>
  <c r="J36" i="217" s="1"/>
  <c r="J43" i="217" s="1"/>
  <c r="J168" i="217"/>
  <c r="K168" i="217" s="1"/>
  <c r="L168" i="217" s="1"/>
  <c r="M168" i="217" s="1"/>
  <c r="O103" i="219"/>
  <c r="P247" i="217"/>
  <c r="P248" i="217"/>
  <c r="Q89" i="217"/>
  <c r="P130" i="217"/>
  <c r="P148" i="217" s="1"/>
  <c r="L51" i="219"/>
  <c r="P86" i="217"/>
  <c r="N243" i="217"/>
  <c r="N242" i="217"/>
  <c r="M215" i="219"/>
  <c r="O74" i="217"/>
  <c r="O240" i="217"/>
  <c r="N50" i="214"/>
  <c r="Q69" i="217"/>
  <c r="R61" i="214"/>
  <c r="S113" i="214"/>
  <c r="S121" i="214" s="1"/>
  <c r="S171" i="219"/>
  <c r="T171" i="219" s="1"/>
  <c r="O221" i="214"/>
  <c r="O222" i="214"/>
  <c r="O224" i="214"/>
  <c r="O225" i="214" s="1"/>
  <c r="O47" i="214" s="1"/>
  <c r="Q82" i="217"/>
  <c r="Q84" i="217" s="1"/>
  <c r="O237" i="214"/>
  <c r="O74" i="214"/>
  <c r="P79" i="214"/>
  <c r="O80" i="214"/>
  <c r="O12" i="214" s="1"/>
  <c r="O11" i="214" s="1"/>
  <c r="L243" i="219"/>
  <c r="L242" i="219"/>
  <c r="L21" i="219"/>
  <c r="M240" i="219"/>
  <c r="J38" i="214"/>
  <c r="K111" i="214"/>
  <c r="K117" i="214" s="1"/>
  <c r="L164" i="219"/>
  <c r="K166" i="219"/>
  <c r="K209" i="219" s="1"/>
  <c r="Q70" i="217"/>
  <c r="N85" i="214"/>
  <c r="O85" i="214" s="1"/>
  <c r="Q130" i="214"/>
  <c r="R130" i="214" s="1"/>
  <c r="Q191" i="214"/>
  <c r="R186" i="214"/>
  <c r="P129" i="219"/>
  <c r="P196" i="219"/>
  <c r="P197" i="219" s="1"/>
  <c r="P28" i="219" s="1"/>
  <c r="Q128" i="219"/>
  <c r="P123" i="219"/>
  <c r="O205" i="219"/>
  <c r="S69" i="219"/>
  <c r="O132" i="217"/>
  <c r="S195" i="219"/>
  <c r="T195" i="219" s="1"/>
  <c r="L154" i="219"/>
  <c r="M240" i="214"/>
  <c r="M239" i="214"/>
  <c r="M21" i="214"/>
  <c r="O74" i="219"/>
  <c r="L161" i="214"/>
  <c r="K163" i="214"/>
  <c r="K166" i="214" s="1"/>
  <c r="R219" i="217"/>
  <c r="P245" i="214"/>
  <c r="Q89" i="214"/>
  <c r="P244" i="214"/>
  <c r="P174" i="219"/>
  <c r="P139" i="219"/>
  <c r="P149" i="219" s="1"/>
  <c r="Q138" i="219"/>
  <c r="M85" i="219"/>
  <c r="N85" i="219" s="1"/>
  <c r="Q134" i="217"/>
  <c r="Q182" i="217"/>
  <c r="P185" i="217"/>
  <c r="O141" i="219"/>
  <c r="P223" i="217"/>
  <c r="P223" i="219"/>
  <c r="P220" i="214"/>
  <c r="P86" i="214" s="1"/>
  <c r="O86" i="219"/>
  <c r="R128" i="217"/>
  <c r="Q129" i="217"/>
  <c r="Q196" i="217"/>
  <c r="K10" i="219"/>
  <c r="M257" i="217"/>
  <c r="N65" i="217"/>
  <c r="O131" i="217"/>
  <c r="N15" i="217"/>
  <c r="Q253" i="219"/>
  <c r="Q252" i="219"/>
  <c r="R95" i="219"/>
  <c r="R96" i="219" s="1"/>
  <c r="M147" i="214"/>
  <c r="O238" i="217"/>
  <c r="O77" i="217"/>
  <c r="O237" i="217"/>
  <c r="P73" i="217"/>
  <c r="P250" i="214"/>
  <c r="Q95" i="214"/>
  <c r="Q96" i="214" s="1"/>
  <c r="P249" i="214"/>
  <c r="P185" i="219"/>
  <c r="Q182" i="219"/>
  <c r="L159" i="217"/>
  <c r="M48" i="217"/>
  <c r="S183" i="219"/>
  <c r="T183" i="219" s="1"/>
  <c r="R116" i="219"/>
  <c r="Q61" i="219"/>
  <c r="Q255" i="217"/>
  <c r="Q236" i="217"/>
  <c r="Q251" i="217"/>
  <c r="Q252" i="217" s="1"/>
  <c r="Q230" i="217"/>
  <c r="Q246" i="217"/>
  <c r="Q241" i="217"/>
  <c r="R218" i="217"/>
  <c r="R171" i="217" s="1"/>
  <c r="R158" i="217"/>
  <c r="Q62" i="217"/>
  <c r="O227" i="217"/>
  <c r="O228" i="217" s="1"/>
  <c r="O47" i="217" s="1"/>
  <c r="O225" i="217"/>
  <c r="O224" i="217"/>
  <c r="O103" i="217" s="1"/>
  <c r="Q186" i="217"/>
  <c r="R186" i="217" s="1"/>
  <c r="L55" i="219"/>
  <c r="M55" i="219" s="1"/>
  <c r="Q76" i="217"/>
  <c r="R76" i="217" s="1"/>
  <c r="R253" i="214"/>
  <c r="R254" i="214"/>
  <c r="O209" i="214"/>
  <c r="N210" i="214"/>
  <c r="K80" i="217"/>
  <c r="K12" i="217" s="1"/>
  <c r="K11" i="217" s="1"/>
  <c r="L79" i="217"/>
  <c r="K13" i="217"/>
  <c r="S134" i="219"/>
  <c r="T134" i="219" s="1"/>
  <c r="O102" i="219"/>
  <c r="O140" i="217"/>
  <c r="P139" i="217"/>
  <c r="P149" i="217" s="1"/>
  <c r="Q138" i="217"/>
  <c r="N131" i="219"/>
  <c r="M65" i="219"/>
  <c r="M15" i="219"/>
  <c r="L164" i="217"/>
  <c r="K166" i="217"/>
  <c r="K209" i="217" s="1"/>
  <c r="K80" i="219"/>
  <c r="K12" i="219" s="1"/>
  <c r="K11" i="219" s="1"/>
  <c r="Q195" i="217"/>
  <c r="R195" i="217" s="1"/>
  <c r="P90" i="217"/>
  <c r="S179" i="219"/>
  <c r="T179" i="219" s="1"/>
  <c r="S56" i="219"/>
  <c r="T56" i="219" s="1"/>
  <c r="Q179" i="217"/>
  <c r="R179" i="217" s="1"/>
  <c r="S82" i="219"/>
  <c r="T82" i="219" s="1"/>
  <c r="S160" i="214"/>
  <c r="Q35" i="219"/>
  <c r="L199" i="219"/>
  <c r="R124" i="219"/>
  <c r="S70" i="219"/>
  <c r="T70" i="219" s="1"/>
  <c r="Q163" i="217"/>
  <c r="Q219" i="219"/>
  <c r="M66" i="214"/>
  <c r="L67" i="214"/>
  <c r="O203" i="217"/>
  <c r="R104" i="214"/>
  <c r="T124" i="217"/>
  <c r="T61" i="217" s="1"/>
  <c r="S61" i="217"/>
  <c r="Q56" i="217"/>
  <c r="R56" i="217" s="1"/>
  <c r="N106" i="217"/>
  <c r="N21" i="217" s="1"/>
  <c r="P123" i="217"/>
  <c r="O205" i="217"/>
  <c r="K157" i="214"/>
  <c r="O128" i="214"/>
  <c r="N65" i="214"/>
  <c r="N15" i="214"/>
  <c r="M63" i="217"/>
  <c r="S75" i="219"/>
  <c r="T75" i="219" s="1"/>
  <c r="Q78" i="214"/>
  <c r="S90" i="219" l="1"/>
  <c r="R70" i="217"/>
  <c r="M133" i="219"/>
  <c r="M107" i="217"/>
  <c r="R191" i="217"/>
  <c r="R183" i="217"/>
  <c r="K144" i="217"/>
  <c r="O50" i="214"/>
  <c r="P237" i="217"/>
  <c r="Q73" i="217"/>
  <c r="P238" i="217"/>
  <c r="R138" i="219"/>
  <c r="Q139" i="219"/>
  <c r="Q149" i="219" s="1"/>
  <c r="K120" i="214"/>
  <c r="L111" i="214"/>
  <c r="L117" i="214" s="1"/>
  <c r="M111" i="214" s="1"/>
  <c r="M117" i="214" s="1"/>
  <c r="N111" i="214" s="1"/>
  <c r="N117" i="214" s="1"/>
  <c r="O111" i="214" s="1"/>
  <c r="O117" i="214" s="1"/>
  <c r="P111" i="214" s="1"/>
  <c r="P117" i="214" s="1"/>
  <c r="Q111" i="214" s="1"/>
  <c r="Q117" i="214" s="1"/>
  <c r="R111" i="214" s="1"/>
  <c r="R117" i="214" s="1"/>
  <c r="S111" i="214" s="1"/>
  <c r="S117" i="214" s="1"/>
  <c r="T111" i="214" s="1"/>
  <c r="K119" i="214"/>
  <c r="R189" i="217"/>
  <c r="Q194" i="217"/>
  <c r="M63" i="219"/>
  <c r="P145" i="219"/>
  <c r="Q122" i="219"/>
  <c r="T216" i="214"/>
  <c r="S22" i="217"/>
  <c r="N150" i="217"/>
  <c r="L9" i="219"/>
  <c r="L52" i="219"/>
  <c r="L18" i="219" s="1"/>
  <c r="R78" i="214"/>
  <c r="P205" i="217"/>
  <c r="Q123" i="217"/>
  <c r="N66" i="214"/>
  <c r="M67" i="214"/>
  <c r="M199" i="219"/>
  <c r="K16" i="217"/>
  <c r="K14" i="217"/>
  <c r="N48" i="217"/>
  <c r="Q130" i="217"/>
  <c r="Q148" i="217" s="1"/>
  <c r="P224" i="219"/>
  <c r="P225" i="219"/>
  <c r="P227" i="219"/>
  <c r="P228" i="219" s="1"/>
  <c r="P47" i="219" s="1"/>
  <c r="R182" i="217"/>
  <c r="Q185" i="217"/>
  <c r="R89" i="214"/>
  <c r="Q244" i="214"/>
  <c r="Q245" i="214"/>
  <c r="S219" i="217"/>
  <c r="K144" i="219"/>
  <c r="T69" i="219"/>
  <c r="Q129" i="219"/>
  <c r="R128" i="219"/>
  <c r="Q196" i="219"/>
  <c r="Q197" i="219" s="1"/>
  <c r="Q28" i="219" s="1"/>
  <c r="S186" i="214"/>
  <c r="R191" i="214"/>
  <c r="R69" i="217"/>
  <c r="R89" i="217"/>
  <c r="Q248" i="217"/>
  <c r="Q247" i="217"/>
  <c r="O203" i="219"/>
  <c r="R193" i="214"/>
  <c r="R126" i="214"/>
  <c r="S125" i="214"/>
  <c r="S130" i="214"/>
  <c r="T254" i="214"/>
  <c r="T253" i="214"/>
  <c r="M78" i="219"/>
  <c r="N215" i="219"/>
  <c r="N133" i="219" s="1"/>
  <c r="R180" i="214"/>
  <c r="Q182" i="214"/>
  <c r="Q223" i="219"/>
  <c r="Q223" i="217"/>
  <c r="Q220" i="214"/>
  <c r="Q86" i="214" s="1"/>
  <c r="R158" i="219"/>
  <c r="Q62" i="219"/>
  <c r="J169" i="219"/>
  <c r="J26" i="219" s="1"/>
  <c r="J29" i="219" s="1"/>
  <c r="R170" i="217"/>
  <c r="T189" i="219"/>
  <c r="T194" i="219" s="1"/>
  <c r="S194" i="219"/>
  <c r="S117" i="219"/>
  <c r="R22" i="219"/>
  <c r="N48" i="219"/>
  <c r="M49" i="219"/>
  <c r="Q86" i="217"/>
  <c r="N150" i="219"/>
  <c r="Q101" i="219"/>
  <c r="M168" i="219"/>
  <c r="N168" i="219" s="1"/>
  <c r="N215" i="217"/>
  <c r="N107" i="217" s="1"/>
  <c r="R35" i="219"/>
  <c r="O65" i="214"/>
  <c r="P128" i="214"/>
  <c r="N257" i="217"/>
  <c r="N256" i="217"/>
  <c r="S104" i="214"/>
  <c r="T104" i="214" s="1"/>
  <c r="R163" i="217"/>
  <c r="T160" i="214"/>
  <c r="L79" i="219"/>
  <c r="P140" i="217"/>
  <c r="Q90" i="214"/>
  <c r="R90" i="214" s="1"/>
  <c r="S158" i="217"/>
  <c r="R62" i="217"/>
  <c r="Q250" i="214"/>
  <c r="R95" i="214"/>
  <c r="R96" i="214" s="1"/>
  <c r="Q249" i="214"/>
  <c r="O242" i="217"/>
  <c r="O243" i="217"/>
  <c r="N147" i="214"/>
  <c r="K13" i="219"/>
  <c r="S128" i="217"/>
  <c r="R196" i="217"/>
  <c r="R129" i="217"/>
  <c r="P224" i="217"/>
  <c r="P103" i="217" s="1"/>
  <c r="P225" i="217"/>
  <c r="P227" i="217"/>
  <c r="P228" i="217" s="1"/>
  <c r="P47" i="217" s="1"/>
  <c r="R134" i="217"/>
  <c r="L160" i="219"/>
  <c r="M154" i="219" s="1"/>
  <c r="Q194" i="214"/>
  <c r="Q28" i="214" s="1"/>
  <c r="Q35" i="214"/>
  <c r="K169" i="219"/>
  <c r="R82" i="217"/>
  <c r="P74" i="217"/>
  <c r="P240" i="217"/>
  <c r="M51" i="219"/>
  <c r="N51" i="219" s="1"/>
  <c r="N66" i="217"/>
  <c r="Q127" i="214"/>
  <c r="Q145" i="214" s="1"/>
  <c r="S84" i="219"/>
  <c r="T84" i="219" s="1"/>
  <c r="M14" i="214"/>
  <c r="M16" i="214"/>
  <c r="T114" i="214"/>
  <c r="T22" i="214" s="1"/>
  <c r="S22" i="214"/>
  <c r="S230" i="212"/>
  <c r="R241" i="212"/>
  <c r="R259" i="212"/>
  <c r="R257" i="212"/>
  <c r="R217" i="217"/>
  <c r="O129" i="214"/>
  <c r="P129" i="214" s="1"/>
  <c r="Q122" i="217"/>
  <c r="P145" i="217"/>
  <c r="O102" i="217"/>
  <c r="P200" i="214"/>
  <c r="Q200" i="214" s="1"/>
  <c r="R255" i="212"/>
  <c r="S244" i="212"/>
  <c r="Q101" i="217"/>
  <c r="P85" i="217"/>
  <c r="Q85" i="217" s="1"/>
  <c r="T251" i="219"/>
  <c r="T246" i="219"/>
  <c r="T230" i="219"/>
  <c r="T236" i="219"/>
  <c r="T255" i="219"/>
  <c r="T241" i="219"/>
  <c r="M66" i="219"/>
  <c r="T89" i="219"/>
  <c r="S248" i="219"/>
  <c r="S247" i="219"/>
  <c r="N240" i="214"/>
  <c r="N239" i="214"/>
  <c r="N21" i="214"/>
  <c r="R171" i="214"/>
  <c r="N238" i="219"/>
  <c r="N237" i="219"/>
  <c r="N77" i="219"/>
  <c r="O73" i="219"/>
  <c r="R219" i="219"/>
  <c r="M164" i="217"/>
  <c r="L166" i="217"/>
  <c r="L169" i="217" s="1"/>
  <c r="R138" i="217"/>
  <c r="Q139" i="217"/>
  <c r="Q149" i="217" s="1"/>
  <c r="L80" i="217"/>
  <c r="L12" i="217" s="1"/>
  <c r="N55" i="219"/>
  <c r="P221" i="214"/>
  <c r="P222" i="214"/>
  <c r="P224" i="214"/>
  <c r="P225" i="214" s="1"/>
  <c r="P47" i="214" s="1"/>
  <c r="P74" i="214"/>
  <c r="P103" i="219"/>
  <c r="P141" i="217"/>
  <c r="S253" i="214"/>
  <c r="S254" i="214"/>
  <c r="M107" i="219"/>
  <c r="N107" i="219" s="1"/>
  <c r="M243" i="219"/>
  <c r="M242" i="219"/>
  <c r="M21" i="219"/>
  <c r="N240" i="219"/>
  <c r="N63" i="217"/>
  <c r="L151" i="214"/>
  <c r="K206" i="214"/>
  <c r="S56" i="217"/>
  <c r="Q90" i="217"/>
  <c r="R90" i="217" s="1"/>
  <c r="K169" i="217"/>
  <c r="N65" i="219"/>
  <c r="O131" i="219"/>
  <c r="P102" i="219"/>
  <c r="P106" i="219" s="1"/>
  <c r="P209" i="214"/>
  <c r="O210" i="214"/>
  <c r="S76" i="217"/>
  <c r="R251" i="217"/>
  <c r="R252" i="217" s="1"/>
  <c r="S218" i="217"/>
  <c r="R246" i="217"/>
  <c r="R230" i="217"/>
  <c r="R255" i="217"/>
  <c r="R241" i="217"/>
  <c r="R236" i="217"/>
  <c r="S116" i="219"/>
  <c r="S124" i="219" s="1"/>
  <c r="R61" i="219"/>
  <c r="Q185" i="219"/>
  <c r="R182" i="219"/>
  <c r="R253" i="219"/>
  <c r="R252" i="219"/>
  <c r="S95" i="219"/>
  <c r="P131" i="217"/>
  <c r="P132" i="217" s="1"/>
  <c r="O65" i="217"/>
  <c r="O15" i="217"/>
  <c r="P86" i="219"/>
  <c r="Q86" i="219" s="1"/>
  <c r="O85" i="219"/>
  <c r="Q174" i="219"/>
  <c r="M161" i="214"/>
  <c r="L163" i="214"/>
  <c r="L166" i="214" s="1"/>
  <c r="P205" i="219"/>
  <c r="Q123" i="219"/>
  <c r="P130" i="219"/>
  <c r="P148" i="219" s="1"/>
  <c r="P203" i="219"/>
  <c r="M164" i="219"/>
  <c r="L166" i="219"/>
  <c r="L169" i="219" s="1"/>
  <c r="Q79" i="214"/>
  <c r="P80" i="214"/>
  <c r="P12" i="214" s="1"/>
  <c r="P11" i="214" s="1"/>
  <c r="S61" i="214"/>
  <c r="T113" i="214"/>
  <c r="T121" i="214" s="1"/>
  <c r="N52" i="214"/>
  <c r="N18" i="214" s="1"/>
  <c r="N19" i="214" s="1"/>
  <c r="N9" i="214"/>
  <c r="N10" i="214" s="1"/>
  <c r="N13" i="214" s="1"/>
  <c r="P203" i="217"/>
  <c r="J169" i="217"/>
  <c r="J26" i="217" s="1"/>
  <c r="J29" i="217" s="1"/>
  <c r="J42" i="217" s="1"/>
  <c r="O213" i="219"/>
  <c r="O214" i="219"/>
  <c r="P212" i="219"/>
  <c r="T163" i="219"/>
  <c r="O106" i="219"/>
  <c r="P140" i="219"/>
  <c r="Q140" i="219" s="1"/>
  <c r="R83" i="217"/>
  <c r="S83" i="217" s="1"/>
  <c r="P35" i="217"/>
  <c r="P197" i="217"/>
  <c r="P28" i="217" s="1"/>
  <c r="O214" i="217"/>
  <c r="O213" i="217"/>
  <c r="P212" i="217"/>
  <c r="T90" i="219"/>
  <c r="O235" i="214"/>
  <c r="O234" i="214"/>
  <c r="P73" i="214"/>
  <c r="O77" i="214"/>
  <c r="P237" i="214" s="1"/>
  <c r="T217" i="219"/>
  <c r="S135" i="214"/>
  <c r="R136" i="214"/>
  <c r="R146" i="214" s="1"/>
  <c r="M133" i="217"/>
  <c r="M78" i="217" s="1"/>
  <c r="M79" i="217" s="1"/>
  <c r="M51" i="217"/>
  <c r="N51" i="217" s="1"/>
  <c r="M49" i="217"/>
  <c r="N49" i="217" s="1"/>
  <c r="M199" i="217"/>
  <c r="N199" i="217" s="1"/>
  <c r="M55" i="217"/>
  <c r="N55" i="217" s="1"/>
  <c r="L160" i="217"/>
  <c r="M154" i="217" s="1"/>
  <c r="M159" i="217" s="1"/>
  <c r="N132" i="219"/>
  <c r="O132" i="219" s="1"/>
  <c r="R84" i="217" l="1"/>
  <c r="P50" i="214"/>
  <c r="M80" i="217"/>
  <c r="M12" i="217" s="1"/>
  <c r="P257" i="219"/>
  <c r="P256" i="219"/>
  <c r="Q73" i="214"/>
  <c r="P234" i="214"/>
  <c r="P77" i="214"/>
  <c r="P235" i="214"/>
  <c r="Q212" i="217"/>
  <c r="P214" i="217"/>
  <c r="P213" i="217"/>
  <c r="O215" i="219"/>
  <c r="O133" i="219" s="1"/>
  <c r="Q205" i="219"/>
  <c r="R123" i="219"/>
  <c r="T95" i="219"/>
  <c r="S253" i="219"/>
  <c r="S252" i="219"/>
  <c r="S255" i="217"/>
  <c r="S236" i="217"/>
  <c r="S251" i="217"/>
  <c r="S252" i="217" s="1"/>
  <c r="S230" i="217"/>
  <c r="S246" i="217"/>
  <c r="T218" i="217"/>
  <c r="S241" i="217"/>
  <c r="P210" i="214"/>
  <c r="Q209" i="214"/>
  <c r="K141" i="214"/>
  <c r="P85" i="214"/>
  <c r="Q85" i="214" s="1"/>
  <c r="S195" i="217"/>
  <c r="S219" i="219"/>
  <c r="R101" i="217"/>
  <c r="P102" i="217"/>
  <c r="O106" i="217"/>
  <c r="S217" i="217"/>
  <c r="T230" i="212"/>
  <c r="S259" i="212"/>
  <c r="S257" i="212"/>
  <c r="S241" i="212"/>
  <c r="Q74" i="217"/>
  <c r="R130" i="217"/>
  <c r="R148" i="217" s="1"/>
  <c r="Q140" i="217"/>
  <c r="S120" i="219"/>
  <c r="T114" i="219" s="1"/>
  <c r="S35" i="219"/>
  <c r="Q225" i="217"/>
  <c r="Q224" i="217"/>
  <c r="Q103" i="217" s="1"/>
  <c r="Q227" i="217"/>
  <c r="Q228" i="217" s="1"/>
  <c r="Q47" i="217" s="1"/>
  <c r="R200" i="214"/>
  <c r="R127" i="214"/>
  <c r="R145" i="214" s="1"/>
  <c r="T186" i="214"/>
  <c r="T191" i="214" s="1"/>
  <c r="S191" i="214"/>
  <c r="Q203" i="219"/>
  <c r="Q130" i="219"/>
  <c r="Q148" i="219" s="1"/>
  <c r="P74" i="219"/>
  <c r="R185" i="217"/>
  <c r="S182" i="217"/>
  <c r="Q203" i="217"/>
  <c r="S186" i="217"/>
  <c r="T186" i="217" s="1"/>
  <c r="S78" i="214"/>
  <c r="O150" i="217"/>
  <c r="N63" i="219"/>
  <c r="O63" i="219" s="1"/>
  <c r="S183" i="217"/>
  <c r="T183" i="217" s="1"/>
  <c r="S136" i="214"/>
  <c r="S146" i="214" s="1"/>
  <c r="T135" i="214"/>
  <c r="T136" i="214" s="1"/>
  <c r="T146" i="214" s="1"/>
  <c r="T83" i="217"/>
  <c r="N14" i="214"/>
  <c r="N16" i="214"/>
  <c r="N164" i="219"/>
  <c r="M166" i="219"/>
  <c r="M169" i="219" s="1"/>
  <c r="R174" i="219"/>
  <c r="L157" i="214"/>
  <c r="M151" i="214" s="1"/>
  <c r="L156" i="214"/>
  <c r="O107" i="219"/>
  <c r="O55" i="219"/>
  <c r="R139" i="217"/>
  <c r="R149" i="217" s="1"/>
  <c r="S138" i="217"/>
  <c r="T248" i="219"/>
  <c r="T247" i="219"/>
  <c r="T244" i="212"/>
  <c r="S255" i="212"/>
  <c r="S82" i="217"/>
  <c r="T82" i="217" s="1"/>
  <c r="O147" i="214"/>
  <c r="M79" i="219"/>
  <c r="L80" i="219"/>
  <c r="L12" i="219" s="1"/>
  <c r="S163" i="217"/>
  <c r="O15" i="214"/>
  <c r="S191" i="217"/>
  <c r="T191" i="217" s="1"/>
  <c r="R101" i="219"/>
  <c r="R137" i="214"/>
  <c r="T35" i="219"/>
  <c r="Q227" i="219"/>
  <c r="Q228" i="219" s="1"/>
  <c r="Q47" i="219" s="1"/>
  <c r="Q225" i="219"/>
  <c r="Q224" i="219"/>
  <c r="Q102" i="219" s="1"/>
  <c r="S69" i="217"/>
  <c r="O66" i="214"/>
  <c r="N67" i="214"/>
  <c r="T22" i="217"/>
  <c r="M159" i="219"/>
  <c r="K142" i="214"/>
  <c r="L119" i="214"/>
  <c r="S138" i="219"/>
  <c r="R139" i="219"/>
  <c r="R149" i="219" s="1"/>
  <c r="P77" i="217"/>
  <c r="Q240" i="217" s="1"/>
  <c r="K147" i="217"/>
  <c r="L60" i="217"/>
  <c r="L64" i="217" s="1"/>
  <c r="M160" i="217"/>
  <c r="N154" i="217" s="1"/>
  <c r="N159" i="217" s="1"/>
  <c r="O51" i="217"/>
  <c r="O215" i="217"/>
  <c r="O199" i="217" s="1"/>
  <c r="R140" i="219"/>
  <c r="R79" i="214"/>
  <c r="Q80" i="214"/>
  <c r="Q12" i="214" s="1"/>
  <c r="Q11" i="214" s="1"/>
  <c r="T116" i="219"/>
  <c r="T124" i="219" s="1"/>
  <c r="S61" i="219"/>
  <c r="T76" i="217"/>
  <c r="N15" i="219"/>
  <c r="O63" i="217"/>
  <c r="O237" i="219"/>
  <c r="P73" i="219"/>
  <c r="O238" i="219"/>
  <c r="O77" i="219"/>
  <c r="Q145" i="217"/>
  <c r="R122" i="217"/>
  <c r="R220" i="214"/>
  <c r="R223" i="217"/>
  <c r="R223" i="219"/>
  <c r="R86" i="219" s="1"/>
  <c r="O51" i="219"/>
  <c r="T128" i="217"/>
  <c r="S196" i="217"/>
  <c r="S129" i="217"/>
  <c r="S95" i="214"/>
  <c r="R250" i="214"/>
  <c r="R249" i="214"/>
  <c r="T158" i="217"/>
  <c r="T62" i="217" s="1"/>
  <c r="S62" i="217"/>
  <c r="Q128" i="214"/>
  <c r="P65" i="214"/>
  <c r="P15" i="214"/>
  <c r="N133" i="217"/>
  <c r="N49" i="219"/>
  <c r="O49" i="219" s="1"/>
  <c r="M50" i="219"/>
  <c r="S170" i="217"/>
  <c r="T170" i="217" s="1"/>
  <c r="S158" i="219"/>
  <c r="R62" i="219"/>
  <c r="R247" i="217"/>
  <c r="R248" i="217"/>
  <c r="S89" i="217"/>
  <c r="S90" i="217" s="1"/>
  <c r="S70" i="217"/>
  <c r="T70" i="217" s="1"/>
  <c r="K147" i="219"/>
  <c r="L60" i="219"/>
  <c r="L64" i="219" s="1"/>
  <c r="L67" i="219" s="1"/>
  <c r="L10" i="219" s="1"/>
  <c r="R244" i="214"/>
  <c r="R245" i="214"/>
  <c r="S89" i="214"/>
  <c r="M50" i="217"/>
  <c r="R123" i="217"/>
  <c r="Q205" i="217"/>
  <c r="R122" i="219"/>
  <c r="Q145" i="219"/>
  <c r="Q35" i="217"/>
  <c r="Q197" i="217"/>
  <c r="Q28" i="217" s="1"/>
  <c r="T117" i="214"/>
  <c r="S179" i="217"/>
  <c r="T179" i="217" s="1"/>
  <c r="N78" i="217"/>
  <c r="N79" i="217" s="1"/>
  <c r="O240" i="214"/>
  <c r="O239" i="214"/>
  <c r="O21" i="214"/>
  <c r="O257" i="219"/>
  <c r="O256" i="219"/>
  <c r="P213" i="219"/>
  <c r="P214" i="219"/>
  <c r="Q212" i="219"/>
  <c r="T61" i="214"/>
  <c r="N161" i="214"/>
  <c r="M163" i="214"/>
  <c r="M166" i="214" s="1"/>
  <c r="P141" i="219"/>
  <c r="Q141" i="219" s="1"/>
  <c r="R141" i="219" s="1"/>
  <c r="Q131" i="217"/>
  <c r="P65" i="217"/>
  <c r="P15" i="217"/>
  <c r="S182" i="219"/>
  <c r="R185" i="219"/>
  <c r="P131" i="219"/>
  <c r="O65" i="219"/>
  <c r="O15" i="219"/>
  <c r="T56" i="217"/>
  <c r="S75" i="217"/>
  <c r="T75" i="217" s="1"/>
  <c r="Q237" i="214"/>
  <c r="Q74" i="214"/>
  <c r="N164" i="217"/>
  <c r="M166" i="217"/>
  <c r="M169" i="217" s="1"/>
  <c r="N243" i="219"/>
  <c r="N242" i="219"/>
  <c r="N21" i="219"/>
  <c r="O240" i="219"/>
  <c r="S171" i="214"/>
  <c r="N66" i="219"/>
  <c r="Q129" i="214"/>
  <c r="S134" i="217"/>
  <c r="T134" i="217" s="1"/>
  <c r="K16" i="219"/>
  <c r="K14" i="219"/>
  <c r="S90" i="214"/>
  <c r="O168" i="219"/>
  <c r="O150" i="219"/>
  <c r="O48" i="219"/>
  <c r="T117" i="219"/>
  <c r="T22" i="219" s="1"/>
  <c r="S22" i="219"/>
  <c r="J42" i="219"/>
  <c r="J293" i="219"/>
  <c r="Q224" i="214"/>
  <c r="Q225" i="214" s="1"/>
  <c r="Q47" i="214" s="1"/>
  <c r="Q222" i="214"/>
  <c r="Q221" i="214"/>
  <c r="S180" i="214"/>
  <c r="R182" i="214"/>
  <c r="N78" i="219"/>
  <c r="O78" i="219" s="1"/>
  <c r="T125" i="214"/>
  <c r="S193" i="214"/>
  <c r="T130" i="214"/>
  <c r="S126" i="214"/>
  <c r="N168" i="217"/>
  <c r="O168" i="217" s="1"/>
  <c r="S171" i="217"/>
  <c r="T171" i="217" s="1"/>
  <c r="R35" i="214"/>
  <c r="R194" i="214"/>
  <c r="R28" i="214" s="1"/>
  <c r="R196" i="219"/>
  <c r="R197" i="219" s="1"/>
  <c r="R28" i="219" s="1"/>
  <c r="S128" i="219"/>
  <c r="R129" i="219"/>
  <c r="P240" i="219"/>
  <c r="T219" i="217"/>
  <c r="O48" i="217"/>
  <c r="N50" i="217"/>
  <c r="N199" i="219"/>
  <c r="O199" i="219" s="1"/>
  <c r="S189" i="217"/>
  <c r="R194" i="217"/>
  <c r="K202" i="214"/>
  <c r="L120" i="214"/>
  <c r="R73" i="217"/>
  <c r="R85" i="217" s="1"/>
  <c r="Q77" i="217"/>
  <c r="Q237" i="217"/>
  <c r="Q238" i="217"/>
  <c r="O9" i="214"/>
  <c r="O10" i="214" s="1"/>
  <c r="O13" i="214" s="1"/>
  <c r="O52" i="214"/>
  <c r="O18" i="214" s="1"/>
  <c r="O19" i="214" s="1"/>
  <c r="S96" i="219"/>
  <c r="T96" i="219" s="1"/>
  <c r="T217" i="217" l="1"/>
  <c r="O55" i="217"/>
  <c r="T195" i="217"/>
  <c r="O49" i="217"/>
  <c r="N50" i="219"/>
  <c r="N52" i="219" s="1"/>
  <c r="N18" i="219" s="1"/>
  <c r="O66" i="217"/>
  <c r="N80" i="217"/>
  <c r="N12" i="217" s="1"/>
  <c r="Q50" i="214"/>
  <c r="M120" i="214"/>
  <c r="L202" i="214"/>
  <c r="T180" i="214"/>
  <c r="T182" i="214" s="1"/>
  <c r="S182" i="214"/>
  <c r="N9" i="219"/>
  <c r="O66" i="219"/>
  <c r="O164" i="217"/>
  <c r="N166" i="217"/>
  <c r="N169" i="217" s="1"/>
  <c r="P215" i="219"/>
  <c r="P133" i="219" s="1"/>
  <c r="T89" i="214"/>
  <c r="S244" i="214"/>
  <c r="S245" i="214"/>
  <c r="K33" i="219"/>
  <c r="K151" i="219"/>
  <c r="S250" i="214"/>
  <c r="T95" i="214"/>
  <c r="S249" i="214"/>
  <c r="T196" i="217"/>
  <c r="T129" i="217"/>
  <c r="R227" i="217"/>
  <c r="R228" i="217" s="1"/>
  <c r="R47" i="217" s="1"/>
  <c r="R224" i="217"/>
  <c r="R103" i="217" s="1"/>
  <c r="R225" i="217"/>
  <c r="L67" i="217"/>
  <c r="L10" i="217" s="1"/>
  <c r="L19" i="217"/>
  <c r="R86" i="217"/>
  <c r="R74" i="217" s="1"/>
  <c r="M80" i="219"/>
  <c r="M12" i="219" s="1"/>
  <c r="N79" i="219"/>
  <c r="S139" i="217"/>
  <c r="S149" i="217" s="1"/>
  <c r="T138" i="217"/>
  <c r="T139" i="217" s="1"/>
  <c r="T149" i="217" s="1"/>
  <c r="P107" i="219"/>
  <c r="T35" i="214"/>
  <c r="T120" i="219"/>
  <c r="R240" i="217"/>
  <c r="S223" i="219"/>
  <c r="S86" i="219" s="1"/>
  <c r="S223" i="217"/>
  <c r="S220" i="214"/>
  <c r="Q102" i="217"/>
  <c r="P106" i="217"/>
  <c r="R209" i="214"/>
  <c r="Q210" i="214"/>
  <c r="S96" i="214"/>
  <c r="T96" i="214" s="1"/>
  <c r="S84" i="217"/>
  <c r="T84" i="217" s="1"/>
  <c r="N52" i="217"/>
  <c r="N18" i="217" s="1"/>
  <c r="N9" i="217"/>
  <c r="R203" i="219"/>
  <c r="R130" i="219"/>
  <c r="R148" i="219" s="1"/>
  <c r="T126" i="214"/>
  <c r="T193" i="214"/>
  <c r="T194" i="214" s="1"/>
  <c r="T28" i="214" s="1"/>
  <c r="P48" i="219"/>
  <c r="O50" i="219"/>
  <c r="P65" i="219"/>
  <c r="Q131" i="219"/>
  <c r="O161" i="214"/>
  <c r="N163" i="214"/>
  <c r="N166" i="214" s="1"/>
  <c r="P51" i="219"/>
  <c r="R221" i="214"/>
  <c r="R222" i="214"/>
  <c r="R224" i="214"/>
  <c r="R225" i="214" s="1"/>
  <c r="R47" i="214" s="1"/>
  <c r="O243" i="219"/>
  <c r="O242" i="219"/>
  <c r="O21" i="219"/>
  <c r="R80" i="214"/>
  <c r="R12" i="214" s="1"/>
  <c r="R11" i="214" s="1"/>
  <c r="S79" i="214"/>
  <c r="O133" i="217"/>
  <c r="T138" i="219"/>
  <c r="S139" i="219"/>
  <c r="S149" i="219" s="1"/>
  <c r="L19" i="219"/>
  <c r="T69" i="217"/>
  <c r="U244" i="212"/>
  <c r="T255" i="212"/>
  <c r="M156" i="214"/>
  <c r="S174" i="219"/>
  <c r="P150" i="217"/>
  <c r="S185" i="217"/>
  <c r="T182" i="217"/>
  <c r="T185" i="217" s="1"/>
  <c r="R140" i="217"/>
  <c r="S140" i="217" s="1"/>
  <c r="T140" i="217" s="1"/>
  <c r="U230" i="212"/>
  <c r="T241" i="212"/>
  <c r="T257" i="212"/>
  <c r="T259" i="212"/>
  <c r="Q141" i="217"/>
  <c r="S123" i="219"/>
  <c r="R205" i="219"/>
  <c r="P239" i="214"/>
  <c r="P240" i="214"/>
  <c r="P21" i="214"/>
  <c r="P9" i="214"/>
  <c r="P10" i="214" s="1"/>
  <c r="P13" i="214" s="1"/>
  <c r="P52" i="214"/>
  <c r="P18" i="214" s="1"/>
  <c r="P19" i="214" s="1"/>
  <c r="Q242" i="217"/>
  <c r="Q243" i="217"/>
  <c r="R35" i="217"/>
  <c r="R197" i="217"/>
  <c r="R28" i="217" s="1"/>
  <c r="P48" i="217"/>
  <c r="O50" i="217"/>
  <c r="S129" i="219"/>
  <c r="T128" i="219"/>
  <c r="S196" i="219"/>
  <c r="S197" i="219" s="1"/>
  <c r="S28" i="219" s="1"/>
  <c r="S127" i="214"/>
  <c r="S145" i="214" s="1"/>
  <c r="P78" i="219"/>
  <c r="T90" i="214"/>
  <c r="T171" i="214"/>
  <c r="R131" i="217"/>
  <c r="Q65" i="217"/>
  <c r="R205" i="217"/>
  <c r="S123" i="217"/>
  <c r="M52" i="219"/>
  <c r="M18" i="219" s="1"/>
  <c r="M9" i="219"/>
  <c r="S130" i="217"/>
  <c r="S148" i="217" s="1"/>
  <c r="S203" i="217"/>
  <c r="R145" i="217"/>
  <c r="S122" i="217"/>
  <c r="T61" i="219"/>
  <c r="P51" i="217"/>
  <c r="K33" i="217"/>
  <c r="K151" i="217"/>
  <c r="M119" i="214"/>
  <c r="L142" i="214"/>
  <c r="S101" i="219"/>
  <c r="T163" i="217"/>
  <c r="P147" i="214"/>
  <c r="P66" i="217"/>
  <c r="P55" i="219"/>
  <c r="M157" i="214"/>
  <c r="T78" i="214"/>
  <c r="R203" i="217"/>
  <c r="S101" i="217"/>
  <c r="T219" i="219"/>
  <c r="P215" i="217"/>
  <c r="P133" i="217" s="1"/>
  <c r="R86" i="214"/>
  <c r="S86" i="214" s="1"/>
  <c r="O14" i="214"/>
  <c r="O16" i="214"/>
  <c r="S73" i="217"/>
  <c r="R237" i="217"/>
  <c r="R238" i="217"/>
  <c r="T189" i="217"/>
  <c r="T194" i="217" s="1"/>
  <c r="S194" i="217"/>
  <c r="P150" i="219"/>
  <c r="T182" i="219"/>
  <c r="T185" i="219" s="1"/>
  <c r="S185" i="219"/>
  <c r="Q214" i="219"/>
  <c r="Q213" i="219"/>
  <c r="R212" i="219"/>
  <c r="O78" i="217"/>
  <c r="P78" i="217" s="1"/>
  <c r="R145" i="219"/>
  <c r="S122" i="219"/>
  <c r="M9" i="217"/>
  <c r="M52" i="217"/>
  <c r="M18" i="217" s="1"/>
  <c r="S247" i="217"/>
  <c r="T89" i="217"/>
  <c r="S248" i="217"/>
  <c r="T158" i="219"/>
  <c r="T62" i="219" s="1"/>
  <c r="S62" i="219"/>
  <c r="P49" i="219"/>
  <c r="Q65" i="214"/>
  <c r="R128" i="214"/>
  <c r="R129" i="214" s="1"/>
  <c r="Q15" i="214"/>
  <c r="R224" i="219"/>
  <c r="R102" i="219" s="1"/>
  <c r="R227" i="219"/>
  <c r="R228" i="219" s="1"/>
  <c r="R47" i="219" s="1"/>
  <c r="R225" i="219"/>
  <c r="P77" i="219"/>
  <c r="Q240" i="219" s="1"/>
  <c r="P238" i="219"/>
  <c r="Q73" i="219"/>
  <c r="P237" i="219"/>
  <c r="P85" i="219"/>
  <c r="Q85" i="219" s="1"/>
  <c r="S140" i="219"/>
  <c r="N160" i="217"/>
  <c r="O154" i="217" s="1"/>
  <c r="P243" i="217"/>
  <c r="P242" i="217"/>
  <c r="P21" i="217"/>
  <c r="P66" i="214"/>
  <c r="O67" i="214"/>
  <c r="S137" i="214"/>
  <c r="T137" i="214" s="1"/>
  <c r="R138" i="214"/>
  <c r="M160" i="219"/>
  <c r="N154" i="219" s="1"/>
  <c r="Q103" i="219"/>
  <c r="R103" i="219" s="1"/>
  <c r="O164" i="219"/>
  <c r="N166" i="219"/>
  <c r="N169" i="219" s="1"/>
  <c r="P132" i="219"/>
  <c r="Q132" i="219" s="1"/>
  <c r="P63" i="219"/>
  <c r="Q74" i="219"/>
  <c r="S194" i="214"/>
  <c r="S28" i="214" s="1"/>
  <c r="S35" i="214"/>
  <c r="O256" i="217"/>
  <c r="O257" i="217"/>
  <c r="O21" i="217"/>
  <c r="K144" i="214"/>
  <c r="L60" i="214"/>
  <c r="L64" i="214" s="1"/>
  <c r="T251" i="217"/>
  <c r="T252" i="217" s="1"/>
  <c r="T246" i="217"/>
  <c r="T255" i="217"/>
  <c r="T241" i="217"/>
  <c r="T236" i="217"/>
  <c r="T230" i="217"/>
  <c r="T253" i="219"/>
  <c r="T252" i="219"/>
  <c r="Q213" i="217"/>
  <c r="Q214" i="217"/>
  <c r="R212" i="217"/>
  <c r="Q234" i="214"/>
  <c r="R73" i="214"/>
  <c r="R85" i="214" s="1"/>
  <c r="Q77" i="214"/>
  <c r="Q235" i="214"/>
  <c r="O107" i="217"/>
  <c r="P107" i="217" s="1"/>
  <c r="Q132" i="217"/>
  <c r="R132" i="217" s="1"/>
  <c r="P168" i="219" l="1"/>
  <c r="R106" i="219"/>
  <c r="R50" i="214"/>
  <c r="R77" i="217"/>
  <c r="R213" i="217"/>
  <c r="S212" i="217"/>
  <c r="R214" i="217"/>
  <c r="K33" i="214"/>
  <c r="K148" i="214"/>
  <c r="K26" i="214" s="1"/>
  <c r="P164" i="219"/>
  <c r="O166" i="219"/>
  <c r="O169" i="219" s="1"/>
  <c r="S138" i="214"/>
  <c r="T138" i="214" s="1"/>
  <c r="Q238" i="219"/>
  <c r="Q77" i="219"/>
  <c r="Q237" i="219"/>
  <c r="R73" i="219"/>
  <c r="S212" i="219"/>
  <c r="R213" i="219"/>
  <c r="R214" i="219"/>
  <c r="T101" i="219"/>
  <c r="K202" i="217"/>
  <c r="O9" i="217"/>
  <c r="O52" i="217"/>
  <c r="O18" i="217" s="1"/>
  <c r="R141" i="217"/>
  <c r="S141" i="217" s="1"/>
  <c r="T141" i="217" s="1"/>
  <c r="V230" i="212"/>
  <c r="U259" i="212"/>
  <c r="U257" i="212"/>
  <c r="U241" i="212"/>
  <c r="T139" i="219"/>
  <c r="T149" i="219" s="1"/>
  <c r="P63" i="217"/>
  <c r="T127" i="214"/>
  <c r="T145" i="214" s="1"/>
  <c r="S224" i="214"/>
  <c r="S225" i="214" s="1"/>
  <c r="S47" i="214" s="1"/>
  <c r="S221" i="214"/>
  <c r="S222" i="214"/>
  <c r="T130" i="217"/>
  <c r="T148" i="217" s="1"/>
  <c r="T203" i="217"/>
  <c r="P199" i="219"/>
  <c r="Q9" i="214"/>
  <c r="Q10" i="214" s="1"/>
  <c r="Q13" i="214" s="1"/>
  <c r="Q52" i="214"/>
  <c r="Q18" i="214" s="1"/>
  <c r="Q19" i="214" s="1"/>
  <c r="Q239" i="214"/>
  <c r="Q240" i="214"/>
  <c r="Q21" i="214"/>
  <c r="Q215" i="217"/>
  <c r="Q133" i="217" s="1"/>
  <c r="T140" i="219"/>
  <c r="T248" i="217"/>
  <c r="T247" i="217"/>
  <c r="S145" i="219"/>
  <c r="T122" i="219"/>
  <c r="T145" i="219" s="1"/>
  <c r="S35" i="217"/>
  <c r="S197" i="217"/>
  <c r="S28" i="217" s="1"/>
  <c r="Q66" i="217"/>
  <c r="Q51" i="217"/>
  <c r="T123" i="217"/>
  <c r="S205" i="217"/>
  <c r="S131" i="217"/>
  <c r="R65" i="217"/>
  <c r="Q48" i="217"/>
  <c r="T220" i="214"/>
  <c r="T223" i="217"/>
  <c r="T223" i="219"/>
  <c r="Q150" i="217"/>
  <c r="P161" i="214"/>
  <c r="O163" i="214"/>
  <c r="O166" i="214" s="1"/>
  <c r="O9" i="219"/>
  <c r="O52" i="219"/>
  <c r="O18" i="219" s="1"/>
  <c r="P168" i="217"/>
  <c r="Q168" i="217" s="1"/>
  <c r="S224" i="217"/>
  <c r="S103" i="217" s="1"/>
  <c r="S227" i="217"/>
  <c r="S228" i="217" s="1"/>
  <c r="S47" i="217" s="1"/>
  <c r="S225" i="217"/>
  <c r="S86" i="217"/>
  <c r="S240" i="217" s="1"/>
  <c r="T245" i="214"/>
  <c r="T244" i="214"/>
  <c r="P66" i="219"/>
  <c r="O79" i="217"/>
  <c r="S132" i="217"/>
  <c r="R234" i="214"/>
  <c r="R235" i="214"/>
  <c r="S73" i="214"/>
  <c r="R85" i="219"/>
  <c r="P242" i="219"/>
  <c r="P243" i="219"/>
  <c r="P21" i="219"/>
  <c r="Q215" i="219"/>
  <c r="Q133" i="219" s="1"/>
  <c r="Q78" i="219" s="1"/>
  <c r="T35" i="217"/>
  <c r="T197" i="217"/>
  <c r="T28" i="217" s="1"/>
  <c r="S238" i="217"/>
  <c r="T73" i="217"/>
  <c r="S237" i="217"/>
  <c r="P49" i="217"/>
  <c r="Q49" i="217" s="1"/>
  <c r="N119" i="214"/>
  <c r="M142" i="214"/>
  <c r="R237" i="214"/>
  <c r="S200" i="214"/>
  <c r="T200" i="214" s="1"/>
  <c r="T129" i="219"/>
  <c r="T196" i="219"/>
  <c r="T197" i="219" s="1"/>
  <c r="T28" i="219" s="1"/>
  <c r="P16" i="214"/>
  <c r="P14" i="214"/>
  <c r="U255" i="212"/>
  <c r="V244" i="212"/>
  <c r="T79" i="214"/>
  <c r="T80" i="214" s="1"/>
  <c r="T12" i="214" s="1"/>
  <c r="T11" i="214" s="1"/>
  <c r="S80" i="214"/>
  <c r="S12" i="214" s="1"/>
  <c r="S11" i="214" s="1"/>
  <c r="P15" i="219"/>
  <c r="Q48" i="219"/>
  <c r="P50" i="219"/>
  <c r="P257" i="217"/>
  <c r="P256" i="217"/>
  <c r="S225" i="219"/>
  <c r="S227" i="219"/>
  <c r="S228" i="219" s="1"/>
  <c r="S47" i="219" s="1"/>
  <c r="S224" i="219"/>
  <c r="S102" i="219" s="1"/>
  <c r="N159" i="219"/>
  <c r="K202" i="219"/>
  <c r="P55" i="217"/>
  <c r="Q55" i="217" s="1"/>
  <c r="N120" i="214"/>
  <c r="M202" i="214"/>
  <c r="O159" i="217"/>
  <c r="S85" i="217"/>
  <c r="T85" i="217" s="1"/>
  <c r="R74" i="219"/>
  <c r="R240" i="219"/>
  <c r="Q66" i="214"/>
  <c r="P67" i="214"/>
  <c r="R65" i="214"/>
  <c r="S128" i="214"/>
  <c r="S129" i="214" s="1"/>
  <c r="R15" i="214"/>
  <c r="Q78" i="217"/>
  <c r="S141" i="219"/>
  <c r="T141" i="219" s="1"/>
  <c r="Q150" i="219"/>
  <c r="T86" i="214"/>
  <c r="T101" i="217"/>
  <c r="N151" i="214"/>
  <c r="Q147" i="214"/>
  <c r="T122" i="217"/>
  <c r="T145" i="217" s="1"/>
  <c r="S145" i="217"/>
  <c r="Q15" i="217"/>
  <c r="R15" i="217" s="1"/>
  <c r="R74" i="214"/>
  <c r="S130" i="219"/>
  <c r="S148" i="219" s="1"/>
  <c r="S205" i="219"/>
  <c r="T123" i="219"/>
  <c r="T205" i="219" s="1"/>
  <c r="T174" i="219"/>
  <c r="Q51" i="219"/>
  <c r="Q65" i="219"/>
  <c r="R131" i="219"/>
  <c r="Q15" i="219"/>
  <c r="S209" i="214"/>
  <c r="R210" i="214"/>
  <c r="R102" i="217"/>
  <c r="Q106" i="217"/>
  <c r="Q107" i="217" s="1"/>
  <c r="O79" i="219"/>
  <c r="N80" i="219"/>
  <c r="N12" i="219" s="1"/>
  <c r="T250" i="214"/>
  <c r="T249" i="214"/>
  <c r="P164" i="217"/>
  <c r="O166" i="217"/>
  <c r="O169" i="217" s="1"/>
  <c r="Q168" i="219"/>
  <c r="Q106" i="219"/>
  <c r="T90" i="217"/>
  <c r="P199" i="217"/>
  <c r="Q199" i="217" s="1"/>
  <c r="Q63" i="217" l="1"/>
  <c r="S50" i="214"/>
  <c r="Q256" i="217"/>
  <c r="Q257" i="217"/>
  <c r="Q21" i="217"/>
  <c r="S74" i="214"/>
  <c r="S74" i="219"/>
  <c r="K204" i="219"/>
  <c r="K27" i="219"/>
  <c r="L111" i="219"/>
  <c r="L11" i="219" s="1"/>
  <c r="L13" i="219" s="1"/>
  <c r="P52" i="219"/>
  <c r="P18" i="219" s="1"/>
  <c r="P9" i="219"/>
  <c r="T238" i="217"/>
  <c r="T237" i="217"/>
  <c r="T224" i="214"/>
  <c r="T225" i="214" s="1"/>
  <c r="T47" i="214" s="1"/>
  <c r="T50" i="214" s="1"/>
  <c r="T221" i="214"/>
  <c r="T222" i="214"/>
  <c r="T131" i="217"/>
  <c r="S65" i="217"/>
  <c r="S15" i="217"/>
  <c r="K199" i="214"/>
  <c r="R52" i="214"/>
  <c r="R18" i="214" s="1"/>
  <c r="R19" i="214" s="1"/>
  <c r="R9" i="214"/>
  <c r="R10" i="214" s="1"/>
  <c r="R13" i="214" s="1"/>
  <c r="S102" i="217"/>
  <c r="R106" i="217"/>
  <c r="R21" i="217" s="1"/>
  <c r="N202" i="214"/>
  <c r="O120" i="214"/>
  <c r="R48" i="219"/>
  <c r="S77" i="214"/>
  <c r="S234" i="214"/>
  <c r="S235" i="214"/>
  <c r="T73" i="214"/>
  <c r="T132" i="217"/>
  <c r="Q66" i="219"/>
  <c r="T86" i="217"/>
  <c r="R168" i="217"/>
  <c r="Q161" i="214"/>
  <c r="P163" i="214"/>
  <c r="P166" i="214" s="1"/>
  <c r="R150" i="217"/>
  <c r="S103" i="219"/>
  <c r="S106" i="219" s="1"/>
  <c r="Q107" i="219"/>
  <c r="N156" i="214"/>
  <c r="W230" i="212"/>
  <c r="V257" i="212"/>
  <c r="V241" i="212"/>
  <c r="V259" i="212"/>
  <c r="T212" i="219"/>
  <c r="S213" i="219"/>
  <c r="S214" i="219"/>
  <c r="Q242" i="219"/>
  <c r="Q243" i="219"/>
  <c r="Q21" i="219"/>
  <c r="R215" i="217"/>
  <c r="R133" i="217" s="1"/>
  <c r="R78" i="217" s="1"/>
  <c r="Q164" i="217"/>
  <c r="P166" i="217"/>
  <c r="P169" i="217" s="1"/>
  <c r="R65" i="219"/>
  <c r="S131" i="219"/>
  <c r="R15" i="219"/>
  <c r="S203" i="219"/>
  <c r="R150" i="219"/>
  <c r="R66" i="214"/>
  <c r="Q67" i="214"/>
  <c r="R55" i="217"/>
  <c r="V255" i="212"/>
  <c r="W244" i="212"/>
  <c r="N160" i="219"/>
  <c r="O154" i="219" s="1"/>
  <c r="R77" i="214"/>
  <c r="P79" i="217"/>
  <c r="O80" i="217"/>
  <c r="O12" i="217" s="1"/>
  <c r="T227" i="219"/>
  <c r="T228" i="219" s="1"/>
  <c r="T47" i="219" s="1"/>
  <c r="T224" i="219"/>
  <c r="T102" i="219" s="1"/>
  <c r="T225" i="219"/>
  <c r="P50" i="217"/>
  <c r="T205" i="217"/>
  <c r="Q49" i="219"/>
  <c r="Q50" i="219" s="1"/>
  <c r="Q63" i="219"/>
  <c r="Q16" i="214"/>
  <c r="Q14" i="214"/>
  <c r="Q55" i="219"/>
  <c r="Q164" i="219"/>
  <c r="P166" i="219"/>
  <c r="P169" i="219" s="1"/>
  <c r="S214" i="217"/>
  <c r="S213" i="217"/>
  <c r="T212" i="217"/>
  <c r="R243" i="217"/>
  <c r="R242" i="217"/>
  <c r="R257" i="219"/>
  <c r="R256" i="219"/>
  <c r="Q257" i="219"/>
  <c r="Q256" i="219"/>
  <c r="P79" i="219"/>
  <c r="O80" i="219"/>
  <c r="O12" i="219" s="1"/>
  <c r="T209" i="214"/>
  <c r="T210" i="214" s="1"/>
  <c r="S210" i="214"/>
  <c r="R147" i="214"/>
  <c r="S65" i="214"/>
  <c r="T128" i="214"/>
  <c r="S15" i="214"/>
  <c r="P159" i="217"/>
  <c r="T130" i="219"/>
  <c r="T148" i="219" s="1"/>
  <c r="N142" i="214"/>
  <c r="O119" i="214"/>
  <c r="R132" i="219"/>
  <c r="S132" i="219" s="1"/>
  <c r="T227" i="217"/>
  <c r="T228" i="217" s="1"/>
  <c r="T47" i="217" s="1"/>
  <c r="T224" i="217"/>
  <c r="T103" i="217" s="1"/>
  <c r="T225" i="217"/>
  <c r="R48" i="217"/>
  <c r="Q50" i="217"/>
  <c r="R51" i="217"/>
  <c r="Q199" i="219"/>
  <c r="R63" i="217"/>
  <c r="K27" i="217"/>
  <c r="K204" i="217"/>
  <c r="L111" i="217"/>
  <c r="L11" i="217" s="1"/>
  <c r="L13" i="217" s="1"/>
  <c r="R215" i="219"/>
  <c r="R133" i="219" s="1"/>
  <c r="R78" i="219" s="1"/>
  <c r="S73" i="219"/>
  <c r="R238" i="219"/>
  <c r="R237" i="219"/>
  <c r="R77" i="219"/>
  <c r="O160" i="217"/>
  <c r="P154" i="217" s="1"/>
  <c r="S74" i="217"/>
  <c r="T86" i="219"/>
  <c r="S85" i="214"/>
  <c r="T85" i="214" s="1"/>
  <c r="R199" i="217" l="1"/>
  <c r="R107" i="219"/>
  <c r="R63" i="219"/>
  <c r="R49" i="217"/>
  <c r="Q52" i="219"/>
  <c r="Q18" i="219" s="1"/>
  <c r="Q9" i="219"/>
  <c r="T240" i="217"/>
  <c r="T74" i="217"/>
  <c r="T77" i="217" s="1"/>
  <c r="S77" i="217"/>
  <c r="Q52" i="217"/>
  <c r="Q18" i="217" s="1"/>
  <c r="Q9" i="217"/>
  <c r="P52" i="217"/>
  <c r="P18" i="217" s="1"/>
  <c r="P9" i="217"/>
  <c r="S150" i="219"/>
  <c r="T131" i="219"/>
  <c r="S65" i="219"/>
  <c r="S15" i="219"/>
  <c r="R164" i="217"/>
  <c r="Q166" i="217"/>
  <c r="Q169" i="217" s="1"/>
  <c r="T213" i="219"/>
  <c r="T214" i="219"/>
  <c r="R66" i="217"/>
  <c r="R161" i="214"/>
  <c r="Q163" i="214"/>
  <c r="Q166" i="214" s="1"/>
  <c r="R66" i="219"/>
  <c r="T102" i="217"/>
  <c r="T106" i="217" s="1"/>
  <c r="S106" i="217"/>
  <c r="R16" i="214"/>
  <c r="R14" i="214"/>
  <c r="L16" i="219"/>
  <c r="L14" i="219"/>
  <c r="T74" i="219"/>
  <c r="R51" i="219"/>
  <c r="R168" i="219"/>
  <c r="L14" i="217"/>
  <c r="L16" i="217"/>
  <c r="S48" i="217"/>
  <c r="R50" i="217"/>
  <c r="T65" i="214"/>
  <c r="S147" i="214"/>
  <c r="Q79" i="219"/>
  <c r="P80" i="219"/>
  <c r="P12" i="219" s="1"/>
  <c r="T214" i="217"/>
  <c r="T213" i="217"/>
  <c r="R164" i="219"/>
  <c r="Q166" i="219"/>
  <c r="Q169" i="219" s="1"/>
  <c r="X230" i="212"/>
  <c r="W241" i="212"/>
  <c r="W259" i="212"/>
  <c r="W257" i="212"/>
  <c r="S240" i="214"/>
  <c r="S21" i="214"/>
  <c r="S48" i="219"/>
  <c r="R107" i="217"/>
  <c r="S257" i="219"/>
  <c r="S256" i="219"/>
  <c r="T129" i="214"/>
  <c r="T15" i="214" s="1"/>
  <c r="P160" i="217"/>
  <c r="Q154" i="217" s="1"/>
  <c r="S237" i="219"/>
  <c r="T73" i="219"/>
  <c r="S77" i="219"/>
  <c r="S238" i="219"/>
  <c r="L110" i="217"/>
  <c r="L20" i="217" s="1"/>
  <c r="L23" i="217" s="1"/>
  <c r="L209" i="217" s="1"/>
  <c r="K206" i="217"/>
  <c r="K34" i="217"/>
  <c r="K36" i="217" s="1"/>
  <c r="K43" i="217" s="1"/>
  <c r="R199" i="219"/>
  <c r="T132" i="219"/>
  <c r="T203" i="219"/>
  <c r="R55" i="219"/>
  <c r="R49" i="219"/>
  <c r="R50" i="219" s="1"/>
  <c r="Q79" i="217"/>
  <c r="P80" i="217"/>
  <c r="P12" i="217" s="1"/>
  <c r="X244" i="212"/>
  <c r="W255" i="212"/>
  <c r="S66" i="214"/>
  <c r="R67" i="214"/>
  <c r="S215" i="219"/>
  <c r="S133" i="219" s="1"/>
  <c r="S78" i="219" s="1"/>
  <c r="T103" i="219"/>
  <c r="T106" i="219" s="1"/>
  <c r="S150" i="217"/>
  <c r="T234" i="214"/>
  <c r="T235" i="214"/>
  <c r="S85" i="219"/>
  <c r="T85" i="219" s="1"/>
  <c r="O159" i="219"/>
  <c r="O160" i="219" s="1"/>
  <c r="P154" i="219" s="1"/>
  <c r="N157" i="214"/>
  <c r="K27" i="214"/>
  <c r="K201" i="214"/>
  <c r="L108" i="214"/>
  <c r="K206" i="219"/>
  <c r="L110" i="219"/>
  <c r="L20" i="219" s="1"/>
  <c r="L23" i="219" s="1"/>
  <c r="L209" i="219" s="1"/>
  <c r="K34" i="219"/>
  <c r="K36" i="219" s="1"/>
  <c r="K43" i="219" s="1"/>
  <c r="T74" i="214"/>
  <c r="T77" i="214" s="1"/>
  <c r="T237" i="214"/>
  <c r="S9" i="214"/>
  <c r="S10" i="214" s="1"/>
  <c r="S13" i="214" s="1"/>
  <c r="S52" i="214"/>
  <c r="S18" i="214" s="1"/>
  <c r="S19" i="214" s="1"/>
  <c r="R243" i="219"/>
  <c r="R242" i="219"/>
  <c r="R21" i="219"/>
  <c r="K175" i="217"/>
  <c r="O142" i="214"/>
  <c r="P119" i="214"/>
  <c r="Q159" i="217"/>
  <c r="S215" i="217"/>
  <c r="S133" i="217" s="1"/>
  <c r="S78" i="217" s="1"/>
  <c r="R240" i="214"/>
  <c r="R239" i="214"/>
  <c r="R21" i="214"/>
  <c r="S107" i="219"/>
  <c r="O202" i="214"/>
  <c r="P120" i="214"/>
  <c r="R256" i="217"/>
  <c r="R257" i="217"/>
  <c r="T65" i="217"/>
  <c r="T15" i="217"/>
  <c r="S240" i="219"/>
  <c r="S237" i="214"/>
  <c r="S239" i="214" s="1"/>
  <c r="T9" i="214"/>
  <c r="T10" i="214" s="1"/>
  <c r="T13" i="214" s="1"/>
  <c r="T52" i="214"/>
  <c r="T18" i="214" s="1"/>
  <c r="T19" i="214" s="1"/>
  <c r="S49" i="217" l="1"/>
  <c r="T240" i="214"/>
  <c r="T239" i="214"/>
  <c r="T21" i="214"/>
  <c r="T256" i="219"/>
  <c r="T257" i="219"/>
  <c r="R9" i="219"/>
  <c r="R52" i="219"/>
  <c r="R18" i="219" s="1"/>
  <c r="T14" i="214"/>
  <c r="T16" i="214"/>
  <c r="Q120" i="214"/>
  <c r="P202" i="214"/>
  <c r="K31" i="219"/>
  <c r="K30" i="219"/>
  <c r="K37" i="219" s="1"/>
  <c r="K29" i="214"/>
  <c r="K42" i="214" s="1"/>
  <c r="T150" i="217"/>
  <c r="X255" i="212"/>
  <c r="Y244" i="212"/>
  <c r="S55" i="219"/>
  <c r="S243" i="219"/>
  <c r="S242" i="219"/>
  <c r="S21" i="219"/>
  <c r="K175" i="219"/>
  <c r="S63" i="217"/>
  <c r="S51" i="219"/>
  <c r="T257" i="217"/>
  <c r="T256" i="217"/>
  <c r="S161" i="214"/>
  <c r="R163" i="214"/>
  <c r="R166" i="214" s="1"/>
  <c r="T65" i="219"/>
  <c r="T15" i="219"/>
  <c r="S51" i="217"/>
  <c r="O151" i="214"/>
  <c r="K30" i="217"/>
  <c r="K37" i="217" s="1"/>
  <c r="K31" i="217"/>
  <c r="T77" i="219"/>
  <c r="T238" i="219"/>
  <c r="T237" i="219"/>
  <c r="T48" i="219"/>
  <c r="S168" i="217"/>
  <c r="Y230" i="212"/>
  <c r="X241" i="212"/>
  <c r="X259" i="212"/>
  <c r="X257" i="212"/>
  <c r="S164" i="219"/>
  <c r="R166" i="219"/>
  <c r="R169" i="219" s="1"/>
  <c r="R79" i="219"/>
  <c r="Q80" i="219"/>
  <c r="Q12" i="219" s="1"/>
  <c r="T240" i="219"/>
  <c r="S66" i="217"/>
  <c r="S164" i="217"/>
  <c r="R166" i="217"/>
  <c r="R169" i="217" s="1"/>
  <c r="K176" i="217"/>
  <c r="K26" i="217" s="1"/>
  <c r="K29" i="217" s="1"/>
  <c r="K42" i="217" s="1"/>
  <c r="P159" i="219"/>
  <c r="S67" i="214"/>
  <c r="T66" i="214"/>
  <c r="T67" i="214" s="1"/>
  <c r="R79" i="217"/>
  <c r="Q80" i="217"/>
  <c r="Q12" i="217" s="1"/>
  <c r="L144" i="217"/>
  <c r="S199" i="217"/>
  <c r="R9" i="217"/>
  <c r="R52" i="217"/>
  <c r="R18" i="217" s="1"/>
  <c r="S66" i="219"/>
  <c r="T215" i="219"/>
  <c r="T133" i="219" s="1"/>
  <c r="T78" i="219" s="1"/>
  <c r="T150" i="219"/>
  <c r="S243" i="217"/>
  <c r="S242" i="217"/>
  <c r="S21" i="217"/>
  <c r="T107" i="219"/>
  <c r="P142" i="214"/>
  <c r="Q119" i="214"/>
  <c r="S14" i="214"/>
  <c r="S16" i="214"/>
  <c r="L144" i="219"/>
  <c r="L107" i="214"/>
  <c r="L20" i="214" s="1"/>
  <c r="L23" i="214" s="1"/>
  <c r="L206" i="214" s="1"/>
  <c r="L141" i="214" s="1"/>
  <c r="K34" i="214"/>
  <c r="K36" i="214" s="1"/>
  <c r="K43" i="214" s="1"/>
  <c r="K203" i="214"/>
  <c r="S49" i="219"/>
  <c r="T49" i="219" s="1"/>
  <c r="S199" i="219"/>
  <c r="T199" i="219" s="1"/>
  <c r="Q160" i="217"/>
  <c r="R154" i="217" s="1"/>
  <c r="R159" i="217" s="1"/>
  <c r="S107" i="217"/>
  <c r="S63" i="219"/>
  <c r="T63" i="219" s="1"/>
  <c r="T215" i="217"/>
  <c r="T133" i="217" s="1"/>
  <c r="T78" i="217" s="1"/>
  <c r="T147" i="214"/>
  <c r="T48" i="217"/>
  <c r="S50" i="217"/>
  <c r="S168" i="219"/>
  <c r="T168" i="219" s="1"/>
  <c r="S256" i="217"/>
  <c r="S257" i="217"/>
  <c r="S55" i="217"/>
  <c r="T243" i="217"/>
  <c r="T242" i="217"/>
  <c r="T21" i="217"/>
  <c r="L147" i="219" l="1"/>
  <c r="M60" i="219"/>
  <c r="M64" i="219" s="1"/>
  <c r="Q142" i="214"/>
  <c r="R119" i="214"/>
  <c r="L147" i="217"/>
  <c r="M60" i="217"/>
  <c r="M64" i="217" s="1"/>
  <c r="T66" i="217"/>
  <c r="T50" i="219"/>
  <c r="O157" i="214"/>
  <c r="O156" i="214"/>
  <c r="K38" i="219"/>
  <c r="K6" i="219"/>
  <c r="T107" i="217"/>
  <c r="K31" i="214"/>
  <c r="K30" i="214"/>
  <c r="K37" i="214" s="1"/>
  <c r="T164" i="219"/>
  <c r="T166" i="219" s="1"/>
  <c r="T169" i="219" s="1"/>
  <c r="S166" i="219"/>
  <c r="S169" i="219" s="1"/>
  <c r="Z230" i="212"/>
  <c r="Y241" i="212"/>
  <c r="Y259" i="212"/>
  <c r="Y257" i="212"/>
  <c r="K38" i="217"/>
  <c r="K6" i="217"/>
  <c r="T51" i="217"/>
  <c r="K176" i="219"/>
  <c r="K26" i="219" s="1"/>
  <c r="K29" i="219" s="1"/>
  <c r="K42" i="219" s="1"/>
  <c r="T55" i="219"/>
  <c r="T55" i="217"/>
  <c r="S9" i="217"/>
  <c r="S52" i="217"/>
  <c r="S18" i="217" s="1"/>
  <c r="R160" i="217"/>
  <c r="S154" i="217" s="1"/>
  <c r="S79" i="217"/>
  <c r="R80" i="217"/>
  <c r="R12" i="217" s="1"/>
  <c r="T49" i="217"/>
  <c r="T164" i="217"/>
  <c r="T166" i="217" s="1"/>
  <c r="S166" i="217"/>
  <c r="S169" i="217" s="1"/>
  <c r="T168" i="217"/>
  <c r="T51" i="219"/>
  <c r="Z244" i="212"/>
  <c r="Y255" i="212"/>
  <c r="T50" i="217"/>
  <c r="L144" i="214"/>
  <c r="M60" i="214"/>
  <c r="M64" i="214" s="1"/>
  <c r="T66" i="219"/>
  <c r="T199" i="217"/>
  <c r="R80" i="219"/>
  <c r="R12" i="219" s="1"/>
  <c r="S79" i="219"/>
  <c r="S50" i="219"/>
  <c r="T243" i="219"/>
  <c r="T242" i="219"/>
  <c r="T21" i="219"/>
  <c r="T161" i="214"/>
  <c r="T163" i="214" s="1"/>
  <c r="T166" i="214" s="1"/>
  <c r="S163" i="214"/>
  <c r="S166" i="214" s="1"/>
  <c r="T63" i="217"/>
  <c r="K172" i="214"/>
  <c r="R120" i="214"/>
  <c r="Q202" i="214"/>
  <c r="P160" i="219"/>
  <c r="Q154" i="219" s="1"/>
  <c r="Q159" i="219" s="1"/>
  <c r="T169" i="217" l="1"/>
  <c r="R159" i="219"/>
  <c r="T52" i="217"/>
  <c r="T18" i="217" s="1"/>
  <c r="T9" i="217"/>
  <c r="Z255" i="212"/>
  <c r="AA244" i="212"/>
  <c r="M67" i="219"/>
  <c r="M10" i="219" s="1"/>
  <c r="M19" i="219"/>
  <c r="S80" i="217"/>
  <c r="S12" i="217" s="1"/>
  <c r="T79" i="217"/>
  <c r="T80" i="217" s="1"/>
  <c r="T12" i="217" s="1"/>
  <c r="K6" i="214"/>
  <c r="K38" i="214"/>
  <c r="P156" i="214"/>
  <c r="S120" i="214"/>
  <c r="R202" i="214"/>
  <c r="S52" i="219"/>
  <c r="S18" i="219" s="1"/>
  <c r="S9" i="219"/>
  <c r="P151" i="214"/>
  <c r="M67" i="217"/>
  <c r="M10" i="217" s="1"/>
  <c r="M19" i="217"/>
  <c r="S119" i="214"/>
  <c r="R142" i="214"/>
  <c r="L33" i="219"/>
  <c r="L151" i="219"/>
  <c r="Q160" i="219"/>
  <c r="R154" i="219" s="1"/>
  <c r="K173" i="214"/>
  <c r="S80" i="219"/>
  <c r="S12" i="219" s="1"/>
  <c r="T79" i="219"/>
  <c r="T80" i="219" s="1"/>
  <c r="T12" i="219" s="1"/>
  <c r="L33" i="214"/>
  <c r="L148" i="214"/>
  <c r="L26" i="214" s="1"/>
  <c r="S160" i="217"/>
  <c r="T154" i="217" s="1"/>
  <c r="AA230" i="212"/>
  <c r="Z241" i="212"/>
  <c r="Z259" i="212"/>
  <c r="Z257" i="212"/>
  <c r="T52" i="219"/>
  <c r="T18" i="219" s="1"/>
  <c r="T9" i="219"/>
  <c r="L33" i="217"/>
  <c r="L151" i="217"/>
  <c r="S159" i="217"/>
  <c r="L202" i="217" l="1"/>
  <c r="R160" i="219"/>
  <c r="S154" i="219" s="1"/>
  <c r="T119" i="214"/>
  <c r="T142" i="214" s="1"/>
  <c r="S142" i="214"/>
  <c r="P157" i="214"/>
  <c r="T120" i="214"/>
  <c r="T202" i="214" s="1"/>
  <c r="S202" i="214"/>
  <c r="L199" i="214"/>
  <c r="AA255" i="212"/>
  <c r="AB244" i="212"/>
  <c r="T159" i="217"/>
  <c r="T160" i="217" s="1"/>
  <c r="AB230" i="212"/>
  <c r="AA241" i="212"/>
  <c r="AA259" i="212"/>
  <c r="AA257" i="212"/>
  <c r="L202" i="219"/>
  <c r="S159" i="219"/>
  <c r="Q151" i="214" l="1"/>
  <c r="L204" i="219"/>
  <c r="L27" i="219"/>
  <c r="M111" i="219"/>
  <c r="M11" i="219" s="1"/>
  <c r="M13" i="219" s="1"/>
  <c r="L27" i="214"/>
  <c r="L201" i="214"/>
  <c r="M108" i="214"/>
  <c r="AC230" i="212"/>
  <c r="AB257" i="212"/>
  <c r="AB241" i="212"/>
  <c r="AB259" i="212"/>
  <c r="AC244" i="212"/>
  <c r="AB255" i="212"/>
  <c r="L204" i="217"/>
  <c r="L27" i="217"/>
  <c r="M111" i="217"/>
  <c r="M11" i="217" s="1"/>
  <c r="M13" i="217" s="1"/>
  <c r="S160" i="219"/>
  <c r="T154" i="219" s="1"/>
  <c r="M107" i="214" l="1"/>
  <c r="M20" i="214" s="1"/>
  <c r="M23" i="214" s="1"/>
  <c r="M206" i="214" s="1"/>
  <c r="M141" i="214" s="1"/>
  <c r="L203" i="214"/>
  <c r="L34" i="214"/>
  <c r="L36" i="214" s="1"/>
  <c r="L43" i="214" s="1"/>
  <c r="L206" i="219"/>
  <c r="M110" i="219"/>
  <c r="M20" i="219" s="1"/>
  <c r="M23" i="219" s="1"/>
  <c r="M209" i="219" s="1"/>
  <c r="L34" i="219"/>
  <c r="L36" i="219" s="1"/>
  <c r="L43" i="219" s="1"/>
  <c r="L172" i="214"/>
  <c r="L29" i="214"/>
  <c r="L42" i="214" s="1"/>
  <c r="M110" i="217"/>
  <c r="M20" i="217" s="1"/>
  <c r="M23" i="217" s="1"/>
  <c r="M209" i="217" s="1"/>
  <c r="L206" i="217"/>
  <c r="L34" i="217"/>
  <c r="L36" i="217" s="1"/>
  <c r="L43" i="217" s="1"/>
  <c r="M14" i="217"/>
  <c r="M16" i="217"/>
  <c r="AD244" i="212"/>
  <c r="AC255" i="212"/>
  <c r="AD230" i="212"/>
  <c r="AC259" i="212"/>
  <c r="AC257" i="212"/>
  <c r="AC241" i="212"/>
  <c r="M16" i="219"/>
  <c r="M14" i="219"/>
  <c r="Q156" i="214"/>
  <c r="L175" i="219"/>
  <c r="T159" i="219"/>
  <c r="T160" i="219" s="1"/>
  <c r="L173" i="214" l="1"/>
  <c r="L31" i="219"/>
  <c r="L30" i="219"/>
  <c r="L37" i="219" s="1"/>
  <c r="Q157" i="214"/>
  <c r="AE244" i="212"/>
  <c r="AD255" i="212"/>
  <c r="L31" i="217"/>
  <c r="L30" i="217"/>
  <c r="L37" i="217" s="1"/>
  <c r="L176" i="219"/>
  <c r="L26" i="219" s="1"/>
  <c r="L29" i="219" s="1"/>
  <c r="L42" i="219" s="1"/>
  <c r="M144" i="217"/>
  <c r="L30" i="214"/>
  <c r="L37" i="214" s="1"/>
  <c r="L31" i="214"/>
  <c r="L175" i="217"/>
  <c r="AE230" i="212"/>
  <c r="AD241" i="212"/>
  <c r="AD259" i="212"/>
  <c r="AD257" i="212"/>
  <c r="M144" i="219"/>
  <c r="M144" i="214"/>
  <c r="N60" i="214"/>
  <c r="N64" i="214" s="1"/>
  <c r="M147" i="219" l="1"/>
  <c r="N60" i="219"/>
  <c r="N64" i="219" s="1"/>
  <c r="L176" i="217"/>
  <c r="L26" i="217" s="1"/>
  <c r="L29" i="217" s="1"/>
  <c r="L42" i="217" s="1"/>
  <c r="AF244" i="212"/>
  <c r="AE255" i="212"/>
  <c r="AF230" i="212"/>
  <c r="AE241" i="212"/>
  <c r="AE259" i="212"/>
  <c r="AE257" i="212"/>
  <c r="M147" i="217"/>
  <c r="N60" i="217"/>
  <c r="N64" i="217" s="1"/>
  <c r="L38" i="217"/>
  <c r="L6" i="217"/>
  <c r="R151" i="214"/>
  <c r="M33" i="214"/>
  <c r="M148" i="214"/>
  <c r="M26" i="214" s="1"/>
  <c r="L38" i="214"/>
  <c r="L6" i="214"/>
  <c r="L38" i="219"/>
  <c r="L6" i="219"/>
  <c r="AG230" i="212" l="1"/>
  <c r="AF259" i="212"/>
  <c r="AF257" i="212"/>
  <c r="AF241" i="212"/>
  <c r="N67" i="219"/>
  <c r="N10" i="219" s="1"/>
  <c r="N19" i="219"/>
  <c r="R156" i="214"/>
  <c r="N67" i="217"/>
  <c r="N10" i="217" s="1"/>
  <c r="N19" i="217"/>
  <c r="AF255" i="212"/>
  <c r="AG244" i="212"/>
  <c r="M199" i="214"/>
  <c r="M33" i="217"/>
  <c r="M151" i="217"/>
  <c r="M33" i="219"/>
  <c r="M151" i="219"/>
  <c r="M202" i="219" l="1"/>
  <c r="AH244" i="212"/>
  <c r="AG255" i="212"/>
  <c r="M202" i="217"/>
  <c r="R157" i="214"/>
  <c r="M201" i="214"/>
  <c r="M27" i="214"/>
  <c r="N108" i="214"/>
  <c r="AH230" i="212"/>
  <c r="AG241" i="212"/>
  <c r="AG259" i="212"/>
  <c r="AG257" i="212"/>
  <c r="AI230" i="212" l="1"/>
  <c r="AH241" i="212"/>
  <c r="AH259" i="212"/>
  <c r="AH257" i="212"/>
  <c r="M29" i="214"/>
  <c r="M42" i="214" s="1"/>
  <c r="S151" i="214"/>
  <c r="N107" i="214"/>
  <c r="N20" i="214" s="1"/>
  <c r="N23" i="214" s="1"/>
  <c r="N206" i="214" s="1"/>
  <c r="N141" i="214" s="1"/>
  <c r="M34" i="214"/>
  <c r="M36" i="214" s="1"/>
  <c r="M43" i="214" s="1"/>
  <c r="M203" i="214"/>
  <c r="M27" i="217"/>
  <c r="M204" i="217"/>
  <c r="N111" i="217"/>
  <c r="N11" i="217" s="1"/>
  <c r="N13" i="217" s="1"/>
  <c r="AI244" i="212"/>
  <c r="AH255" i="212"/>
  <c r="M204" i="219"/>
  <c r="M27" i="219"/>
  <c r="N111" i="219"/>
  <c r="N11" i="219" s="1"/>
  <c r="N13" i="219" s="1"/>
  <c r="N16" i="219" l="1"/>
  <c r="N14" i="219"/>
  <c r="AJ244" i="212"/>
  <c r="AI255" i="212"/>
  <c r="M30" i="214"/>
  <c r="M37" i="214" s="1"/>
  <c r="M31" i="214"/>
  <c r="S156" i="214"/>
  <c r="N16" i="217"/>
  <c r="N14" i="217"/>
  <c r="M206" i="219"/>
  <c r="N110" i="219"/>
  <c r="N20" i="219" s="1"/>
  <c r="N23" i="219" s="1"/>
  <c r="N209" i="219" s="1"/>
  <c r="M34" i="219"/>
  <c r="M36" i="219" s="1"/>
  <c r="M43" i="219" s="1"/>
  <c r="N110" i="217"/>
  <c r="N20" i="217" s="1"/>
  <c r="N23" i="217" s="1"/>
  <c r="N209" i="217" s="1"/>
  <c r="M34" i="217"/>
  <c r="M36" i="217" s="1"/>
  <c r="M43" i="217" s="1"/>
  <c r="M206" i="217"/>
  <c r="N144" i="214"/>
  <c r="O60" i="214"/>
  <c r="O64" i="214" s="1"/>
  <c r="M172" i="214"/>
  <c r="AJ230" i="212"/>
  <c r="AI257" i="212"/>
  <c r="AI241" i="212"/>
  <c r="AI259" i="212"/>
  <c r="M175" i="219" l="1"/>
  <c r="M176" i="219" s="1"/>
  <c r="M26" i="219" s="1"/>
  <c r="M29" i="219" s="1"/>
  <c r="M42" i="219" s="1"/>
  <c r="M175" i="217"/>
  <c r="M176" i="217" s="1"/>
  <c r="M26" i="217" s="1"/>
  <c r="M29" i="217" s="1"/>
  <c r="M42" i="217" s="1"/>
  <c r="AK230" i="212"/>
  <c r="AJ241" i="212"/>
  <c r="AJ259" i="212"/>
  <c r="AJ257" i="212"/>
  <c r="S157" i="214"/>
  <c r="AK244" i="212"/>
  <c r="AJ255" i="212"/>
  <c r="N33" i="214"/>
  <c r="N148" i="214"/>
  <c r="N26" i="214" s="1"/>
  <c r="M173" i="214"/>
  <c r="M31" i="217"/>
  <c r="M30" i="217"/>
  <c r="M37" i="217" s="1"/>
  <c r="N144" i="219"/>
  <c r="N144" i="217"/>
  <c r="M31" i="219"/>
  <c r="M30" i="219"/>
  <c r="M37" i="219" s="1"/>
  <c r="M6" i="214"/>
  <c r="M38" i="214"/>
  <c r="N147" i="219" l="1"/>
  <c r="O60" i="219"/>
  <c r="O64" i="219" s="1"/>
  <c r="N199" i="214"/>
  <c r="M38" i="217"/>
  <c r="M6" i="217"/>
  <c r="T151" i="214"/>
  <c r="N147" i="217"/>
  <c r="O60" i="217"/>
  <c r="O64" i="217" s="1"/>
  <c r="M38" i="219"/>
  <c r="M6" i="219"/>
  <c r="AL230" i="212"/>
  <c r="AK241" i="212"/>
  <c r="AK259" i="212"/>
  <c r="AK257" i="212"/>
  <c r="AK255" i="212"/>
  <c r="AL244" i="212"/>
  <c r="N33" i="217" l="1"/>
  <c r="N151" i="217"/>
  <c r="AM244" i="212"/>
  <c r="AL255" i="212"/>
  <c r="O67" i="219"/>
  <c r="O10" i="219" s="1"/>
  <c r="O19" i="219"/>
  <c r="N27" i="214"/>
  <c r="N201" i="214"/>
  <c r="O108" i="214"/>
  <c r="AM230" i="212"/>
  <c r="AL241" i="212"/>
  <c r="AL259" i="212"/>
  <c r="AL257" i="212"/>
  <c r="O67" i="217"/>
  <c r="O10" i="217" s="1"/>
  <c r="O19" i="217"/>
  <c r="T157" i="214"/>
  <c r="T156" i="214"/>
  <c r="N33" i="219"/>
  <c r="N151" i="219"/>
  <c r="N203" i="214" l="1"/>
  <c r="O107" i="214"/>
  <c r="O20" i="214" s="1"/>
  <c r="O23" i="214" s="1"/>
  <c r="O206" i="214" s="1"/>
  <c r="O141" i="214" s="1"/>
  <c r="N34" i="214"/>
  <c r="N36" i="214" s="1"/>
  <c r="N43" i="214" s="1"/>
  <c r="N172" i="214"/>
  <c r="N29" i="214"/>
  <c r="N42" i="214" s="1"/>
  <c r="AN244" i="212"/>
  <c r="AM255" i="212"/>
  <c r="N202" i="219"/>
  <c r="AN230" i="212"/>
  <c r="AM257" i="212"/>
  <c r="AM241" i="212"/>
  <c r="AM259" i="212"/>
  <c r="N202" i="217"/>
  <c r="AO244" i="212" l="1"/>
  <c r="AN255" i="212"/>
  <c r="AO230" i="212"/>
  <c r="AN259" i="212"/>
  <c r="AN257" i="212"/>
  <c r="AN241" i="212"/>
  <c r="N173" i="214"/>
  <c r="O144" i="214"/>
  <c r="P60" i="214"/>
  <c r="P64" i="214" s="1"/>
  <c r="N204" i="219"/>
  <c r="N27" i="219"/>
  <c r="O111" i="219"/>
  <c r="O11" i="219" s="1"/>
  <c r="O13" i="219" s="1"/>
  <c r="N204" i="217"/>
  <c r="N27" i="217"/>
  <c r="O111" i="217"/>
  <c r="O11" i="217" s="1"/>
  <c r="O13" i="217" s="1"/>
  <c r="N31" i="214"/>
  <c r="N30" i="214"/>
  <c r="N37" i="214" s="1"/>
  <c r="N206" i="219" l="1"/>
  <c r="O110" i="219"/>
  <c r="O20" i="219" s="1"/>
  <c r="O23" i="219" s="1"/>
  <c r="O209" i="219" s="1"/>
  <c r="N34" i="219"/>
  <c r="N36" i="219" s="1"/>
  <c r="N43" i="219" s="1"/>
  <c r="N38" i="214"/>
  <c r="N6" i="214"/>
  <c r="N206" i="217"/>
  <c r="O110" i="217"/>
  <c r="O20" i="217" s="1"/>
  <c r="O23" i="217" s="1"/>
  <c r="O209" i="217" s="1"/>
  <c r="N34" i="217"/>
  <c r="N36" i="217" s="1"/>
  <c r="N43" i="217" s="1"/>
  <c r="AP230" i="212"/>
  <c r="AO259" i="212"/>
  <c r="AO257" i="212"/>
  <c r="AO241" i="212"/>
  <c r="O16" i="219"/>
  <c r="O14" i="219"/>
  <c r="O33" i="214"/>
  <c r="O148" i="214"/>
  <c r="O26" i="214" s="1"/>
  <c r="O16" i="217"/>
  <c r="O14" i="217"/>
  <c r="AO255" i="212"/>
  <c r="AP244" i="212"/>
  <c r="N30" i="217" l="1"/>
  <c r="N37" i="217" s="1"/>
  <c r="N31" i="217"/>
  <c r="O144" i="219"/>
  <c r="AQ244" i="212"/>
  <c r="AP255" i="212"/>
  <c r="AP241" i="212"/>
  <c r="AQ230" i="212"/>
  <c r="AP259" i="212"/>
  <c r="AP257" i="212"/>
  <c r="N31" i="219"/>
  <c r="N30" i="219"/>
  <c r="N37" i="219" s="1"/>
  <c r="N175" i="219"/>
  <c r="O199" i="214"/>
  <c r="O144" i="217"/>
  <c r="N175" i="217"/>
  <c r="N176" i="217" l="1"/>
  <c r="N26" i="217" s="1"/>
  <c r="N29" i="217" s="1"/>
  <c r="N42" i="217" s="1"/>
  <c r="O201" i="214"/>
  <c r="O27" i="214"/>
  <c r="P108" i="214"/>
  <c r="AR230" i="212"/>
  <c r="AQ257" i="212"/>
  <c r="AQ259" i="212"/>
  <c r="AQ241" i="212"/>
  <c r="O147" i="219"/>
  <c r="P60" i="219"/>
  <c r="P64" i="219" s="1"/>
  <c r="O147" i="217"/>
  <c r="P60" i="217"/>
  <c r="P64" i="217" s="1"/>
  <c r="N176" i="219"/>
  <c r="N26" i="219" s="1"/>
  <c r="N29" i="219" s="1"/>
  <c r="N42" i="219" s="1"/>
  <c r="N38" i="219"/>
  <c r="N6" i="219"/>
  <c r="AR244" i="212"/>
  <c r="AQ255" i="212"/>
  <c r="N38" i="217"/>
  <c r="N6" i="217"/>
  <c r="O29" i="214" l="1"/>
  <c r="O42" i="214" s="1"/>
  <c r="P67" i="217"/>
  <c r="P10" i="217" s="1"/>
  <c r="P19" i="217"/>
  <c r="O33" i="219"/>
  <c r="O151" i="219"/>
  <c r="P107" i="214"/>
  <c r="P20" i="214" s="1"/>
  <c r="P23" i="214" s="1"/>
  <c r="P206" i="214" s="1"/>
  <c r="P141" i="214" s="1"/>
  <c r="O34" i="214"/>
  <c r="O36" i="214" s="1"/>
  <c r="O43" i="214" s="1"/>
  <c r="O203" i="214"/>
  <c r="P67" i="219"/>
  <c r="P10" i="219" s="1"/>
  <c r="P19" i="219"/>
  <c r="AS230" i="212"/>
  <c r="AR241" i="212"/>
  <c r="AR257" i="212"/>
  <c r="AR259" i="212"/>
  <c r="AS244" i="212"/>
  <c r="AR255" i="212"/>
  <c r="O33" i="217"/>
  <c r="O151" i="217"/>
  <c r="AT244" i="212" l="1"/>
  <c r="AS255" i="212"/>
  <c r="P144" i="214"/>
  <c r="Q60" i="214"/>
  <c r="Q64" i="214" s="1"/>
  <c r="AT230" i="212"/>
  <c r="AS259" i="212"/>
  <c r="AS257" i="212"/>
  <c r="AS241" i="212"/>
  <c r="O202" i="217"/>
  <c r="O30" i="214"/>
  <c r="O37" i="214" s="1"/>
  <c r="O31" i="214"/>
  <c r="O202" i="219"/>
  <c r="O172" i="214"/>
  <c r="P33" i="214" l="1"/>
  <c r="P148" i="214"/>
  <c r="P26" i="214" s="1"/>
  <c r="O173" i="214"/>
  <c r="O38" i="214"/>
  <c r="O6" i="214"/>
  <c r="AU230" i="212"/>
  <c r="AT241" i="212"/>
  <c r="AT257" i="212"/>
  <c r="AT259" i="212"/>
  <c r="O204" i="219"/>
  <c r="O27" i="219"/>
  <c r="P111" i="219"/>
  <c r="P11" i="219" s="1"/>
  <c r="P13" i="219" s="1"/>
  <c r="O27" i="217"/>
  <c r="O204" i="217"/>
  <c r="P111" i="217"/>
  <c r="P11" i="217" s="1"/>
  <c r="P13" i="217" s="1"/>
  <c r="AU244" i="212"/>
  <c r="AU255" i="212" s="1"/>
  <c r="AT255" i="212"/>
  <c r="O206" i="219" l="1"/>
  <c r="P110" i="219"/>
  <c r="P20" i="219" s="1"/>
  <c r="P23" i="219" s="1"/>
  <c r="P209" i="219" s="1"/>
  <c r="O34" i="219"/>
  <c r="O36" i="219" s="1"/>
  <c r="O43" i="219" s="1"/>
  <c r="AU259" i="212"/>
  <c r="AU241" i="212"/>
  <c r="AU257" i="212"/>
  <c r="O206" i="217"/>
  <c r="P110" i="217"/>
  <c r="P20" i="217" s="1"/>
  <c r="P23" i="217" s="1"/>
  <c r="P209" i="217" s="1"/>
  <c r="O34" i="217"/>
  <c r="O36" i="217" s="1"/>
  <c r="O43" i="217" s="1"/>
  <c r="P16" i="219"/>
  <c r="P14" i="219"/>
  <c r="P16" i="217"/>
  <c r="P14" i="217"/>
  <c r="O175" i="219"/>
  <c r="P199" i="214"/>
  <c r="O176" i="219" l="1"/>
  <c r="O26" i="219" s="1"/>
  <c r="O29" i="219" s="1"/>
  <c r="O42" i="219" s="1"/>
  <c r="P144" i="217"/>
  <c r="O30" i="217"/>
  <c r="O37" i="217" s="1"/>
  <c r="O31" i="217"/>
  <c r="P201" i="214"/>
  <c r="P27" i="214"/>
  <c r="Q108" i="214"/>
  <c r="O175" i="217"/>
  <c r="P144" i="219"/>
  <c r="O31" i="219"/>
  <c r="O30" i="219"/>
  <c r="O37" i="219" s="1"/>
  <c r="P147" i="219" l="1"/>
  <c r="Q60" i="219"/>
  <c r="Q64" i="219" s="1"/>
  <c r="P29" i="214"/>
  <c r="P42" i="214" s="1"/>
  <c r="P147" i="217"/>
  <c r="Q60" i="217"/>
  <c r="Q64" i="217" s="1"/>
  <c r="P203" i="214"/>
  <c r="P34" i="214"/>
  <c r="P36" i="214" s="1"/>
  <c r="P43" i="214" s="1"/>
  <c r="Q107" i="214"/>
  <c r="Q20" i="214" s="1"/>
  <c r="Q23" i="214" s="1"/>
  <c r="Q206" i="214" s="1"/>
  <c r="Q141" i="214" s="1"/>
  <c r="O38" i="219"/>
  <c r="O6" i="219"/>
  <c r="O176" i="217"/>
  <c r="O26" i="217" s="1"/>
  <c r="O29" i="217" s="1"/>
  <c r="O42" i="217" s="1"/>
  <c r="O38" i="217"/>
  <c r="O6" i="217"/>
  <c r="Q67" i="217" l="1"/>
  <c r="Q10" i="217" s="1"/>
  <c r="Q19" i="217"/>
  <c r="P172" i="214"/>
  <c r="Q144" i="214"/>
  <c r="R60" i="214"/>
  <c r="R64" i="214" s="1"/>
  <c r="Q67" i="219"/>
  <c r="Q10" i="219" s="1"/>
  <c r="Q19" i="219"/>
  <c r="P33" i="217"/>
  <c r="P151" i="217"/>
  <c r="P33" i="219"/>
  <c r="P151" i="219"/>
  <c r="P30" i="214"/>
  <c r="P37" i="214" s="1"/>
  <c r="P31" i="214"/>
  <c r="Q33" i="214" l="1"/>
  <c r="Q148" i="214"/>
  <c r="Q26" i="214" s="1"/>
  <c r="P202" i="219"/>
  <c r="P173" i="214"/>
  <c r="P6" i="214"/>
  <c r="P38" i="214"/>
  <c r="P202" i="217"/>
  <c r="P27" i="217" l="1"/>
  <c r="P204" i="217"/>
  <c r="Q111" i="217"/>
  <c r="Q11" i="217" s="1"/>
  <c r="Q13" i="217" s="1"/>
  <c r="Q199" i="214"/>
  <c r="P204" i="219"/>
  <c r="P27" i="219"/>
  <c r="Q111" i="219"/>
  <c r="Q11" i="219" s="1"/>
  <c r="Q13" i="219" s="1"/>
  <c r="Q14" i="219" l="1"/>
  <c r="Q16" i="219"/>
  <c r="Q201" i="214"/>
  <c r="Q27" i="214"/>
  <c r="R108" i="214"/>
  <c r="Q16" i="217"/>
  <c r="Q14" i="217"/>
  <c r="P206" i="219"/>
  <c r="Q110" i="219"/>
  <c r="Q20" i="219" s="1"/>
  <c r="Q23" i="219" s="1"/>
  <c r="Q209" i="219" s="1"/>
  <c r="P34" i="219"/>
  <c r="P36" i="219" s="1"/>
  <c r="P43" i="219" s="1"/>
  <c r="Q110" i="217"/>
  <c r="Q20" i="217" s="1"/>
  <c r="Q23" i="217" s="1"/>
  <c r="Q209" i="217" s="1"/>
  <c r="P34" i="217"/>
  <c r="P36" i="217" s="1"/>
  <c r="P43" i="217" s="1"/>
  <c r="P206" i="217"/>
  <c r="P175" i="217"/>
  <c r="Q144" i="217" l="1"/>
  <c r="Q29" i="214"/>
  <c r="Q42" i="214" s="1"/>
  <c r="P176" i="217"/>
  <c r="P26" i="217" s="1"/>
  <c r="P29" i="217" s="1"/>
  <c r="P42" i="217" s="1"/>
  <c r="Q203" i="214"/>
  <c r="Q34" i="214"/>
  <c r="Q36" i="214" s="1"/>
  <c r="Q43" i="214" s="1"/>
  <c r="R107" i="214"/>
  <c r="R20" i="214" s="1"/>
  <c r="R23" i="214" s="1"/>
  <c r="R206" i="214" s="1"/>
  <c r="R141" i="214" s="1"/>
  <c r="P30" i="217"/>
  <c r="P37" i="217" s="1"/>
  <c r="P31" i="217"/>
  <c r="Q144" i="219"/>
  <c r="P175" i="219"/>
  <c r="P31" i="219"/>
  <c r="P30" i="219"/>
  <c r="P37" i="219" s="1"/>
  <c r="Q147" i="219" l="1"/>
  <c r="R60" i="219"/>
  <c r="R64" i="219" s="1"/>
  <c r="P38" i="219"/>
  <c r="P6" i="219"/>
  <c r="Q30" i="214"/>
  <c r="Q37" i="214" s="1"/>
  <c r="Q31" i="214"/>
  <c r="Q172" i="214"/>
  <c r="P176" i="219"/>
  <c r="P26" i="219" s="1"/>
  <c r="P29" i="219" s="1"/>
  <c r="P42" i="219" s="1"/>
  <c r="P38" i="217"/>
  <c r="P6" i="217"/>
  <c r="Q147" i="217"/>
  <c r="R60" i="217"/>
  <c r="R64" i="217" s="1"/>
  <c r="R144" i="214"/>
  <c r="S60" i="214"/>
  <c r="S64" i="214" s="1"/>
  <c r="R33" i="214" l="1"/>
  <c r="R148" i="214"/>
  <c r="R26" i="214" s="1"/>
  <c r="Q33" i="217"/>
  <c r="Q151" i="217"/>
  <c r="Q38" i="214"/>
  <c r="Q6" i="214"/>
  <c r="R67" i="219"/>
  <c r="R10" i="219" s="1"/>
  <c r="R19" i="219"/>
  <c r="R67" i="217"/>
  <c r="R10" i="217" s="1"/>
  <c r="R19" i="217"/>
  <c r="Q173" i="214"/>
  <c r="Q33" i="219"/>
  <c r="Q151" i="219"/>
  <c r="R199" i="214" l="1"/>
  <c r="Q202" i="219"/>
  <c r="Q202" i="217"/>
  <c r="Q204" i="217" l="1"/>
  <c r="Q27" i="217"/>
  <c r="R111" i="217"/>
  <c r="R11" i="217" s="1"/>
  <c r="R13" i="217" s="1"/>
  <c r="R201" i="214"/>
  <c r="R27" i="214"/>
  <c r="S108" i="214"/>
  <c r="Q204" i="219"/>
  <c r="Q27" i="219"/>
  <c r="R111" i="219"/>
  <c r="R11" i="219" s="1"/>
  <c r="R13" i="219" s="1"/>
  <c r="R34" i="214" l="1"/>
  <c r="R36" i="214" s="1"/>
  <c r="R43" i="214" s="1"/>
  <c r="S107" i="214"/>
  <c r="S20" i="214" s="1"/>
  <c r="S23" i="214" s="1"/>
  <c r="S206" i="214" s="1"/>
  <c r="S141" i="214" s="1"/>
  <c r="R203" i="214"/>
  <c r="R110" i="219"/>
  <c r="R20" i="219" s="1"/>
  <c r="R23" i="219" s="1"/>
  <c r="R209" i="219" s="1"/>
  <c r="Q34" i="219"/>
  <c r="Q36" i="219" s="1"/>
  <c r="Q43" i="219" s="1"/>
  <c r="Q206" i="219"/>
  <c r="R14" i="217"/>
  <c r="R16" i="217"/>
  <c r="R14" i="219"/>
  <c r="R16" i="219"/>
  <c r="R172" i="214"/>
  <c r="R29" i="214"/>
  <c r="R42" i="214" s="1"/>
  <c r="Q206" i="217"/>
  <c r="R110" i="217"/>
  <c r="R20" i="217" s="1"/>
  <c r="R23" i="217" s="1"/>
  <c r="R209" i="217" s="1"/>
  <c r="Q34" i="217"/>
  <c r="Q36" i="217" s="1"/>
  <c r="Q43" i="217" s="1"/>
  <c r="R144" i="217" l="1"/>
  <c r="R30" i="214"/>
  <c r="R37" i="214" s="1"/>
  <c r="R31" i="214"/>
  <c r="Q31" i="217"/>
  <c r="Q30" i="217"/>
  <c r="Q37" i="217" s="1"/>
  <c r="Q31" i="219"/>
  <c r="Q30" i="219"/>
  <c r="Q37" i="219" s="1"/>
  <c r="S144" i="214"/>
  <c r="T60" i="214"/>
  <c r="T64" i="214" s="1"/>
  <c r="Q175" i="217"/>
  <c r="R173" i="214"/>
  <c r="R144" i="219"/>
  <c r="Q175" i="219"/>
  <c r="R147" i="219" l="1"/>
  <c r="S60" i="219"/>
  <c r="S64" i="219" s="1"/>
  <c r="Q176" i="217"/>
  <c r="Q26" i="217" s="1"/>
  <c r="Q29" i="217" s="1"/>
  <c r="Q42" i="217" s="1"/>
  <c r="Q38" i="219"/>
  <c r="Q6" i="219"/>
  <c r="R38" i="214"/>
  <c r="R6" i="214"/>
  <c r="Q38" i="217"/>
  <c r="Q6" i="217"/>
  <c r="R147" i="217"/>
  <c r="S60" i="217"/>
  <c r="S64" i="217" s="1"/>
  <c r="Q176" i="219"/>
  <c r="Q26" i="219" s="1"/>
  <c r="Q29" i="219" s="1"/>
  <c r="Q42" i="219" s="1"/>
  <c r="S33" i="214"/>
  <c r="S148" i="214"/>
  <c r="S26" i="214" s="1"/>
  <c r="S199" i="214" l="1"/>
  <c r="R33" i="217"/>
  <c r="R151" i="217"/>
  <c r="S67" i="219"/>
  <c r="S10" i="219" s="1"/>
  <c r="S19" i="219"/>
  <c r="R33" i="219"/>
  <c r="R151" i="219"/>
  <c r="S67" i="217"/>
  <c r="S10" i="217" s="1"/>
  <c r="S19" i="217"/>
  <c r="R202" i="219" l="1"/>
  <c r="R202" i="217"/>
  <c r="S27" i="214"/>
  <c r="S201" i="214"/>
  <c r="T108" i="214"/>
  <c r="T107" i="214" l="1"/>
  <c r="T20" i="214" s="1"/>
  <c r="T23" i="214" s="1"/>
  <c r="T206" i="214" s="1"/>
  <c r="T141" i="214" s="1"/>
  <c r="T144" i="214" s="1"/>
  <c r="S34" i="214"/>
  <c r="S36" i="214" s="1"/>
  <c r="S43" i="214" s="1"/>
  <c r="S203" i="214"/>
  <c r="S172" i="214"/>
  <c r="S29" i="214"/>
  <c r="S42" i="214" s="1"/>
  <c r="R204" i="217"/>
  <c r="R27" i="217"/>
  <c r="S111" i="217"/>
  <c r="S11" i="217" s="1"/>
  <c r="S13" i="217" s="1"/>
  <c r="R204" i="219"/>
  <c r="R27" i="219"/>
  <c r="S111" i="219"/>
  <c r="S11" i="219" s="1"/>
  <c r="S13" i="219" s="1"/>
  <c r="T33" i="214" l="1"/>
  <c r="T148" i="214"/>
  <c r="T26" i="214" s="1"/>
  <c r="S16" i="217"/>
  <c r="S14" i="217"/>
  <c r="S173" i="214"/>
  <c r="S14" i="219"/>
  <c r="S16" i="219"/>
  <c r="S30" i="214"/>
  <c r="S37" i="214" s="1"/>
  <c r="S31" i="214"/>
  <c r="S110" i="219"/>
  <c r="S20" i="219" s="1"/>
  <c r="S23" i="219" s="1"/>
  <c r="S209" i="219" s="1"/>
  <c r="R206" i="219"/>
  <c r="R34" i="219"/>
  <c r="R36" i="219" s="1"/>
  <c r="R43" i="219" s="1"/>
  <c r="R206" i="217"/>
  <c r="S110" i="217"/>
  <c r="S20" i="217" s="1"/>
  <c r="S23" i="217" s="1"/>
  <c r="S209" i="217" s="1"/>
  <c r="R34" i="217"/>
  <c r="R36" i="217" s="1"/>
  <c r="R43" i="217" s="1"/>
  <c r="S144" i="219" l="1"/>
  <c r="R175" i="219"/>
  <c r="S38" i="214"/>
  <c r="S6" i="214"/>
  <c r="R31" i="217"/>
  <c r="R30" i="217"/>
  <c r="R37" i="217" s="1"/>
  <c r="S144" i="217"/>
  <c r="R31" i="219"/>
  <c r="R30" i="219"/>
  <c r="R37" i="219" s="1"/>
  <c r="R175" i="217"/>
  <c r="T199" i="214"/>
  <c r="T27" i="214" l="1"/>
  <c r="T201" i="214"/>
  <c r="S147" i="217"/>
  <c r="T60" i="217"/>
  <c r="T64" i="217" s="1"/>
  <c r="R176" i="219"/>
  <c r="R26" i="219" s="1"/>
  <c r="R29" i="219" s="1"/>
  <c r="R42" i="219" s="1"/>
  <c r="R176" i="217"/>
  <c r="R26" i="217" s="1"/>
  <c r="R29" i="217" s="1"/>
  <c r="R42" i="217" s="1"/>
  <c r="S147" i="219"/>
  <c r="T60" i="219"/>
  <c r="T64" i="219" s="1"/>
  <c r="R38" i="219"/>
  <c r="R6" i="219"/>
  <c r="R38" i="217"/>
  <c r="R6" i="217"/>
  <c r="T29" i="214" l="1"/>
  <c r="T42" i="214" s="1"/>
  <c r="T67" i="219"/>
  <c r="T10" i="219" s="1"/>
  <c r="T19" i="219"/>
  <c r="S33" i="217"/>
  <c r="S151" i="217"/>
  <c r="S33" i="219"/>
  <c r="S151" i="219"/>
  <c r="T203" i="214"/>
  <c r="T34" i="214"/>
  <c r="T36" i="214" s="1"/>
  <c r="T43" i="214" s="1"/>
  <c r="T67" i="217"/>
  <c r="T10" i="217" s="1"/>
  <c r="T19" i="217"/>
  <c r="S202" i="219" l="1"/>
  <c r="T31" i="214"/>
  <c r="T30" i="214"/>
  <c r="T37" i="214" s="1"/>
  <c r="S202" i="217"/>
  <c r="T172" i="214"/>
  <c r="T173" i="214" s="1"/>
  <c r="S204" i="217" l="1"/>
  <c r="S27" i="217"/>
  <c r="T111" i="217"/>
  <c r="T11" i="217" s="1"/>
  <c r="T13" i="217" s="1"/>
  <c r="T38" i="214"/>
  <c r="T6" i="214"/>
  <c r="S204" i="219"/>
  <c r="S27" i="219"/>
  <c r="T111" i="219"/>
  <c r="T11" i="219" s="1"/>
  <c r="T13" i="219" s="1"/>
  <c r="T14" i="219" l="1"/>
  <c r="T16" i="219"/>
  <c r="T16" i="217"/>
  <c r="T14" i="217"/>
  <c r="S206" i="219"/>
  <c r="T110" i="219"/>
  <c r="T20" i="219" s="1"/>
  <c r="T23" i="219" s="1"/>
  <c r="T209" i="219" s="1"/>
  <c r="T144" i="219" s="1"/>
  <c r="T147" i="219" s="1"/>
  <c r="S34" i="219"/>
  <c r="S36" i="219" s="1"/>
  <c r="S43" i="219" s="1"/>
  <c r="S175" i="217"/>
  <c r="S34" i="217"/>
  <c r="S36" i="217" s="1"/>
  <c r="S43" i="217" s="1"/>
  <c r="S206" i="217"/>
  <c r="T110" i="217"/>
  <c r="T20" i="217" s="1"/>
  <c r="T23" i="217" s="1"/>
  <c r="T209" i="217" s="1"/>
  <c r="T144" i="217" s="1"/>
  <c r="T147" i="217" s="1"/>
  <c r="S175" i="219" l="1"/>
  <c r="S176" i="219" s="1"/>
  <c r="S26" i="219" s="1"/>
  <c r="S29" i="219" s="1"/>
  <c r="S42" i="219" s="1"/>
  <c r="T33" i="217"/>
  <c r="T151" i="217"/>
  <c r="S31" i="217"/>
  <c r="S30" i="217"/>
  <c r="S37" i="217" s="1"/>
  <c r="T33" i="219"/>
  <c r="T151" i="219"/>
  <c r="S30" i="219"/>
  <c r="S37" i="219" s="1"/>
  <c r="S31" i="219"/>
  <c r="S176" i="217"/>
  <c r="S26" i="217" s="1"/>
  <c r="S29" i="217" s="1"/>
  <c r="S42" i="217" s="1"/>
  <c r="S38" i="217" l="1"/>
  <c r="S6" i="217"/>
  <c r="S38" i="219"/>
  <c r="S6" i="219"/>
  <c r="T202" i="219"/>
  <c r="T202" i="217"/>
  <c r="T204" i="217" l="1"/>
  <c r="T27" i="217"/>
  <c r="T204" i="219"/>
  <c r="T27" i="219"/>
  <c r="T206" i="217" l="1"/>
  <c r="T34" i="217"/>
  <c r="T36" i="217" s="1"/>
  <c r="T43" i="217" s="1"/>
  <c r="T206" i="219"/>
  <c r="T34" i="219"/>
  <c r="T36" i="219" s="1"/>
  <c r="T43" i="219" s="1"/>
  <c r="T175" i="217" l="1"/>
  <c r="T176" i="217" s="1"/>
  <c r="T26" i="217" s="1"/>
  <c r="T29" i="217" s="1"/>
  <c r="T42" i="217" s="1"/>
  <c r="T31" i="219"/>
  <c r="T30" i="219"/>
  <c r="T37" i="219" s="1"/>
  <c r="T175" i="219"/>
  <c r="T176" i="219" s="1"/>
  <c r="T26" i="219" s="1"/>
  <c r="T29" i="219" s="1"/>
  <c r="T42" i="219" s="1"/>
  <c r="T30" i="217"/>
  <c r="T37" i="217" s="1"/>
  <c r="T31" i="217"/>
  <c r="T38" i="217" l="1"/>
  <c r="T6" i="217"/>
  <c r="T38" i="219"/>
  <c r="T6" i="219"/>
</calcChain>
</file>

<file path=xl/comments1.xml><?xml version="1.0" encoding="utf-8"?>
<comments xmlns="http://schemas.openxmlformats.org/spreadsheetml/2006/main">
  <authors>
    <author>bellm</author>
  </authors>
  <commentList>
    <comment ref="A7" authorId="0" shapeId="0">
      <text>
        <r>
          <rPr>
            <sz val="9"/>
            <color indexed="81"/>
            <rFont val="Tahoma"/>
            <family val="2"/>
          </rPr>
          <t>Comprised of Revenue + Gains/(losses) - Sum of (Inter-entity expenses + Other expenses) + Other movements in reserves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First period in Actuary's track is only four months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First period in Actuary's track is only eight months</t>
        </r>
      </text>
    </comment>
  </commentList>
</comments>
</file>

<file path=xl/sharedStrings.xml><?xml version="1.0" encoding="utf-8"?>
<sst xmlns="http://schemas.openxmlformats.org/spreadsheetml/2006/main" count="1905" uniqueCount="922">
  <si>
    <t>Fiscal RR addition to gross debt</t>
  </si>
  <si>
    <t>Fiscal RR addition to net worth</t>
  </si>
  <si>
    <t>Economic RR addition to revenue</t>
  </si>
  <si>
    <t>2012/13</t>
  </si>
  <si>
    <t>Based on data from the Accident Compensation Corporation. Cost weights averaged over 2001/02 to 2005/06.</t>
  </si>
  <si>
    <t>Tax reductions are assumed in the projection period equivalent to the portion of growth in source deductions</t>
  </si>
  <si>
    <t>Tertiary Education Student Loans Analysis (SLIM)</t>
  </si>
  <si>
    <t>Demographic Assumptions (2006 Base)</t>
  </si>
  <si>
    <t>SNZ Population: 2006 Base: Series 5</t>
  </si>
  <si>
    <t>Males (ages in years)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</si>
  <si>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</si>
  <si>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</si>
  <si>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</si>
  <si>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</si>
  <si>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</si>
  <si>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</si>
  <si>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</si>
  <si>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</si>
  <si>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</si>
  <si>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</si>
  <si>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</si>
  <si>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</si>
  <si>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</si>
  <si>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</si>
  <si>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</si>
  <si>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</si>
  <si>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</si>
  <si>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</si>
  <si>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</si>
  <si>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</si>
  <si>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</si>
  <si>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</si>
  <si>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</si>
  <si>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</si>
  <si>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</si>
  <si>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</si>
  <si>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</si>
  <si>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</si>
  <si>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</si>
  <si>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</si>
  <si>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</si>
  <si>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</si>
  <si>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</si>
  <si>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</si>
  <si>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</si>
  <si>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</si>
  <si>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</si>
  <si>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</si>
  <si>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</si>
  <si>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</si>
  <si>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</si>
  <si>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</si>
  <si>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</si>
  <si>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</si>
  <si>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</si>
  <si>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</si>
  <si>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</si>
  <si>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</si>
  <si>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</si>
  <si>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</si>
  <si>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</si>
  <si>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</si>
  <si>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</si>
  <si>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</si>
  <si>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</si>
  <si>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</si>
  <si>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</si>
  <si>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</si>
  <si>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</si>
  <si>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</si>
  <si>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</si>
  <si>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</si>
  <si>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</si>
  <si>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</si>
  <si>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</si>
  <si>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</si>
  <si>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</si>
  <si>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</si>
  <si>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</si>
  <si>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</si>
  <si>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</si>
  <si>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</si>
  <si>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</si>
  <si>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</si>
  <si>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</si>
  <si>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</si>
  <si>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</si>
  <si>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</si>
  <si>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</si>
  <si>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</si>
  <si>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</si>
  <si>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</si>
  <si>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</si>
  <si>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</si>
  <si>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</si>
  <si>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</si>
  <si>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</si>
  <si>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</si>
  <si>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</si>
  <si>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</si>
  <si>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 and above</t>
  </si>
  <si>
    <t>Females (ages in years)</t>
  </si>
  <si>
    <t>NOTE F.1: HEALTH MALE DEMOGRAPHICS (USES COST WEIGHTS)</t>
  </si>
  <si>
    <t>NOTE F.1: HEALTH FEMALE DEMOGRAPHICS (USES COST WEIGHTS)</t>
  </si>
  <si>
    <t>Total Male population (in millions)</t>
  </si>
  <si>
    <t>Total Female population (in millions)</t>
  </si>
  <si>
    <t>Total Population (in millions)</t>
  </si>
  <si>
    <t>Net gains/(losses) on non-financial instruments</t>
  </si>
  <si>
    <t>Core Crown Emission Trading Scheme (ETS) levies</t>
  </si>
  <si>
    <t>2007/08</t>
  </si>
  <si>
    <t>2008/09</t>
  </si>
  <si>
    <t>2009/10</t>
  </si>
  <si>
    <t>2010/11</t>
  </si>
  <si>
    <t>2011/12</t>
  </si>
  <si>
    <t>2013/14</t>
  </si>
  <si>
    <t>2014/15</t>
  </si>
  <si>
    <t>2015/16</t>
  </si>
  <si>
    <t>2016/17</t>
  </si>
  <si>
    <t>KiwiSaver expense</t>
  </si>
  <si>
    <t>Climate Change: ETS and emissions liability</t>
  </si>
  <si>
    <t>2017/18</t>
  </si>
  <si>
    <t>2018/19</t>
  </si>
  <si>
    <t>2020/21</t>
  </si>
  <si>
    <t>2021/22</t>
  </si>
  <si>
    <t>Provision for Kyoto</t>
  </si>
  <si>
    <t>Revenue -Levies Payable under ETS</t>
  </si>
  <si>
    <t>Expense - Free Allocation of Units</t>
  </si>
  <si>
    <t>Liability - outstanding NZ Units</t>
  </si>
  <si>
    <t>Asset - International Units</t>
  </si>
  <si>
    <t>Both</t>
  </si>
  <si>
    <t>Free allocation of ETS units</t>
  </si>
  <si>
    <t>Core Crown intangible assets and goodwill excluding Emission Trading Units</t>
  </si>
  <si>
    <t>Outstanding NZ Trading Units (NZU's)</t>
  </si>
  <si>
    <t>Core Crown International Emission Trading Units (ETU's)</t>
  </si>
  <si>
    <t>Core Crown other liabilities (other than borrowings, Kyoto, outstanding NZU's)</t>
  </si>
  <si>
    <t>Economic RR addition to expenses ex finance costs</t>
  </si>
  <si>
    <t>Economic RR addition to finance costs</t>
  </si>
  <si>
    <t>Economic RR annual addition to gross debt</t>
  </si>
  <si>
    <t>Economic RR addition to gross debt</t>
  </si>
  <si>
    <t>Check against forecast</t>
  </si>
  <si>
    <t>Total RR addition to net worth</t>
  </si>
  <si>
    <t>Economic RR</t>
  </si>
  <si>
    <t>Fiscal RR</t>
  </si>
  <si>
    <t>Forecast new CPI growth</t>
  </si>
  <si>
    <t>Nominal GDP : Ratio of scenario to base</t>
  </si>
  <si>
    <t>Cumulative CPI growth: Ratio of scenario to base</t>
  </si>
  <si>
    <t>Average annual hourly wage growth (ordinary time)</t>
  </si>
  <si>
    <t>Average annual CPI growth</t>
  </si>
  <si>
    <t>Nominal GDP</t>
  </si>
  <si>
    <t>CPI</t>
  </si>
  <si>
    <t>Unemployment  rate</t>
  </si>
  <si>
    <t>Average weekly hours</t>
  </si>
  <si>
    <t>Other indirect taxation</t>
  </si>
  <si>
    <t>AGE GROUP</t>
  </si>
  <si>
    <t>Other classes of expenditure</t>
  </si>
  <si>
    <t>FEMALE</t>
  </si>
  <si>
    <t>MALE</t>
  </si>
  <si>
    <t>65 and above</t>
  </si>
  <si>
    <t>Unemployment Ben</t>
  </si>
  <si>
    <t>SCENARIO</t>
  </si>
  <si>
    <t>Operating Balance</t>
  </si>
  <si>
    <t>Gross Debt</t>
  </si>
  <si>
    <t>Net Worth</t>
  </si>
  <si>
    <t>Prices:</t>
  </si>
  <si>
    <t>Labour market:</t>
  </si>
  <si>
    <t>NOTES TO THE FISCAL STATEMENTS</t>
  </si>
  <si>
    <t>Net NZS married individual (CPI-indexed 1 April)</t>
  </si>
  <si>
    <t>Yes</t>
  </si>
  <si>
    <t>No</t>
  </si>
  <si>
    <t>Opening Balance</t>
  </si>
  <si>
    <t>Closing Balance</t>
  </si>
  <si>
    <t>FISCAL YEAR (JULY TO JUNE)</t>
  </si>
  <si>
    <t>Percentage change</t>
  </si>
  <si>
    <t>ANNUAL CONVERGENCE RATES</t>
  </si>
  <si>
    <t>Participation rate (15+ popn)</t>
  </si>
  <si>
    <t>Core Crown health expenditure</t>
  </si>
  <si>
    <t>Total Crown health expenditure</t>
  </si>
  <si>
    <t>Core Crown education expenditure</t>
  </si>
  <si>
    <t>Total Crown education expenditure</t>
  </si>
  <si>
    <t>Real growth of education</t>
  </si>
  <si>
    <t>Core Crown other expenses</t>
  </si>
  <si>
    <t>Closing Fund Balance</t>
  </si>
  <si>
    <t>Check by calculation</t>
  </si>
  <si>
    <t>Net December quarter average wage</t>
  </si>
  <si>
    <t>NZ Super Floor (as % of average wage)</t>
  </si>
  <si>
    <t>Net NZS for married individual (CPI-indexed 1 April)</t>
  </si>
  <si>
    <t>Average Wage floor applied to NZS growth</t>
  </si>
  <si>
    <t>SOCIAL WELFARE BENEFITS: AGE AND GENDER PROPORTIONS</t>
  </si>
  <si>
    <t>Proj Yr1</t>
  </si>
  <si>
    <t>Finance costs</t>
  </si>
  <si>
    <t>Tax Revenue</t>
  </si>
  <si>
    <t>Net Core Crown debt</t>
  </si>
  <si>
    <t>Government 10-year Bond Rate</t>
  </si>
  <si>
    <t>Real GDP (Base = 1995/96)</t>
  </si>
  <si>
    <t>Real GDP (production), Base = 1995/96</t>
  </si>
  <si>
    <t>with Census 2006 as the base year and updated for historical years with Statistics New Zealand updates.</t>
  </si>
  <si>
    <t>$1.694 billion (equivalent to approx. $1.9 billion when demographic growth from model added to expenditure).</t>
  </si>
  <si>
    <t>$0.0 billion forecast cash surplus in 2012/13</t>
  </si>
  <si>
    <t>Gross sovereign issued debt excluding Reserve Bank settlement cash is the indicator used to assess</t>
  </si>
  <si>
    <t>Operating Balance before Gains and Losses (OBEGAL) is an indicator of the Government's fiscal performance.</t>
  </si>
  <si>
    <t>Also uses a long-run expected rate of return of 8.65% before tax or 6.57% after tax</t>
  </si>
  <si>
    <t>tax base attributable to average nominal wage growth. An elasticity of 1.4 is applied.</t>
  </si>
  <si>
    <t>Values below are for initial projected fiscal year, 2013/14. All can be altered using the "Scenarios" worksheet.</t>
  </si>
  <si>
    <t>whether the Crown is meeting its long term fiscal objectives. Projected settlement cash is $6.4 billion.</t>
  </si>
  <si>
    <t>To restore to the Operating Balance in projected years means adding back Total Gains/(Losses). These are</t>
  </si>
  <si>
    <t>calculated in projected years by adding to the previous year's value that year's growth in NZS Fund gain/(loss)</t>
  </si>
  <si>
    <t>plus chosen %'s of ACC and EQC eliminated income. The chosen %'s are shown in "Scenarios".</t>
  </si>
  <si>
    <t>Final PREFU 2008 track from Inland Revenue Department. Beyond that projected at population growth.</t>
  </si>
  <si>
    <t>Allowance for New Capital Expenditure</t>
  </si>
  <si>
    <t>Personal Taxation Elasticity (for Fiscal Drag)</t>
  </si>
  <si>
    <t>TOTAL CROWN - Operating Statement Analysis</t>
  </si>
  <si>
    <t>ASSUMPTIONS FOR SCENARIOS</t>
  </si>
  <si>
    <t>TOTAL CROWN - Balance Sheet Analysis</t>
  </si>
  <si>
    <t>CORE CROWN - Operating Statement Analysis</t>
  </si>
  <si>
    <t>CORE CROWN - Balance Sheet Analysis</t>
  </si>
  <si>
    <t>INDEXATION OF NZ SUPERANNUATION (NZS)</t>
  </si>
  <si>
    <t>2006 cost weights supplied by Ministry of Health</t>
  </si>
  <si>
    <t>Base Assumptions in Projected years</t>
  </si>
  <si>
    <t>KiwiSaver</t>
  </si>
  <si>
    <t>DMO financial asset run down</t>
  </si>
  <si>
    <t>FSR Fiscal Drag Assumption</t>
  </si>
  <si>
    <t>Adjustments to GSID</t>
  </si>
  <si>
    <t>OBEGAL Projection Assumptions</t>
  </si>
  <si>
    <t>Use targeted source deductions-to-GDP ratio in projections?</t>
  </si>
  <si>
    <t>Use targeted corporate tax-to-GDP ratio in projections?</t>
  </si>
  <si>
    <t>Use targeted other tax-to-GDP ratio in projections?</t>
  </si>
  <si>
    <t>HEALTH COST WEIGHTS IN THE LONG TERM FISCAL MODEL (2005/06 $)</t>
  </si>
  <si>
    <t>Labour Force participation rates</t>
  </si>
  <si>
    <t>A 65+</t>
  </si>
  <si>
    <t>Total Female</t>
  </si>
  <si>
    <t>Total Male</t>
  </si>
  <si>
    <t>Total for Population</t>
  </si>
  <si>
    <t>Total Labour Force</t>
  </si>
  <si>
    <t>$900 million, GST exclusive</t>
  </si>
  <si>
    <t>TYPE OF FISCAL DRAG MODELLED</t>
  </si>
  <si>
    <t>Gross December quarter average wage</t>
  </si>
  <si>
    <t>Tax on gross December quarter average wage</t>
  </si>
  <si>
    <t>Total gross sovereign-issued debt</t>
  </si>
  <si>
    <t>Liabilities excluding Gross Debt</t>
  </si>
  <si>
    <t>Entire population</t>
  </si>
  <si>
    <t>Dynamic cohort model</t>
  </si>
  <si>
    <t>TAX TO NOMINAL GDP RATIOS</t>
  </si>
  <si>
    <t>Target % of Nominal GDP for corporate taxes</t>
  </si>
  <si>
    <t>Target % of Nominal GDP for source deductions</t>
  </si>
  <si>
    <t>Target % of Nominal GDP for other taxes</t>
  </si>
  <si>
    <t>If set tax-to-GDP ratios are desired in projections, use Yes. Any other choice simply uses end-of-forecast ratios.</t>
  </si>
  <si>
    <t>To apply Fiscal Drag modelling to source deductions (PAYE) tax, use Yes. Any other choice applies nominal GDP growth only.</t>
  </si>
  <si>
    <t>If set tax-to-GDP ratios are selected, choose an increment to reach these from end-of-forecast values. Also choose ratios for the</t>
  </si>
  <si>
    <t>three tax types in the model. Note for source deductions that, if fiscal drag is selected above, the tax-to-GDP ratio will still grow.</t>
  </si>
  <si>
    <t>Adjustment rate as % of GDP for all tax types</t>
  </si>
  <si>
    <t>Growth due to demographics</t>
  </si>
  <si>
    <t>Real growth of NZS</t>
  </si>
  <si>
    <t>Total annual growth</t>
  </si>
  <si>
    <t>Social Welfare (excluding NZS)</t>
  </si>
  <si>
    <t>Core Crown property, plant and equipment</t>
  </si>
  <si>
    <t>Total Crown property, plant and equipment</t>
  </si>
  <si>
    <t>Core Crown other non-financial assets</t>
  </si>
  <si>
    <t>Core Crown non-debt liabilities</t>
  </si>
  <si>
    <t>Total Crown non-debt liabilities</t>
  </si>
  <si>
    <t>Real growth of social welfare (excluding NZS)</t>
  </si>
  <si>
    <t>Tax on gross NZ Superannuation expenditure</t>
  </si>
  <si>
    <t>Total Assets to GDP (Core Crown)</t>
  </si>
  <si>
    <t>Real growth of health</t>
  </si>
  <si>
    <t>Other Non-Finance Expenses</t>
  </si>
  <si>
    <t>All monetary values are in units of billions of $NZ</t>
  </si>
  <si>
    <t>Net Interest (=Gross - Interest W-Os)</t>
  </si>
  <si>
    <t>Source deductions</t>
  </si>
  <si>
    <t>Other persons</t>
  </si>
  <si>
    <t>Refunds</t>
  </si>
  <si>
    <t>Fringe benefit tax</t>
  </si>
  <si>
    <t>Working age population (SNZ 15+ popn) (millions)</t>
  </si>
  <si>
    <t>Labour Force (millions)</t>
  </si>
  <si>
    <t>Labour productivity growth</t>
  </si>
  <si>
    <t>Average hourly wage growth (ordinary time)</t>
  </si>
  <si>
    <t>Gross Dec qtr average weekly wage (ordinary time)</t>
  </si>
  <si>
    <t>Hourly wage growth (ordinary time)</t>
  </si>
  <si>
    <t>Gross Sovereign-issued Debt (GSID)</t>
  </si>
  <si>
    <t>Last fiscal year to which fiscal drag is applied</t>
  </si>
  <si>
    <t>Interest Cost Sensitivities</t>
  </si>
  <si>
    <t>85+</t>
  </si>
  <si>
    <t>DSS UNDER 65</t>
  </si>
  <si>
    <t xml:space="preserve">   DSS OLDER</t>
  </si>
  <si>
    <t>Age Band</t>
  </si>
  <si>
    <t>20 - 29</t>
  </si>
  <si>
    <t>30 - 39</t>
  </si>
  <si>
    <t>40 - 49</t>
  </si>
  <si>
    <t>50 - 59</t>
  </si>
  <si>
    <t>65+</t>
  </si>
  <si>
    <t>TOTAL PAYMENTS</t>
  </si>
  <si>
    <t>NON-EARNERS ACCOUNT</t>
  </si>
  <si>
    <t>ACC payments to claimants</t>
  </si>
  <si>
    <t>18 &amp;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</si>
  <si>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</si>
  <si>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</si>
  <si>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</si>
  <si>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</si>
  <si>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</si>
  <si>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</si>
  <si>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</si>
  <si>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</si>
  <si>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</si>
  <si>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Percentages of population</t>
  </si>
  <si>
    <t>Under 20 (driven by 18 &amp; 19 yr olds)</t>
  </si>
  <si>
    <t>Population 1-4  (Early Childhood Education)</t>
  </si>
  <si>
    <t>Population 18-24  (Tertiary Education)</t>
  </si>
  <si>
    <t>Population 5-12 &amp; 13-17 combined  (Prim &amp; Sec Education)</t>
  </si>
  <si>
    <t>Population 65+ (NZS recipients)</t>
  </si>
  <si>
    <t>Population 0-19  (Family Support recipients)</t>
  </si>
  <si>
    <t>Population 15+  (Accomm, Disability &amp; minor ben recipients)</t>
  </si>
  <si>
    <t>Female population 18 &amp; 19</t>
  </si>
  <si>
    <t>Historical fiscal years</t>
  </si>
  <si>
    <t>Forecast fiscal years</t>
  </si>
  <si>
    <t>Projected fiscal years begin with</t>
  </si>
  <si>
    <t>Unemployment Benefit (UB)</t>
  </si>
  <si>
    <t>Growth due to inflation</t>
  </si>
  <si>
    <t>ECONOMIC READY RECKONER</t>
  </si>
  <si>
    <t>Male population 18 &amp; 19</t>
  </si>
  <si>
    <t>Female population 20 to 24</t>
  </si>
  <si>
    <t>Male population 20 to 24</t>
  </si>
  <si>
    <t>Female population 25 to 29</t>
  </si>
  <si>
    <t>Male population 25 to 29</t>
  </si>
  <si>
    <t>Female population 30 to 34</t>
  </si>
  <si>
    <t>Female population 35 to 39</t>
  </si>
  <si>
    <t>Male population 30 to 34</t>
  </si>
  <si>
    <t>Male population 35 to 39</t>
  </si>
  <si>
    <t>Female population 40 to 44</t>
  </si>
  <si>
    <t>Female population 45 to 49</t>
  </si>
  <si>
    <t>Female population 50 to 54</t>
  </si>
  <si>
    <t>Female population 55 to 59</t>
  </si>
  <si>
    <t>Female population 60 to 64</t>
  </si>
  <si>
    <t>Female population 65+</t>
  </si>
  <si>
    <t>Male population 40 to 44</t>
  </si>
  <si>
    <t>Male population 45 to 49</t>
  </si>
  <si>
    <t>Male population 50 to 54</t>
  </si>
  <si>
    <t>Male population 55 to 59</t>
  </si>
  <si>
    <t>Male population 60 to 64</t>
  </si>
  <si>
    <t>Male population 65+</t>
  </si>
  <si>
    <t>NZSF investment income elimination</t>
  </si>
  <si>
    <t>NZSF portfolio (excluding cross-holdings of Govt stock)</t>
  </si>
  <si>
    <t>DATA FROM MACROFORECASTING</t>
  </si>
  <si>
    <t>EQC portfolio (including cross-holdings of Govt stock)</t>
  </si>
  <si>
    <t>EQC portfolio (excluding cross-holdings of Govt stock)</t>
  </si>
  <si>
    <t>Other taxes, including GST</t>
  </si>
  <si>
    <t>Total Crown tax revenue</t>
  </si>
  <si>
    <t>Domestic Purposes Benefit, Invalid's Benefit and Sickness Benefit</t>
  </si>
  <si>
    <t>Average of three</t>
  </si>
  <si>
    <t>Other welfare assistance and expenses</t>
  </si>
  <si>
    <t>Crown entity social welfare (mainly ACC related)</t>
  </si>
  <si>
    <t>ACC expenses</t>
  </si>
  <si>
    <t>ACC portfolio (including cross-holdings of Govt stock)</t>
  </si>
  <si>
    <t>Allocate Capital Allowance (to Property, Plant &amp; Equipment)</t>
  </si>
  <si>
    <t>ACC portfolio (excluding cross-holdings of Govt stock)</t>
  </si>
  <si>
    <t>New Zealand Superannuation (NZS)</t>
  </si>
  <si>
    <t xml:space="preserve">The following input tracks are obtained from various sources both within and external to Treasury and act as exogenous inputs to the model 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</si>
  <si>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</si>
  <si>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</si>
  <si>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</si>
  <si>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</si>
  <si>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</si>
  <si>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</si>
  <si>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</si>
  <si>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</si>
  <si>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</si>
  <si>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</si>
  <si>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</si>
  <si>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</si>
  <si>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</si>
  <si>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</si>
  <si>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</si>
  <si>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</si>
  <si>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</si>
  <si>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TOTAL</t>
  </si>
  <si>
    <t>PERSONAL HEALTH</t>
  </si>
  <si>
    <t xml:space="preserve">EXPENDITURE CATEGORY    </t>
  </si>
  <si>
    <t>AGE GROUP / GENDER</t>
  </si>
  <si>
    <t>MENTAL HEALTH</t>
  </si>
  <si>
    <t>PUBLIC HEALTH</t>
  </si>
  <si>
    <t>TOTAL HEALTH</t>
  </si>
  <si>
    <t>Females</t>
  </si>
  <si>
    <t>A 15-19</t>
  </si>
  <si>
    <t>A 20-24</t>
  </si>
  <si>
    <t>A 25-29</t>
  </si>
  <si>
    <t>A 30-34</t>
  </si>
  <si>
    <t>A 35-39</t>
  </si>
  <si>
    <t>A 40-44</t>
  </si>
  <si>
    <t>A 45-49</t>
  </si>
  <si>
    <t>A 50-54</t>
  </si>
  <si>
    <t>A 55-59</t>
  </si>
  <si>
    <t>A 60-64</t>
  </si>
  <si>
    <t>Forecast New Operating Spending (indicates Allowance, whether allocated or not)</t>
  </si>
  <si>
    <t>Forecast New Capital Spending (indicates Allowance, whether allocated or not)</t>
  </si>
  <si>
    <t>NOTE A: TAX REVENUE</t>
  </si>
  <si>
    <t>NOTE H: OTHER EXPENDITURE</t>
  </si>
  <si>
    <t>This version of the FSM uses:</t>
  </si>
  <si>
    <t>Labour Productivity growth</t>
  </si>
  <si>
    <t>CONTRIBUTIONS TO CORE CROWN EXPENSE GROWTH</t>
  </si>
  <si>
    <r>
      <t>plus</t>
    </r>
    <r>
      <rPr>
        <sz val="10"/>
        <rFont val="Times New Roman"/>
        <family val="1"/>
      </rPr>
      <t xml:space="preserve"> NZS Fund cross-holdings of Government stock to give GSID</t>
    </r>
  </si>
  <si>
    <t>Top-down expense adjustment</t>
  </si>
  <si>
    <t>Net surplus/(deficit) from associates and joint ventures</t>
  </si>
  <si>
    <t>Operating balance before gains/(losses) OBEGAL</t>
  </si>
  <si>
    <t>Total Crown revenue (excluding gains)</t>
  </si>
  <si>
    <t>Total Crown expenses (excluding losses)</t>
  </si>
  <si>
    <t>Other sovereign revenue</t>
  </si>
  <si>
    <t>Investment revenue and dividends</t>
  </si>
  <si>
    <t>RB funding of reserves increase from settlement cash</t>
  </si>
  <si>
    <t xml:space="preserve">Net gains/(losses) on financial instruments </t>
  </si>
  <si>
    <t>Net Core Crown Debt</t>
  </si>
  <si>
    <t>Net Core Crown Debt less NZS Fund assets</t>
  </si>
  <si>
    <t>Net Core Crown Debt to GDP (Core Crown)</t>
  </si>
  <si>
    <t>Core Crown cash, cash equivalents and advances other than Student Loans</t>
  </si>
  <si>
    <t>Total Crown cash, cash equivalents and advances other than Student Loans</t>
  </si>
  <si>
    <t>RB and DMO marketable securities, derivatives in gain and share investments</t>
  </si>
  <si>
    <t>NOTE K: ACCIDENT COMPENSATION COMMISSION (ACC)</t>
  </si>
  <si>
    <t>NOTE K.1: ACC PAYMENTS DEMOGRAPHIC DRIVER (USES COST WEIGHTS)</t>
  </si>
  <si>
    <t>NOTE L: EARTHQUAKE COMMISSION (EQC)</t>
  </si>
  <si>
    <t>NOTE M: MARKETABLE SECURITIES, DERIVATIVES &amp; SHARE INVESTMENTS</t>
  </si>
  <si>
    <t>NOTE O: OTHER FINANCIAL ASSETS</t>
  </si>
  <si>
    <t>NOTE U.1: RB SETTLEMENT CASH EXCLUDED FROM GSID</t>
  </si>
  <si>
    <t>NOTE U.2: DMO EXCESS FUNDS TO REDUCE GSID CONSTANT</t>
  </si>
  <si>
    <t>Dividends from SOEs and CEs</t>
  </si>
  <si>
    <t>Issued Currency</t>
  </si>
  <si>
    <t>Payables</t>
  </si>
  <si>
    <t>Defined benefit retirement plan liabilities</t>
  </si>
  <si>
    <t>Insurance liabilities</t>
  </si>
  <si>
    <t>Provisions</t>
  </si>
  <si>
    <t>Forecast Statement of Borrowings</t>
  </si>
  <si>
    <t>Deferred revenue</t>
  </si>
  <si>
    <t>Settlement deposits with the Reserve Bank</t>
  </si>
  <si>
    <t>Other borrowings</t>
  </si>
  <si>
    <t>Cash and cash equivalents</t>
  </si>
  <si>
    <t>Marketable securities and derivatives in gain</t>
  </si>
  <si>
    <t>Share investments</t>
  </si>
  <si>
    <t>Inventory</t>
  </si>
  <si>
    <t>Prepayments and other assets</t>
  </si>
  <si>
    <t>Equity accounted investments (including TEIs)</t>
  </si>
  <si>
    <t>Top-down capital adjustment</t>
  </si>
  <si>
    <t>Intangible assets and goodwill</t>
  </si>
  <si>
    <t>Total Net Worth</t>
  </si>
  <si>
    <t>Total Crown gross debt</t>
  </si>
  <si>
    <t>Core Crown borrowings</t>
  </si>
  <si>
    <t>CHECKS OF FISCAL DATA</t>
  </si>
  <si>
    <t>Add back NZS Fund holdings of sovereign issued debt &amp; NZS Fund borrowings</t>
  </si>
  <si>
    <t>Net Core Crown debt (including NZS Fund)</t>
  </si>
  <si>
    <t>Add back NZS Fund financial assets</t>
  </si>
  <si>
    <r>
      <t xml:space="preserve">OBEGAL = Total Crown revenue (excl gains) </t>
    </r>
    <r>
      <rPr>
        <b/>
        <sz val="10"/>
        <rFont val="Arial"/>
        <family val="2"/>
      </rPr>
      <t>−</t>
    </r>
    <r>
      <rPr>
        <b/>
        <sz val="10"/>
        <rFont val="Times New Roman"/>
        <family val="1"/>
      </rPr>
      <t xml:space="preserve"> Total Crown expenses (excl losses)</t>
    </r>
  </si>
  <si>
    <t>Total Crown Operating Balance = OBEGAL + Net gains/(losses)</t>
  </si>
  <si>
    <t>Total Crown Net Worth = Total Crown assets − Total Crown liabilities</t>
  </si>
  <si>
    <t>Total Crown Gross Debt = Settlement deposits with the RB + Other borrowings</t>
  </si>
  <si>
    <t>Tot Cr Gross Debt = Sovereign guaranteed + Non-sovereign guaranteed borrowings</t>
  </si>
  <si>
    <t>Core Crown other sovereign revenue</t>
  </si>
  <si>
    <t>Core Crown investment revenue</t>
  </si>
  <si>
    <t>Core Crown other revenue</t>
  </si>
  <si>
    <t>Total Core Crown expenses (excluding losses)</t>
  </si>
  <si>
    <t>Total Core Crown revenue (excluding gains)</t>
  </si>
  <si>
    <t>Core Crown gains/(losses)</t>
  </si>
  <si>
    <t>Less Core Crown financial assets (excl. receivables &amp; supranational organisations' equity)</t>
  </si>
  <si>
    <t>Core Cr Op. Bal = CC revenue (excl gains) − CC expenses (excl losses) + Net gains/(loss)</t>
  </si>
  <si>
    <t>Tax Revenue from Note = Tax Revenue in Statement of Financial Performance</t>
  </si>
  <si>
    <t>NOTE: Revenue collected through the Crown's sovereign power</t>
  </si>
  <si>
    <t>NOTE: Social assistance and official development assistance</t>
  </si>
  <si>
    <t>DATA FROM MINISTRY OF SOCIAL DEVELOPMENT</t>
  </si>
  <si>
    <t>Core Crown advances other than Student Loans</t>
  </si>
  <si>
    <t>RB and DMO and residual cash and cash equivalents</t>
  </si>
  <si>
    <t>Total Crown Social security &amp; welfare = CC + CE - elim for Social security &amp; welfare</t>
  </si>
  <si>
    <t>Amount borrowed in current year</t>
  </si>
  <si>
    <t>Fair value write down on new borrowings</t>
  </si>
  <si>
    <t>Repayments made during the year</t>
  </si>
  <si>
    <t>Interest unwind</t>
  </si>
  <si>
    <t>Impairment</t>
  </si>
  <si>
    <t>Other movements</t>
  </si>
  <si>
    <t>NOTE: Financial assets</t>
  </si>
  <si>
    <t>Reserve Bank and NZ DMO</t>
  </si>
  <si>
    <t>Financial assets by portfolio (net of any cross-holdings)</t>
  </si>
  <si>
    <t>NZ Superannuation Fund</t>
  </si>
  <si>
    <t>Other Core Crown</t>
  </si>
  <si>
    <t>Other Crown entities</t>
  </si>
  <si>
    <t>State-owned enterprises</t>
  </si>
  <si>
    <t>Uneliminated financial asset portfolio information by entity</t>
  </si>
  <si>
    <r>
      <t>plus</t>
    </r>
    <r>
      <rPr>
        <sz val="10"/>
        <rFont val="Times New Roman"/>
        <family val="1"/>
      </rPr>
      <t xml:space="preserve"> Amount borrowed in current year</t>
    </r>
  </si>
  <si>
    <r>
      <t>less</t>
    </r>
    <r>
      <rPr>
        <sz val="10"/>
        <rFont val="Times New Roman"/>
        <family val="1"/>
      </rPr>
      <t xml:space="preserve"> Fair value write down on new borrowings</t>
    </r>
  </si>
  <si>
    <r>
      <t>less</t>
    </r>
    <r>
      <rPr>
        <sz val="10"/>
        <rFont val="Times New Roman"/>
        <family val="1"/>
      </rPr>
      <t xml:space="preserve"> Repayments made during the year</t>
    </r>
  </si>
  <si>
    <r>
      <t>less</t>
    </r>
    <r>
      <rPr>
        <sz val="10"/>
        <rFont val="Times New Roman"/>
        <family val="1"/>
      </rPr>
      <t xml:space="preserve"> Impairment (includes Other movements)</t>
    </r>
  </si>
  <si>
    <t>Core Crown cash and cash equivalents</t>
  </si>
  <si>
    <t>Core Crown receivables</t>
  </si>
  <si>
    <t>Core Crown other financial assets</t>
  </si>
  <si>
    <t>Core Crown equity accounted investments</t>
  </si>
  <si>
    <t>CE property, plant and equipment</t>
  </si>
  <si>
    <t>SOE property, plant and equipment</t>
  </si>
  <si>
    <t>Total Crown Property, plant &amp; equip = Core Crown + CE + SOE in Statement of Segments</t>
  </si>
  <si>
    <t>Total Crown receivables</t>
  </si>
  <si>
    <t>New Zealand Superannuation Fund results before elimination</t>
  </si>
  <si>
    <t>Opening net worth</t>
  </si>
  <si>
    <t>Gross contribution from the Crown</t>
  </si>
  <si>
    <t>Other gains and losses</t>
  </si>
  <si>
    <t>Tax</t>
  </si>
  <si>
    <r>
      <t>plus</t>
    </r>
    <r>
      <rPr>
        <sz val="10"/>
        <rFont val="Times New Roman"/>
        <family val="1"/>
      </rPr>
      <t xml:space="preserve"> Gross contribution from the Crown</t>
    </r>
  </si>
  <si>
    <r>
      <t>plus</t>
    </r>
    <r>
      <rPr>
        <sz val="10"/>
        <rFont val="Times New Roman"/>
        <family val="1"/>
      </rPr>
      <t xml:space="preserve"> Revenue, including interest &amp; dividends</t>
    </r>
  </si>
  <si>
    <r>
      <t>plus</t>
    </r>
    <r>
      <rPr>
        <sz val="10"/>
        <rFont val="Times New Roman"/>
        <family val="1"/>
      </rPr>
      <t xml:space="preserve"> Other gains and losses</t>
    </r>
  </si>
  <si>
    <t>Debt</t>
  </si>
  <si>
    <t>Defined benefit retirement plan liabilities (GSF)</t>
  </si>
  <si>
    <t>Issued currency</t>
  </si>
  <si>
    <t>Core Crown non-debt liabilities excluding issued currency and GSF liability</t>
  </si>
  <si>
    <r>
      <t>plus</t>
    </r>
    <r>
      <rPr>
        <sz val="10"/>
        <rFont val="Times New Roman"/>
        <family val="1"/>
      </rPr>
      <t xml:space="preserve"> Insurance liabilities (ACC)</t>
    </r>
  </si>
  <si>
    <t>RB SETTLEMENT CASH EXCLUDED FROM GSID</t>
  </si>
  <si>
    <t>RB settlement cash is a form of debt outside the control of fiscal policy so is "looked through" in the debt constraint indicator.</t>
  </si>
  <si>
    <r>
      <t>plus</t>
    </r>
    <r>
      <rPr>
        <sz val="10"/>
        <rFont val="Times New Roman"/>
        <family val="1"/>
      </rPr>
      <t xml:space="preserve"> Non-Core Crown payables, deferred revenue and provisions</t>
    </r>
  </si>
  <si>
    <t>Reserve Bank &amp; DMO holdings</t>
  </si>
  <si>
    <t>Core Crown marketable securities, derivatives in gain and share investments</t>
  </si>
  <si>
    <t>NZ Superannuation Fund portfolio (excluding cross-holdings of Govt stock)</t>
  </si>
  <si>
    <r>
      <t>plus</t>
    </r>
    <r>
      <rPr>
        <sz val="10"/>
        <rFont val="Times New Roman"/>
        <family val="1"/>
      </rPr>
      <t xml:space="preserve"> ACC portfolio (excluding cross-holdings of Govt stock)</t>
    </r>
  </si>
  <si>
    <r>
      <t>plus</t>
    </r>
    <r>
      <rPr>
        <sz val="10"/>
        <rFont val="Times New Roman"/>
        <family val="1"/>
      </rPr>
      <t xml:space="preserve"> EQC portfolio (excluding cross-holdings of Govt stock)</t>
    </r>
  </si>
  <si>
    <t>Total Crown marketable securities, derivatives in gain and share investments</t>
  </si>
  <si>
    <t>Total Crown OBEGAL</t>
  </si>
  <si>
    <t>Core Crown Net Worth = Core Crown assets − Core Crown liabilities</t>
  </si>
  <si>
    <t>Revenue (excluding gains)</t>
  </si>
  <si>
    <t>Expenses (excluding losses)</t>
  </si>
  <si>
    <t>Total Gains/(Losses)</t>
  </si>
  <si>
    <t>OBEGAL (Operating Balance before Gains and Losses)</t>
  </si>
  <si>
    <t>Revenue (excluding gains) to GDP (Total Crown)</t>
  </si>
  <si>
    <t>Expenses (excluding losses) to GDP (Total Crown)</t>
  </si>
  <si>
    <t>Expenses (excluding losses) without finance costs to GDP (Total Crown)</t>
  </si>
  <si>
    <t>Expenses (excluding losses) without finance costs</t>
  </si>
  <si>
    <t>OBEGAL (Operating Balance before Gains and Losses) to GDP (Total Crown)</t>
  </si>
  <si>
    <t>Revenue (excluding gains) to GDP (Core Crown)</t>
  </si>
  <si>
    <t>Expenses (excluding losses) to GDP (Core Crown)</t>
  </si>
  <si>
    <t>Expenses (excluding losses) without finance costs to GDP (Core Crown)</t>
  </si>
  <si>
    <t>Forecast period uses Fiscal forecast numbers (make any balancing adjustments on tax paid)</t>
  </si>
  <si>
    <t>Tax on New Zealand Superannuation</t>
  </si>
  <si>
    <t>Corporate tax</t>
  </si>
  <si>
    <t>Sales of goods and services</t>
  </si>
  <si>
    <t>Other revenue</t>
  </si>
  <si>
    <t>Social security and welfare</t>
  </si>
  <si>
    <t>ACC payments</t>
  </si>
  <si>
    <t>GSF pension expenses</t>
  </si>
  <si>
    <t>Goods and services tax (GST)</t>
  </si>
  <si>
    <t>Core Crown tax revenue</t>
  </si>
  <si>
    <t>ACC expenses excluding movements in liability and payments to claimants</t>
  </si>
  <si>
    <t>Total Crown investment income</t>
  </si>
  <si>
    <t>DATA FROM FISCAL (NOT PUBLISHED)</t>
  </si>
  <si>
    <t>ACC investment income elimination</t>
  </si>
  <si>
    <t>EQC investment income elimination</t>
  </si>
  <si>
    <t>ACC portfolio</t>
  </si>
  <si>
    <t>EQC portfolio</t>
  </si>
  <si>
    <t>Advances</t>
  </si>
  <si>
    <t>Receivables</t>
  </si>
  <si>
    <t>Borrowings - sovereign guaranteed</t>
  </si>
  <si>
    <t>Borrowings - non-sovereign guaranteed</t>
  </si>
  <si>
    <t>ASSUMPTIONS THAT ALTER FORECAST YEARS</t>
  </si>
  <si>
    <t>ALLOCATION OF OPERATING &amp; CAPITAL ALLOWANCES</t>
  </si>
  <si>
    <t>Allocate Operating Allowance</t>
  </si>
  <si>
    <t>% allocated to Health</t>
  </si>
  <si>
    <t>% allocated to Education</t>
  </si>
  <si>
    <t>Demographic Growth</t>
  </si>
  <si>
    <t>FISCAL INDICATOR AS % OF NOMINAL GDP (SELECT FROM BOX)</t>
  </si>
  <si>
    <t>Tax Revenue to GDP (Total Crown)</t>
  </si>
  <si>
    <t>Operating Balance to GDP (Total Crown)</t>
  </si>
  <si>
    <t>OBEGAL excluding net returns from NZS Fund to GDP (Total Crown)</t>
  </si>
  <si>
    <t>Total Assets to GDP (Total Crown)</t>
  </si>
  <si>
    <t>Gross Debt to GDP (Total Crown)</t>
  </si>
  <si>
    <t>Gross Sovereign-issued Debt (GSID) to GDP (Total Crown)</t>
  </si>
  <si>
    <t>GSID less Reserve Bank settlement cash to GDP (Total Crown)</t>
  </si>
  <si>
    <t>Liabilities excluding Gross Debt to GDP (Total Crown)</t>
  </si>
  <si>
    <t>Net Worth to GDP (Total Crown)</t>
  </si>
  <si>
    <t>Fiscal Indicator as % of Nominal GDP</t>
  </si>
  <si>
    <t>Tax Revenue to GDP (Core Crown)</t>
  </si>
  <si>
    <t>Operating Balance to GDP (Core Crown)</t>
  </si>
  <si>
    <t>Gross Debt to GDP (Core Crown)</t>
  </si>
  <si>
    <t>Liabilities excluding Gross Debt to GDP (Core Crown)</t>
  </si>
  <si>
    <t>Net Worth to GDP (Core Crown)</t>
  </si>
  <si>
    <t>Transport and communications</t>
  </si>
  <si>
    <t>Economic and industrial services</t>
  </si>
  <si>
    <t>Primary services</t>
  </si>
  <si>
    <t>Heritage, culture and recreation</t>
  </si>
  <si>
    <t>Housing and community development</t>
  </si>
  <si>
    <t>Core government services</t>
  </si>
  <si>
    <t>Law and order</t>
  </si>
  <si>
    <t>Allowance for New Operating Initiatives</t>
  </si>
  <si>
    <t>Forecast Statement of Financial Performance</t>
  </si>
  <si>
    <t>Taxation revenue</t>
  </si>
  <si>
    <t>Total revenue levied through the Crown's sovereign power</t>
  </si>
  <si>
    <t xml:space="preserve">09/10 </t>
  </si>
  <si>
    <t>Total revenue earned through the Crown's operations</t>
  </si>
  <si>
    <t>Total Crown expenses by functional classification</t>
  </si>
  <si>
    <t>INDEX</t>
  </si>
  <si>
    <t>FISCAL READY RECKONER</t>
  </si>
  <si>
    <t>FORECAST YEARS</t>
  </si>
  <si>
    <t>Enter new fiscal variables as additions, in $ millions, to the current forecasts.</t>
  </si>
  <si>
    <t>Use negative values for subtractions. Leave entry as zero for unchanged variables.</t>
  </si>
  <si>
    <t>Additions to revenue or expenses apply to the year of addition only.</t>
  </si>
  <si>
    <t>Additions to expenses via operating allowance</t>
  </si>
  <si>
    <t>Additions to assets or liabilities apply not only to that year, but to each following year also.</t>
  </si>
  <si>
    <t>Additions to financial assets</t>
  </si>
  <si>
    <t>Additions to other assets via capital allowance</t>
  </si>
  <si>
    <t>Additions to liabilities other than debt</t>
  </si>
  <si>
    <t>BASE</t>
  </si>
  <si>
    <t>Picked up by formula from "Basis" worksheet.</t>
  </si>
  <si>
    <t>Government 10-year Bond rate</t>
  </si>
  <si>
    <t>Up to, and inclusive of, 2007/08</t>
  </si>
  <si>
    <t>2008/09 to 2012/13 inclusive</t>
  </si>
  <si>
    <t>historical years to 07/08 from</t>
  </si>
  <si>
    <t>Statistics New Zealand Historical population tables 1991-2008</t>
  </si>
  <si>
    <t>forecast and projected years from</t>
  </si>
  <si>
    <t xml:space="preserve">For the four economic scenario tracks, write over any old figures that you wish to </t>
  </si>
  <si>
    <t>change with new values. Variables that you do not want to alter should be left at</t>
  </si>
  <si>
    <t>their present forecast values i.e. the same as in the Base scenario.</t>
  </si>
  <si>
    <t>Calculated adjustment factors</t>
  </si>
  <si>
    <t>All figures in this section are calculated by formula.</t>
  </si>
  <si>
    <t>SCENARIO CALCULATIONS</t>
  </si>
  <si>
    <t>% change between new GDP and base GDP</t>
  </si>
  <si>
    <t>change in GDP annual % growth from base</t>
  </si>
  <si>
    <t>% change in unemp benefic's incl elasticity</t>
  </si>
  <si>
    <t>change in CPI annual % growth from base</t>
  </si>
  <si>
    <t>Multiplier for benefit CPI adjustment</t>
  </si>
  <si>
    <t>Change in 10-year Bond rate in % points</t>
  </si>
  <si>
    <t>chg in hrly wage ann % growth from base</t>
  </si>
  <si>
    <t>These should be reviewed at each forecast round and updated if necessary.</t>
  </si>
  <si>
    <t>Interest cost sensitivity is in $ million per 1 percentage point increase in interest rates</t>
  </si>
  <si>
    <t>Interest rate change in 1st forecasted year</t>
  </si>
  <si>
    <t>Interest rate change in 2nd forecasted year</t>
  </si>
  <si>
    <t>Interest rate change in 3rd forecasted year</t>
  </si>
  <si>
    <t>Interest rate change in 4th forecasted year</t>
  </si>
  <si>
    <t>Interest rate change in 5th forecasted year</t>
  </si>
  <si>
    <t>No. of unemployed as factor of unemp. rate</t>
  </si>
  <si>
    <t>Age Distributions</t>
  </si>
  <si>
    <t xml:space="preserve">Medium Fertility, Medium Mortality, and Long Term Annual Net Migration of 10,000 </t>
  </si>
  <si>
    <t xml:space="preserve">Net foreign-exchange (gains)/losses </t>
  </si>
  <si>
    <t>Forecast new operating spending</t>
  </si>
  <si>
    <t>Operating balance</t>
  </si>
  <si>
    <t>Forecast Statement of Financial Position</t>
  </si>
  <si>
    <t>GSF Gross Assets</t>
  </si>
  <si>
    <t>GSF Net Pension Liability</t>
  </si>
  <si>
    <t>Property, plant and equipment</t>
  </si>
  <si>
    <t>Forecast new capital spending</t>
  </si>
  <si>
    <t>Total assets</t>
  </si>
  <si>
    <t>Total liabilities</t>
  </si>
  <si>
    <t>Forecast Statement of Segments</t>
  </si>
  <si>
    <t>SUMMARY</t>
  </si>
  <si>
    <t>PROJECTED STATEMENT OF FINANCIAL PERFORMANCE</t>
  </si>
  <si>
    <t>PROJECTED STATEMENT OF FINANCIAL POSITION</t>
  </si>
  <si>
    <t>ECONOMIC PROJECTIONS ($BILLION, JUNE YEARS)</t>
  </si>
  <si>
    <t>Other income tax</t>
  </si>
  <si>
    <t>NZS Fund investment income</t>
  </si>
  <si>
    <t>Reserve Bank and DMO investment income</t>
  </si>
  <si>
    <t>ACC investment income</t>
  </si>
  <si>
    <t>EQC investment income</t>
  </si>
  <si>
    <t>Student loans</t>
  </si>
  <si>
    <t>Total social security and welfare expense</t>
  </si>
  <si>
    <t>CHECK: Last year's Outstanding Loans + Borrowing + Gross Interest - Interest Write-offs - Repayments - Other Write-offs = This year's Outstanding Loans</t>
  </si>
  <si>
    <t>Core Crown expenses by functional classification</t>
  </si>
  <si>
    <t>Core Crown taxation revenue</t>
  </si>
  <si>
    <t>Core Crown sales of goods and services</t>
  </si>
  <si>
    <t>Core Crown investment income</t>
  </si>
  <si>
    <r>
      <t xml:space="preserve">MODEL ASSUMPTIONS FROM 'SCENARIOS' COLUMN </t>
    </r>
    <r>
      <rPr>
        <b/>
        <sz val="12"/>
        <rFont val="Arial"/>
        <family val="2"/>
      </rPr>
      <t>→</t>
    </r>
  </si>
  <si>
    <t>NOTE D: ANNUAL INCREMENTS TO OPERATING PROVISION</t>
  </si>
  <si>
    <t>NOTE E: SOCIAL SECURITY AND WELFARE</t>
  </si>
  <si>
    <t>NOTE E.1: NZS PARAMETERS</t>
  </si>
  <si>
    <t>NOTE E.2: UNEMPLOYMENT BENEFIT NUMBERS (000's)</t>
  </si>
  <si>
    <t>NOTE F: HEALTH</t>
  </si>
  <si>
    <t>NOTE G: EDUCATION</t>
  </si>
  <si>
    <t>NOTE I: FINANCE COSTS (INCLUDES NET EXCHANGE LOSSES/[GAINS])</t>
  </si>
  <si>
    <t>NOTE J: NEW ZEALAND SUPERANNUATION FUND (NZSF)</t>
  </si>
  <si>
    <t>NOTE J.1: NZSF CONSOLIDATED PARAMETERS</t>
  </si>
  <si>
    <r>
      <t>less</t>
    </r>
    <r>
      <rPr>
        <sz val="10"/>
        <rFont val="Times New Roman"/>
        <family val="1"/>
      </rPr>
      <t xml:space="preserve"> Tax paid by NZSF</t>
    </r>
  </si>
  <si>
    <t>NOTE N: STUDENT LOANS</t>
  </si>
  <si>
    <t>Closing Balance Student Loans</t>
  </si>
  <si>
    <r>
      <t>plus</t>
    </r>
    <r>
      <rPr>
        <sz val="10"/>
        <rFont val="Times New Roman"/>
        <family val="1"/>
      </rPr>
      <t xml:space="preserve"> Crown Entity (CE) &amp; State-owned Entity (SOE) property, plant and equipment</t>
    </r>
  </si>
  <si>
    <t>NOTE P: PROPERTY, PLANT &amp; EQUIPMENT</t>
  </si>
  <si>
    <t>NOTE Q: ANNUAL INCREMENTS TO CAPITAL PROVISION</t>
  </si>
  <si>
    <t>NOTE R: OTHER NON-FINANCIAL ASSETS</t>
  </si>
  <si>
    <t>Changes can be made to the assumed %'s of ACC and EQC total returns from interest and/or dividends.</t>
  </si>
  <si>
    <t>Core Crown non-financial assets excluding property, plant and equipment</t>
  </si>
  <si>
    <t>Total Crown non-financial assets excluding property, plant and equipment</t>
  </si>
  <si>
    <t>NOTE S: NON-DEBT LIABILITIES</t>
  </si>
  <si>
    <r>
      <t xml:space="preserve">plus </t>
    </r>
    <r>
      <rPr>
        <sz val="10"/>
        <rFont val="Times New Roman"/>
        <family val="1"/>
      </rPr>
      <t>Eliminations from Core Crown borrowings - sovereign guaranteed</t>
    </r>
  </si>
  <si>
    <t>NOTE T: BORROWINGS - NON-SOVEREIGN GUARANTEED</t>
  </si>
  <si>
    <t>NOTE U: BORROWINGS - SOVEREIGN GUARANTEED &amp; GSID</t>
  </si>
  <si>
    <t>Core Crown Gross Debt</t>
  </si>
  <si>
    <t>Gross sovereign-issued debt (GSID)</t>
  </si>
  <si>
    <t>ACC payment weights</t>
  </si>
  <si>
    <t>New Zealand Superannuation Fund (NZSF)</t>
  </si>
  <si>
    <t>ACC COST WEIGHTS FOR PAYMENTS TO CLAIMANTS</t>
  </si>
  <si>
    <t>Cost per head averaged across fiscal years 2001/02 to 2005/06</t>
  </si>
  <si>
    <t>OPERATING &amp; CAPITAL PROVISION</t>
  </si>
  <si>
    <t>Operating Provision (initiatives &amp; cost rises)</t>
  </si>
  <si>
    <t>Capital Provision</t>
  </si>
  <si>
    <t>GROWTH RATES OF PROVISIONS</t>
  </si>
  <si>
    <t>Growth Rate of Operating Provision</t>
  </si>
  <si>
    <t>Growth Rate of Capital Provision</t>
  </si>
  <si>
    <t>If no selection is made for a provision, no growth will be applied to that provision in projected years.</t>
  </si>
  <si>
    <t>Core Crown social security and welfare</t>
  </si>
  <si>
    <t>CE social security and welfare</t>
  </si>
  <si>
    <t>Social security and welfare eliminations</t>
  </si>
  <si>
    <t>OBEGAL PROJECTION PARAMETERS</t>
  </si>
  <si>
    <t>% of ACC returns from interest and/or dividends</t>
  </si>
  <si>
    <t>NZSF eliminated expenses</t>
  </si>
  <si>
    <t>Financial asset Elims</t>
  </si>
  <si>
    <t>SOE (and some CE) dividends paid to Crown</t>
  </si>
  <si>
    <t>DMO adjustment to financial assets for updates</t>
  </si>
  <si>
    <t>NZS Fund adjustment to financial assets for updates</t>
  </si>
  <si>
    <t>2022/23</t>
  </si>
  <si>
    <t>% of EQC returns from interest and/or dividends</t>
  </si>
  <si>
    <t>FISCAL DRAG</t>
  </si>
  <si>
    <t>Apply elasticity to inflation or real wage growth or both</t>
  </si>
  <si>
    <t>2019/20</t>
  </si>
  <si>
    <t>Reserve Bank settlement cash in $billion</t>
  </si>
  <si>
    <t>GSID less Reserve Bank settlement cash</t>
  </si>
  <si>
    <t>Core Crown operating balance</t>
  </si>
  <si>
    <t>NZ Superannuation</t>
  </si>
  <si>
    <t>Unemployment benefit</t>
  </si>
  <si>
    <t>Domestic purposes benefit</t>
  </si>
  <si>
    <t>New Zealand Superannuation Fund</t>
  </si>
  <si>
    <t>Number of unemployment beneficiaries (000s)</t>
  </si>
  <si>
    <t>NOTE: Student loans</t>
  </si>
  <si>
    <t>Opening balance</t>
  </si>
  <si>
    <t>Closing balance</t>
  </si>
  <si>
    <t>Invalids benefit</t>
  </si>
  <si>
    <t>Sickness benefit</t>
  </si>
  <si>
    <t>USE OF DMO FUNDS TO REDUCE DEBT</t>
  </si>
  <si>
    <t>Amount of excess DMO funds to use, in $billion</t>
  </si>
  <si>
    <t>Reduce debt via use of excess DMO funds</t>
  </si>
  <si>
    <t>Core Crown other assets</t>
  </si>
  <si>
    <t>OBEGAL excluding net returns from NZS Fund</t>
  </si>
  <si>
    <t>Core Crown net worth</t>
  </si>
  <si>
    <t>Total Crown other expenses</t>
  </si>
  <si>
    <t>The remaining % of returns arise from upward or downward movements in asset values i.e. capital gains or losses.</t>
  </si>
  <si>
    <t>It is these capital gains or losses that are subtracted from the Operating Balance to produce OBEGAL.</t>
  </si>
  <si>
    <t>To apply fiscal drag to inflation only, use Inflation. To apply fiscal drag to real wage only, use Wage. Neither is applied unless</t>
  </si>
  <si>
    <t>fiscal drag is selected above. Anything other than Inflation or Wage applies full fiscal drag, provided fiscal drag is selected above.</t>
  </si>
  <si>
    <t>Put in amounts, in $ billion, for first projected year values of the Operating and Capital Allowances.</t>
  </si>
  <si>
    <t>These are the economic variables most often altered in scenarios, especially the labour productivity growth in projected years.</t>
  </si>
  <si>
    <t>For annual growth equal to that of Nominal GDP, use GDP. For annual growth equal to that of inflation, use CPI.</t>
  </si>
  <si>
    <t>Present policy ensures NZS stays above a set % of average wage. To model this, use Yes.</t>
  </si>
  <si>
    <t>To model NZS expenditure in projected years with just CPI growth and no wage floor, use No.</t>
  </si>
  <si>
    <t>base</t>
  </si>
  <si>
    <t>If selected value for Inflation Rate, Government 10-year Bond Rate or Unemployment Rate does not match final forecast year value,</t>
  </si>
  <si>
    <t>each converges to selected value at annual rate of change selected below. Enter annual change as a positive value, because model</t>
  </si>
  <si>
    <t>takes into account whether increase or decrease is needed. (Convergence rate immaterial if selection matches final forecast year).</t>
  </si>
  <si>
    <t>To hold gross sovereign-issued debt (GSID) constant in projections until DMO excess funds are exhausted, use Yes.</t>
  </si>
  <si>
    <t>Any other choice will ensure GSID is used as the Core Crown balancing item in all projected years.</t>
  </si>
  <si>
    <t>Change to Inflation Rate</t>
  </si>
  <si>
    <t>Allocating the Capital Allowances enables individual asset classes to be grown.</t>
  </si>
  <si>
    <t>Core Crown finance costs (including exchange rate losses/[gains])</t>
  </si>
  <si>
    <t>Financial assets core Crown  per segments</t>
  </si>
  <si>
    <t>Financial assets CE  per segments</t>
  </si>
  <si>
    <t>Financial assets SOE  per segments</t>
  </si>
  <si>
    <t>Total Financial assets</t>
  </si>
  <si>
    <t>KiwiBank mortgages</t>
  </si>
  <si>
    <t>Revenue (including interest and dividends)</t>
  </si>
  <si>
    <t>NZSF and residual cash holdings</t>
  </si>
  <si>
    <t>DMO and RBNZ cash holdings</t>
  </si>
  <si>
    <t>Core Cr Fin. Assets by portfolio from Note = Fin. Assets in Statement of Financial Position</t>
  </si>
  <si>
    <r>
      <t>less</t>
    </r>
    <r>
      <rPr>
        <sz val="10"/>
        <rFont val="Times New Roman"/>
        <family val="1"/>
      </rPr>
      <t xml:space="preserve"> Expenses</t>
    </r>
  </si>
  <si>
    <t>SOE &amp; CE investment income</t>
  </si>
  <si>
    <r>
      <t>plus</t>
    </r>
    <r>
      <rPr>
        <sz val="10"/>
        <rFont val="Times New Roman"/>
        <family val="1"/>
      </rPr>
      <t xml:space="preserve"> KiwiBank mortgages</t>
    </r>
  </si>
  <si>
    <r>
      <t>plus</t>
    </r>
    <r>
      <rPr>
        <sz val="10"/>
        <rFont val="Times New Roman"/>
        <family val="1"/>
      </rPr>
      <t xml:space="preserve"> other CE and SOE financial assets (net of eliminations)</t>
    </r>
  </si>
  <si>
    <t>Advances - Core Crown</t>
  </si>
  <si>
    <t>NZS Fund cash</t>
  </si>
  <si>
    <t>Total Crown finance costs (including exchange rate losses/[gains])</t>
  </si>
  <si>
    <t>Real growth of other non-finance cost expenses</t>
  </si>
  <si>
    <t>SCENARIO NAME:</t>
  </si>
  <si>
    <t>KEY ECONOMIC ASSUMPTIONS</t>
  </si>
  <si>
    <t>Labour Productivity Growth</t>
  </si>
  <si>
    <t>Inflation Rate</t>
  </si>
  <si>
    <t>KEY FISCAL POLICY ASSUMPTIONS</t>
  </si>
  <si>
    <t>Include Fiscal Drag</t>
  </si>
  <si>
    <t>Health</t>
  </si>
  <si>
    <t>Defence</t>
  </si>
  <si>
    <t>Other</t>
  </si>
  <si>
    <t>Unemployment Rate</t>
  </si>
  <si>
    <t>Males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</si>
  <si>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</si>
  <si>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</si>
  <si>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</si>
  <si>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</si>
  <si>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</si>
  <si>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</si>
  <si>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</si>
  <si>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</si>
  <si>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</si>
  <si>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</si>
  <si>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</si>
  <si>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</si>
  <si>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</si>
  <si>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</si>
  <si>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</si>
  <si>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</si>
  <si>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</si>
  <si>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</si>
  <si>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</si>
  <si>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</si>
  <si>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</si>
  <si>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</si>
  <si>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</si>
  <si>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</si>
  <si>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</si>
  <si>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</si>
  <si>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</si>
  <si>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</si>
  <si>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</si>
  <si>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</si>
  <si>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</si>
  <si>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</si>
  <si>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</si>
  <si>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</si>
  <si>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</si>
  <si>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</si>
  <si>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31/32</t>
  </si>
  <si>
    <t>32/33</t>
  </si>
  <si>
    <t>33/34</t>
  </si>
  <si>
    <t>34/35</t>
  </si>
  <si>
    <t>35/36</t>
  </si>
  <si>
    <t>36/37</t>
  </si>
  <si>
    <t>37/38</t>
  </si>
  <si>
    <t>38/39</t>
  </si>
  <si>
    <t>39/40</t>
  </si>
  <si>
    <t>40/41</t>
  </si>
  <si>
    <t>41/42</t>
  </si>
  <si>
    <t>42/43</t>
  </si>
  <si>
    <t>43/44</t>
  </si>
  <si>
    <t>44/45</t>
  </si>
  <si>
    <t>45/46</t>
  </si>
  <si>
    <t>46/47</t>
  </si>
  <si>
    <t>47/48</t>
  </si>
  <si>
    <t>48/49</t>
  </si>
  <si>
    <t>49/50</t>
  </si>
  <si>
    <t>50/51</t>
  </si>
  <si>
    <t>Interest cost sensitivity</t>
  </si>
  <si>
    <t>Labour Force Participation</t>
  </si>
  <si>
    <t>2008 BEFU updates from DMO.</t>
  </si>
  <si>
    <t>GSF Liability (gross discount)</t>
  </si>
  <si>
    <t>92/93</t>
  </si>
  <si>
    <t>93/94</t>
  </si>
  <si>
    <t>94/95</t>
  </si>
  <si>
    <t>Summary description file</t>
  </si>
  <si>
    <t>Fiscal Forecasts</t>
  </si>
  <si>
    <t>Economic Forecasts</t>
  </si>
  <si>
    <t>Demographic Forecasts</t>
  </si>
  <si>
    <t>Benefit Forecasts</t>
  </si>
  <si>
    <t>NZ Superannuation Fund (NZSF)</t>
  </si>
  <si>
    <t>Government Superannuation Fund (GSF)</t>
  </si>
  <si>
    <t>Student Loans Track (TESLA)</t>
  </si>
  <si>
    <t>Health Weights</t>
  </si>
  <si>
    <t>Employment (= LF x (1-Unemployment rate)) (millions)</t>
  </si>
  <si>
    <t>Capital contribution</t>
  </si>
  <si>
    <t>NZSF net investment portfolio, including cross-holdings</t>
  </si>
  <si>
    <t>Assets</t>
  </si>
  <si>
    <t>CHECKS: CALCULATIONS COMPARED TO ACTUALS &amp; FORECASTS</t>
  </si>
  <si>
    <t>Core Crown Operating Balance</t>
  </si>
  <si>
    <r>
      <t xml:space="preserve">Total Crown Net Worth (also checks </t>
    </r>
    <r>
      <rPr>
        <sz val="10"/>
        <rFont val="Arial"/>
        <family val="2"/>
      </rPr>
      <t>∆</t>
    </r>
    <r>
      <rPr>
        <sz val="10"/>
        <rFont val="Times New Roman"/>
        <family val="1"/>
      </rPr>
      <t>Net Worth = Operating Balance in proj. yrs)</t>
    </r>
  </si>
  <si>
    <r>
      <t xml:space="preserve">Core Crown Net Worth (also checks </t>
    </r>
    <r>
      <rPr>
        <sz val="10"/>
        <rFont val="Arial"/>
        <family val="2"/>
      </rPr>
      <t>∆</t>
    </r>
    <r>
      <rPr>
        <sz val="10"/>
        <rFont val="Times New Roman"/>
        <family val="1"/>
      </rPr>
      <t>Net Worth = Operating Balance in proj. yrs)</t>
    </r>
  </si>
  <si>
    <r>
      <t xml:space="preserve">less </t>
    </r>
    <r>
      <rPr>
        <sz val="10"/>
        <rFont val="Times New Roman"/>
        <family val="1"/>
      </rPr>
      <t>Eliminations</t>
    </r>
  </si>
  <si>
    <r>
      <t>plus</t>
    </r>
    <r>
      <rPr>
        <sz val="10"/>
        <rFont val="Times New Roman"/>
        <family val="1"/>
      </rPr>
      <t xml:space="preserve"> Elimination</t>
    </r>
  </si>
  <si>
    <t>NOTE B: OTHER NON-INVESTMENT INCOME</t>
  </si>
  <si>
    <t>Total Crown other non-investment income</t>
  </si>
  <si>
    <t>Core Crown other non-investment income</t>
  </si>
  <si>
    <t>NOTE C: INVESTMENT INCOME</t>
  </si>
  <si>
    <t>Elimination on ACC investment income</t>
  </si>
  <si>
    <t>Elimination on EQC investment income</t>
  </si>
  <si>
    <r>
      <t>less</t>
    </r>
    <r>
      <rPr>
        <sz val="10"/>
        <rFont val="Times New Roman"/>
        <family val="1"/>
      </rPr>
      <t xml:space="preserve"> Elimination</t>
    </r>
  </si>
  <si>
    <t>Tax paid on earnings on fund assets</t>
  </si>
  <si>
    <t>GSF Pension Expense</t>
  </si>
  <si>
    <t>(Billions of $NZ)</t>
  </si>
  <si>
    <t>(Millions of $NZ)</t>
  </si>
  <si>
    <t>Borrowing</t>
  </si>
  <si>
    <t>Repayments</t>
  </si>
  <si>
    <t>Other Write-Offs</t>
  </si>
  <si>
    <t>Outstanding Loans</t>
  </si>
  <si>
    <t>Invalids Benefit</t>
  </si>
  <si>
    <t>Sickness Benefit</t>
  </si>
  <si>
    <t>Education</t>
  </si>
  <si>
    <t>Domestic Purposes</t>
  </si>
  <si>
    <r>
      <t>plus</t>
    </r>
    <r>
      <rPr>
        <sz val="10"/>
        <rFont val="Times New Roman"/>
        <family val="1"/>
      </rPr>
      <t xml:space="preserve"> Interest unwind</t>
    </r>
  </si>
  <si>
    <t>Student Loan New Op Bal = Op Bal + Borrow - FV write-down - Repay + Int - Impair + Oth</t>
  </si>
  <si>
    <t>Other Core Crown holdings</t>
  </si>
  <si>
    <r>
      <t>less</t>
    </r>
    <r>
      <rPr>
        <sz val="10"/>
        <rFont val="Times New Roman"/>
        <family val="1"/>
      </rPr>
      <t xml:space="preserve"> Eliminations</t>
    </r>
  </si>
  <si>
    <t>READY RECKONER (RR)</t>
  </si>
  <si>
    <t>Ready Reckoner match to forecast years</t>
  </si>
  <si>
    <t>Fiscal RR addition to investment income</t>
  </si>
  <si>
    <t>Fiscal RR addition to expenses ex finance costs, via operating allowance</t>
  </si>
  <si>
    <t>Fiscal RR addition to finance costs</t>
  </si>
  <si>
    <t>Fiscal RR non-operating balance additions to debt</t>
  </si>
  <si>
    <t>Fiscal RR annual addition to gross debt</t>
  </si>
  <si>
    <t>Fiscal RR addition to financial assets</t>
  </si>
  <si>
    <t>Fiscal RR addition to other assets, via capital allowance</t>
  </si>
  <si>
    <t>Fiscal RR addition to liabilities other than debt</t>
  </si>
  <si>
    <t>Write no. of years since 2005/06 for last historical fiscal year, e.g. 1 for 2007/08</t>
  </si>
  <si>
    <t>Expenses (including subtraction of 'Other movements in reserves' in actual years)</t>
  </si>
  <si>
    <t>Net earnings, excluding tax</t>
  </si>
  <si>
    <t>Fiscal RR addition to tax revenue via source deductions</t>
  </si>
  <si>
    <t>Fiscal RR addition to tax revenue via corporate tax</t>
  </si>
  <si>
    <t>Additions to source deductions tax revenue</t>
  </si>
  <si>
    <t>Additions to corporate tax revenue</t>
  </si>
  <si>
    <t>Fiscal RR addition to operating balance</t>
  </si>
  <si>
    <t>Economic RR addition to operating balance</t>
  </si>
  <si>
    <t>Total RR addition to operating balance</t>
  </si>
  <si>
    <t>"Other" Core Crown expenditure excluding Law &amp; order, Defence &amp; Transport</t>
  </si>
  <si>
    <t>% allocated to Law and order</t>
  </si>
  <si>
    <t>% allocated to Defence</t>
  </si>
  <si>
    <t>% allocated to Transport and communications</t>
  </si>
  <si>
    <t>Allocating the Operating Allowance enables individual expenditure categories to be grown. The remaining % allocation goes to the</t>
  </si>
  <si>
    <t>smaller categories in the "Other Expenditure" category. If allocation is not selected, the choice of the allocation %'s is immaterial.</t>
  </si>
  <si>
    <t>Labour force (millions of workers)</t>
  </si>
  <si>
    <t>Assumed starting point</t>
  </si>
  <si>
    <t>Overlay Capital Provision From Track</t>
  </si>
  <si>
    <t>Net Core Crown Debt including NZS Fund assets</t>
  </si>
  <si>
    <t>Net Core Crown Debt including NZS Fund assets to GDP (Core Crown)</t>
  </si>
  <si>
    <t>Additions to other tax revenue</t>
  </si>
  <si>
    <t>Fiscal RR addition to tax revenue via other tax</t>
  </si>
  <si>
    <t>Additions to social welfare expenditure</t>
  </si>
  <si>
    <t>Fiscal RR addition to expenses ex finance costs via social welfare</t>
  </si>
  <si>
    <t>KiwiBank holdings of Settlement Cash</t>
  </si>
  <si>
    <t>Total RR addition to gross debt</t>
  </si>
  <si>
    <t>Pre-Election Economic &amp; Fiscal Update (PREFU) 2008 version from the Government Actuary</t>
  </si>
  <si>
    <t>Projected using Budget Economic &amp; Fiscal Update (BEFU) 2008 Student Loan track beyond the forecast horizon, i.e. from 2013/14 onwards</t>
  </si>
  <si>
    <t>CAPITAL TRACK</t>
  </si>
  <si>
    <t>option</t>
  </si>
  <si>
    <t xml:space="preserve">Projections produced by Statistics New Zealand for Treasury. Projection period covers 2006-2050, </t>
  </si>
  <si>
    <t>THE FISCAL STRATEGY MODEL (FSM) - ECONOMIC &amp; FISCAL FORECASTS DECEMBER 2008 VERSION</t>
  </si>
  <si>
    <t>Economic and Fiscal Forecasts December 2008 (EFF 2008) data and forecasts</t>
  </si>
  <si>
    <t>EFF 2008</t>
  </si>
  <si>
    <t>Track based on EFF 2008 nominal GDP and net-of-tax NZS expenditure tracks.</t>
  </si>
  <si>
    <t>EFF 2008: ECONOMIC AND FISCAL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</si>
</sst>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00"/>
    <numFmt numFmtId="165" formatCode="0.0%"/>
    <numFmt numFmtId="166" formatCode="0.0"/>
    <numFmt numFmtId="167" formatCode="#,##0.0"/>
    <numFmt numFmtId="168" formatCode="0.00000"/>
    <numFmt numFmtId="169" formatCode="0.0000%"/>
    <numFmt numFmtId="170" formatCode="0.0000"/>
    <numFmt numFmtId="171" formatCode="#,##0.000"/>
    <numFmt numFmtId="172" formatCode="#,##0.00000"/>
    <numFmt numFmtId="173" formatCode="#,##0.0000"/>
  </numFmts>
  <fonts count="69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sz val="10"/>
      <name val="MS Sans Serif"/>
      <family val="2"/>
    </font>
    <font>
      <b/>
      <sz val="10"/>
      <color indexed="10"/>
      <name val="MS Sans Serif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Times New Roman"/>
      <family val="1"/>
    </font>
    <font>
      <sz val="10"/>
      <color indexed="10"/>
      <name val="Arial"/>
      <family val="2"/>
    </font>
    <font>
      <b/>
      <sz val="10"/>
      <color indexed="12"/>
      <name val="MS Sans Serif"/>
      <family val="2"/>
    </font>
    <font>
      <sz val="10"/>
      <color indexed="10"/>
      <name val="Arial"/>
      <family val="2"/>
    </font>
    <font>
      <b/>
      <sz val="10"/>
      <color indexed="20"/>
      <name val="MS Sans Serif"/>
      <family val="2"/>
    </font>
    <font>
      <sz val="10"/>
      <color indexed="2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Arial"/>
      <family val="2"/>
    </font>
    <font>
      <sz val="18"/>
      <name val="Impac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48">
    <xf numFmtId="0" fontId="0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3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57" fillId="7" borderId="1" applyNumberFormat="0" applyAlignment="0" applyProtection="0"/>
    <xf numFmtId="0" fontId="58" fillId="0" borderId="6" applyNumberFormat="0" applyFill="0" applyAlignment="0" applyProtection="0"/>
    <xf numFmtId="0" fontId="59" fillId="22" borderId="0" applyNumberFormat="0" applyBorder="0" applyAlignment="0" applyProtection="0"/>
    <xf numFmtId="0" fontId="1" fillId="0" borderId="0"/>
    <xf numFmtId="164" fontId="4" fillId="0" borderId="0"/>
    <xf numFmtId="0" fontId="18" fillId="0" borderId="0"/>
    <xf numFmtId="0" fontId="1" fillId="23" borderId="7" applyNumberFormat="0" applyFont="0" applyAlignment="0" applyProtection="0"/>
    <xf numFmtId="0" fontId="60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04">
    <xf numFmtId="0" fontId="0" fillId="0" borderId="0" xfId="0"/>
    <xf numFmtId="0" fontId="2" fillId="0" borderId="0" xfId="0" applyFont="1"/>
    <xf numFmtId="165" fontId="5" fillId="24" borderId="7" xfId="43" quotePrefix="1" applyNumberFormat="1" applyFont="1" applyFill="1" applyBorder="1" applyAlignment="1"/>
    <xf numFmtId="165" fontId="6" fillId="25" borderId="7" xfId="43" quotePrefix="1" applyNumberFormat="1" applyFont="1" applyFill="1" applyBorder="1" applyAlignment="1"/>
    <xf numFmtId="49" fontId="4" fillId="24" borderId="7" xfId="43" applyNumberFormat="1" applyFont="1" applyFill="1" applyBorder="1" applyAlignment="1">
      <alignment horizontal="center"/>
    </xf>
    <xf numFmtId="49" fontId="7" fillId="25" borderId="7" xfId="43" applyNumberFormat="1" applyFont="1" applyFill="1" applyBorder="1" applyAlignment="1">
      <alignment horizontal="center"/>
    </xf>
    <xf numFmtId="164" fontId="5" fillId="24" borderId="7" xfId="43" quotePrefix="1" applyNumberFormat="1" applyFont="1" applyFill="1" applyBorder="1" applyAlignment="1"/>
    <xf numFmtId="164" fontId="6" fillId="25" borderId="7" xfId="0" applyNumberFormat="1" applyFont="1" applyFill="1" applyBorder="1"/>
    <xf numFmtId="0" fontId="0" fillId="25" borderId="0" xfId="0" applyFill="1"/>
    <xf numFmtId="0" fontId="0" fillId="26" borderId="0" xfId="0" applyFill="1"/>
    <xf numFmtId="164" fontId="0" fillId="26" borderId="0" xfId="0" applyNumberFormat="1" applyFill="1"/>
    <xf numFmtId="0" fontId="9" fillId="0" borderId="0" xfId="0" applyFont="1"/>
    <xf numFmtId="49" fontId="11" fillId="0" borderId="0" xfId="0" applyNumberFormat="1" applyFont="1" applyFill="1" applyAlignment="1">
      <alignment horizontal="center"/>
    </xf>
    <xf numFmtId="0" fontId="13" fillId="0" borderId="0" xfId="0" applyFont="1"/>
    <xf numFmtId="0" fontId="2" fillId="27" borderId="0" xfId="0" applyFont="1" applyFill="1"/>
    <xf numFmtId="0" fontId="0" fillId="27" borderId="0" xfId="0" applyFill="1"/>
    <xf numFmtId="49" fontId="11" fillId="27" borderId="0" xfId="0" applyNumberFormat="1" applyFont="1" applyFill="1" applyAlignment="1">
      <alignment horizontal="center"/>
    </xf>
    <xf numFmtId="0" fontId="14" fillId="27" borderId="0" xfId="0" applyFont="1" applyFill="1" applyBorder="1"/>
    <xf numFmtId="0" fontId="2" fillId="26" borderId="0" xfId="0" applyFont="1" applyFill="1"/>
    <xf numFmtId="49" fontId="11" fillId="26" borderId="0" xfId="0" applyNumberFormat="1" applyFont="1" applyFill="1" applyAlignment="1">
      <alignment horizontal="center"/>
    </xf>
    <xf numFmtId="0" fontId="14" fillId="26" borderId="0" xfId="0" applyFont="1" applyFill="1" applyBorder="1"/>
    <xf numFmtId="0" fontId="2" fillId="28" borderId="0" xfId="0" applyFont="1" applyFill="1"/>
    <xf numFmtId="0" fontId="0" fillId="28" borderId="0" xfId="0" applyFill="1"/>
    <xf numFmtId="49" fontId="11" fillId="28" borderId="0" xfId="0" applyNumberFormat="1" applyFont="1" applyFill="1" applyAlignment="1">
      <alignment horizontal="center"/>
    </xf>
    <xf numFmtId="0" fontId="15" fillId="27" borderId="0" xfId="0" applyFont="1" applyFill="1" applyBorder="1"/>
    <xf numFmtId="0" fontId="15" fillId="26" borderId="0" xfId="0" applyFont="1" applyFill="1" applyBorder="1"/>
    <xf numFmtId="0" fontId="15" fillId="28" borderId="0" xfId="0" applyFont="1" applyFill="1" applyBorder="1"/>
    <xf numFmtId="49" fontId="8" fillId="28" borderId="0" xfId="0" applyNumberFormat="1" applyFont="1" applyFill="1" applyBorder="1" applyAlignment="1">
      <alignment horizontal="left" indent="2"/>
    </xf>
    <xf numFmtId="167" fontId="0" fillId="28" borderId="0" xfId="0" applyNumberFormat="1" applyFill="1" applyBorder="1" applyAlignment="1">
      <alignment horizontal="right"/>
    </xf>
    <xf numFmtId="49" fontId="8" fillId="28" borderId="0" xfId="0" applyNumberFormat="1" applyFont="1" applyFill="1" applyBorder="1" applyAlignment="1">
      <alignment horizontal="left"/>
    </xf>
    <xf numFmtId="49" fontId="16" fillId="0" borderId="0" xfId="0" applyNumberFormat="1" applyFont="1" applyFill="1"/>
    <xf numFmtId="49" fontId="19" fillId="0" borderId="0" xfId="0" applyNumberFormat="1" applyFont="1" applyFill="1" applyAlignment="1">
      <alignment horizontal="center"/>
    </xf>
    <xf numFmtId="0" fontId="16" fillId="27" borderId="0" xfId="0" applyFont="1" applyFill="1"/>
    <xf numFmtId="0" fontId="8" fillId="29" borderId="10" xfId="0" applyFont="1" applyFill="1" applyBorder="1"/>
    <xf numFmtId="0" fontId="8" fillId="29" borderId="11" xfId="0" applyFont="1" applyFill="1" applyBorder="1"/>
    <xf numFmtId="0" fontId="8" fillId="29" borderId="12" xfId="0" applyFont="1" applyFill="1" applyBorder="1" applyAlignment="1">
      <alignment horizontal="center"/>
    </xf>
    <xf numFmtId="164" fontId="18" fillId="29" borderId="11" xfId="40" applyNumberFormat="1" applyFont="1" applyFill="1" applyBorder="1" applyAlignment="1">
      <alignment horizontal="left"/>
    </xf>
    <xf numFmtId="1" fontId="18" fillId="29" borderId="13" xfId="40" applyNumberFormat="1" applyFont="1" applyFill="1" applyBorder="1" applyAlignment="1">
      <alignment horizontal="left"/>
    </xf>
    <xf numFmtId="0" fontId="0" fillId="29" borderId="0" xfId="0" applyFill="1"/>
    <xf numFmtId="0" fontId="16" fillId="29" borderId="0" xfId="0" applyFont="1" applyFill="1"/>
    <xf numFmtId="49" fontId="9" fillId="25" borderId="0" xfId="0" applyNumberFormat="1" applyFont="1" applyFill="1"/>
    <xf numFmtId="49" fontId="0" fillId="0" borderId="0" xfId="0" applyNumberFormat="1"/>
    <xf numFmtId="49" fontId="4" fillId="0" borderId="0" xfId="0" applyNumberFormat="1" applyFont="1"/>
    <xf numFmtId="49" fontId="3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indent="2"/>
    </xf>
    <xf numFmtId="49" fontId="4" fillId="0" borderId="0" xfId="0" applyNumberFormat="1" applyFont="1" applyAlignment="1">
      <alignment horizontal="left" indent="2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indent="1"/>
    </xf>
    <xf numFmtId="49" fontId="3" fillId="0" borderId="0" xfId="0" applyNumberFormat="1" applyFont="1" applyFill="1" applyBorder="1" applyAlignment="1"/>
    <xf numFmtId="1" fontId="0" fillId="0" borderId="0" xfId="0" applyNumberFormat="1"/>
    <xf numFmtId="0" fontId="9" fillId="24" borderId="7" xfId="0" applyFont="1" applyFill="1" applyBorder="1"/>
    <xf numFmtId="0" fontId="9" fillId="25" borderId="7" xfId="0" applyFont="1" applyFill="1" applyBorder="1"/>
    <xf numFmtId="49" fontId="2" fillId="0" borderId="0" xfId="0" applyNumberFormat="1" applyFont="1"/>
    <xf numFmtId="49" fontId="9" fillId="0" borderId="0" xfId="0" applyNumberFormat="1" applyFont="1"/>
    <xf numFmtId="164" fontId="0" fillId="0" borderId="0" xfId="0" applyNumberFormat="1"/>
    <xf numFmtId="0" fontId="2" fillId="30" borderId="0" xfId="0" applyFont="1" applyFill="1"/>
    <xf numFmtId="49" fontId="11" fillId="30" borderId="0" xfId="0" applyNumberFormat="1" applyFont="1" applyFill="1" applyAlignment="1">
      <alignment horizontal="center"/>
    </xf>
    <xf numFmtId="49" fontId="8" fillId="30" borderId="0" xfId="0" applyNumberFormat="1" applyFont="1" applyFill="1" applyBorder="1" applyAlignment="1">
      <alignment horizontal="left" indent="2"/>
    </xf>
    <xf numFmtId="165" fontId="0" fillId="0" borderId="0" xfId="0" applyNumberFormat="1"/>
    <xf numFmtId="164" fontId="8" fillId="0" borderId="0" xfId="0" applyNumberFormat="1" applyFont="1" applyBorder="1"/>
    <xf numFmtId="164" fontId="8" fillId="0" borderId="0" xfId="0" applyNumberFormat="1" applyFont="1"/>
    <xf numFmtId="0" fontId="14" fillId="0" borderId="0" xfId="0" applyFont="1" applyFill="1" applyBorder="1"/>
    <xf numFmtId="2" fontId="0" fillId="0" borderId="0" xfId="0" applyNumberFormat="1"/>
    <xf numFmtId="49" fontId="23" fillId="0" borderId="0" xfId="0" applyNumberFormat="1" applyFont="1" applyAlignment="1">
      <alignment horizontal="left" vertical="center" indent="1"/>
    </xf>
    <xf numFmtId="164" fontId="2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39" applyFont="1" applyFill="1"/>
    <xf numFmtId="164" fontId="28" fillId="0" borderId="0" xfId="39" applyFont="1" applyFill="1"/>
    <xf numFmtId="164" fontId="9" fillId="0" borderId="0" xfId="39" applyFont="1" applyFill="1"/>
    <xf numFmtId="164" fontId="3" fillId="0" borderId="0" xfId="39" applyFont="1" applyFill="1" applyAlignment="1">
      <alignment horizontal="left" indent="1"/>
    </xf>
    <xf numFmtId="164" fontId="3" fillId="0" borderId="0" xfId="39" applyFont="1" applyFill="1" applyAlignment="1">
      <alignment horizontal="left"/>
    </xf>
    <xf numFmtId="164" fontId="28" fillId="0" borderId="0" xfId="39" applyNumberFormat="1" applyFont="1" applyFill="1" applyAlignment="1">
      <alignment horizontal="right"/>
    </xf>
    <xf numFmtId="164" fontId="17" fillId="0" borderId="0" xfId="39" applyNumberFormat="1" applyFont="1" applyFill="1" applyAlignment="1">
      <alignment horizontal="right"/>
    </xf>
    <xf numFmtId="164" fontId="9" fillId="0" borderId="0" xfId="39" applyFont="1" applyFill="1" applyAlignment="1">
      <alignment horizontal="left"/>
    </xf>
    <xf numFmtId="49" fontId="9" fillId="0" borderId="0" xfId="0" applyNumberFormat="1" applyFont="1" applyAlignment="1">
      <alignment horizontal="center"/>
    </xf>
    <xf numFmtId="167" fontId="1" fillId="28" borderId="0" xfId="43" applyNumberFormat="1" applyFill="1" applyBorder="1" applyAlignment="1">
      <alignment horizontal="right"/>
    </xf>
    <xf numFmtId="0" fontId="8" fillId="27" borderId="14" xfId="0" applyFont="1" applyFill="1" applyBorder="1" applyAlignment="1">
      <alignment horizontal="center"/>
    </xf>
    <xf numFmtId="0" fontId="8" fillId="27" borderId="14" xfId="0" applyFont="1" applyFill="1" applyBorder="1" applyAlignment="1">
      <alignment horizontal="right"/>
    </xf>
    <xf numFmtId="0" fontId="8" fillId="27" borderId="15" xfId="0" applyFont="1" applyFill="1" applyBorder="1" applyAlignment="1">
      <alignment horizontal="center"/>
    </xf>
    <xf numFmtId="0" fontId="8" fillId="27" borderId="16" xfId="0" applyFont="1" applyFill="1" applyBorder="1" applyAlignment="1"/>
    <xf numFmtId="0" fontId="8" fillId="27" borderId="17" xfId="0" applyFont="1" applyFill="1" applyBorder="1" applyAlignment="1">
      <alignment horizontal="center"/>
    </xf>
    <xf numFmtId="0" fontId="8" fillId="27" borderId="16" xfId="0" applyFont="1" applyFill="1" applyBorder="1" applyAlignment="1">
      <alignment horizontal="center"/>
    </xf>
    <xf numFmtId="49" fontId="8" fillId="27" borderId="18" xfId="0" applyNumberFormat="1" applyFont="1" applyFill="1" applyBorder="1" applyAlignment="1">
      <alignment horizontal="center"/>
    </xf>
    <xf numFmtId="49" fontId="8" fillId="27" borderId="19" xfId="0" applyNumberFormat="1" applyFont="1" applyFill="1" applyBorder="1" applyAlignment="1">
      <alignment horizontal="center"/>
    </xf>
    <xf numFmtId="3" fontId="0" fillId="27" borderId="0" xfId="0" applyNumberFormat="1" applyFill="1"/>
    <xf numFmtId="3" fontId="8" fillId="27" borderId="20" xfId="0" applyNumberFormat="1" applyFont="1" applyFill="1" applyBorder="1" applyAlignment="1">
      <alignment horizontal="center"/>
    </xf>
    <xf numFmtId="49" fontId="30" fillId="27" borderId="0" xfId="0" applyNumberFormat="1" applyFont="1" applyFill="1" applyAlignment="1">
      <alignment horizontal="center"/>
    </xf>
    <xf numFmtId="164" fontId="29" fillId="27" borderId="0" xfId="0" applyNumberFormat="1" applyFont="1" applyFill="1" applyBorder="1" applyAlignment="1">
      <alignment horizontal="right"/>
    </xf>
    <xf numFmtId="49" fontId="19" fillId="27" borderId="0" xfId="0" applyNumberFormat="1" applyFont="1" applyFill="1" applyAlignment="1">
      <alignment horizontal="center"/>
    </xf>
    <xf numFmtId="49" fontId="32" fillId="26" borderId="0" xfId="0" applyNumberFormat="1" applyFont="1" applyFill="1" applyAlignment="1">
      <alignment horizontal="center"/>
    </xf>
    <xf numFmtId="164" fontId="33" fillId="26" borderId="0" xfId="0" applyNumberFormat="1" applyFont="1" applyFill="1"/>
    <xf numFmtId="49" fontId="19" fillId="28" borderId="0" xfId="0" applyNumberFormat="1" applyFont="1" applyFill="1" applyAlignment="1">
      <alignment horizontal="center"/>
    </xf>
    <xf numFmtId="167" fontId="31" fillId="28" borderId="0" xfId="43" applyNumberFormat="1" applyFont="1" applyFill="1" applyBorder="1" applyAlignment="1">
      <alignment horizontal="right"/>
    </xf>
    <xf numFmtId="164" fontId="4" fillId="0" borderId="0" xfId="39" applyFont="1" applyFill="1" applyAlignment="1">
      <alignment horizontal="left" indent="1"/>
    </xf>
    <xf numFmtId="164" fontId="29" fillId="0" borderId="0" xfId="0" applyNumberFormat="1" applyFont="1"/>
    <xf numFmtId="165" fontId="29" fillId="0" borderId="0" xfId="0" applyNumberFormat="1" applyFont="1"/>
    <xf numFmtId="164" fontId="22" fillId="0" borderId="0" xfId="0" applyNumberFormat="1" applyFont="1"/>
    <xf numFmtId="0" fontId="29" fillId="0" borderId="0" xfId="0" applyFont="1"/>
    <xf numFmtId="164" fontId="29" fillId="0" borderId="0" xfId="0" applyNumberFormat="1" applyFont="1" applyBorder="1"/>
    <xf numFmtId="164" fontId="27" fillId="0" borderId="0" xfId="0" applyNumberFormat="1" applyFont="1"/>
    <xf numFmtId="164" fontId="22" fillId="0" borderId="0" xfId="0" applyNumberFormat="1" applyFont="1" applyAlignment="1">
      <alignment horizontal="center"/>
    </xf>
    <xf numFmtId="164" fontId="14" fillId="0" borderId="0" xfId="0" applyNumberFormat="1" applyFont="1"/>
    <xf numFmtId="164" fontId="14" fillId="0" borderId="0" xfId="0" applyNumberFormat="1" applyFont="1" applyAlignment="1">
      <alignment horizontal="center"/>
    </xf>
    <xf numFmtId="0" fontId="0" fillId="0" borderId="0" xfId="0" applyFill="1"/>
    <xf numFmtId="0" fontId="8" fillId="30" borderId="0" xfId="0" applyFont="1" applyFill="1" applyAlignment="1">
      <alignment horizontal="center"/>
    </xf>
    <xf numFmtId="164" fontId="11" fillId="30" borderId="0" xfId="0" applyNumberFormat="1" applyFont="1" applyFill="1" applyAlignment="1">
      <alignment horizontal="center"/>
    </xf>
    <xf numFmtId="164" fontId="27" fillId="0" borderId="0" xfId="0" applyNumberFormat="1" applyFont="1" applyBorder="1"/>
    <xf numFmtId="164" fontId="27" fillId="0" borderId="21" xfId="0" applyNumberFormat="1" applyFont="1" applyBorder="1"/>
    <xf numFmtId="49" fontId="3" fillId="0" borderId="0" xfId="0" applyNumberFormat="1" applyFont="1" applyFill="1" applyAlignment="1">
      <alignment horizontal="left" indent="1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/>
    <xf numFmtId="3" fontId="0" fillId="25" borderId="0" xfId="0" applyNumberFormat="1" applyFill="1"/>
    <xf numFmtId="49" fontId="8" fillId="25" borderId="0" xfId="0" applyNumberFormat="1" applyFont="1" applyFill="1" applyBorder="1" applyAlignment="1">
      <alignment horizontal="left" indent="6"/>
    </xf>
    <xf numFmtId="49" fontId="0" fillId="25" borderId="0" xfId="0" applyNumberFormat="1" applyFill="1" applyBorder="1" applyAlignment="1">
      <alignment horizontal="left" indent="6"/>
    </xf>
    <xf numFmtId="164" fontId="27" fillId="0" borderId="0" xfId="0" applyNumberFormat="1" applyFont="1" applyAlignment="1">
      <alignment horizontal="center"/>
    </xf>
    <xf numFmtId="0" fontId="31" fillId="0" borderId="0" xfId="0" applyFont="1"/>
    <xf numFmtId="164" fontId="29" fillId="0" borderId="0" xfId="0" applyNumberFormat="1" applyFont="1" applyFill="1"/>
    <xf numFmtId="3" fontId="0" fillId="30" borderId="0" xfId="0" applyNumberFormat="1" applyFill="1"/>
    <xf numFmtId="3" fontId="0" fillId="0" borderId="0" xfId="0" applyNumberFormat="1"/>
    <xf numFmtId="0" fontId="0" fillId="31" borderId="0" xfId="0" applyFill="1"/>
    <xf numFmtId="10" fontId="8" fillId="0" borderId="0" xfId="0" applyNumberFormat="1" applyFont="1"/>
    <xf numFmtId="0" fontId="8" fillId="30" borderId="0" xfId="0" applyFont="1" applyFill="1"/>
    <xf numFmtId="49" fontId="8" fillId="30" borderId="19" xfId="0" applyNumberFormat="1" applyFont="1" applyFill="1" applyBorder="1" applyAlignment="1">
      <alignment horizontal="center"/>
    </xf>
    <xf numFmtId="49" fontId="8" fillId="30" borderId="0" xfId="0" applyNumberFormat="1" applyFont="1" applyFill="1" applyBorder="1" applyAlignment="1">
      <alignment horizontal="center"/>
    </xf>
    <xf numFmtId="3" fontId="8" fillId="30" borderId="20" xfId="0" applyNumberFormat="1" applyFont="1" applyFill="1" applyBorder="1" applyAlignment="1">
      <alignment horizontal="center"/>
    </xf>
    <xf numFmtId="0" fontId="18" fillId="29" borderId="11" xfId="40" applyNumberFormat="1" applyFont="1" applyFill="1" applyBorder="1" applyAlignment="1">
      <alignment horizontal="left"/>
    </xf>
    <xf numFmtId="1" fontId="10" fillId="29" borderId="11" xfId="40" applyNumberFormat="1" applyFont="1" applyFill="1" applyBorder="1" applyAlignment="1">
      <alignment horizontal="left"/>
    </xf>
    <xf numFmtId="0" fontId="8" fillId="29" borderId="22" xfId="0" applyFont="1" applyFill="1" applyBorder="1"/>
    <xf numFmtId="0" fontId="8" fillId="29" borderId="23" xfId="0" applyFont="1" applyFill="1" applyBorder="1"/>
    <xf numFmtId="3" fontId="0" fillId="29" borderId="10" xfId="0" applyNumberFormat="1" applyFill="1" applyBorder="1"/>
    <xf numFmtId="3" fontId="0" fillId="29" borderId="11" xfId="0" applyNumberFormat="1" applyFill="1" applyBorder="1"/>
    <xf numFmtId="3" fontId="0" fillId="29" borderId="13" xfId="0" applyNumberFormat="1" applyFill="1" applyBorder="1"/>
    <xf numFmtId="3" fontId="8" fillId="29" borderId="11" xfId="0" applyNumberFormat="1" applyFont="1" applyFill="1" applyBorder="1"/>
    <xf numFmtId="165" fontId="1" fillId="29" borderId="11" xfId="43" applyNumberFormat="1" applyFill="1" applyBorder="1"/>
    <xf numFmtId="164" fontId="0" fillId="0" borderId="0" xfId="0" applyNumberFormat="1" applyFill="1"/>
    <xf numFmtId="164" fontId="27" fillId="0" borderId="0" xfId="0" applyNumberFormat="1" applyFont="1" applyFill="1"/>
    <xf numFmtId="164" fontId="22" fillId="0" borderId="0" xfId="0" applyNumberFormat="1" applyFont="1" applyFill="1" applyBorder="1"/>
    <xf numFmtId="164" fontId="8" fillId="0" borderId="0" xfId="0" applyNumberFormat="1" applyFont="1" applyFill="1"/>
    <xf numFmtId="165" fontId="29" fillId="0" borderId="0" xfId="0" applyNumberFormat="1" applyFont="1" applyFill="1"/>
    <xf numFmtId="164" fontId="29" fillId="27" borderId="0" xfId="0" applyNumberFormat="1" applyFont="1" applyFill="1"/>
    <xf numFmtId="0" fontId="35" fillId="0" borderId="0" xfId="0" applyFont="1"/>
    <xf numFmtId="164" fontId="35" fillId="0" borderId="0" xfId="0" applyNumberFormat="1" applyFont="1"/>
    <xf numFmtId="164" fontId="36" fillId="0" borderId="0" xfId="0" applyNumberFormat="1" applyFont="1" applyFill="1" applyBorder="1"/>
    <xf numFmtId="164" fontId="36" fillId="0" borderId="0" xfId="0" applyNumberFormat="1" applyFont="1" applyAlignment="1">
      <alignment horizontal="center"/>
    </xf>
    <xf numFmtId="164" fontId="14" fillId="0" borderId="0" xfId="0" applyNumberFormat="1" applyFont="1" applyFill="1" applyBorder="1"/>
    <xf numFmtId="164" fontId="14" fillId="0" borderId="0" xfId="0" applyNumberFormat="1" applyFont="1" applyFill="1"/>
    <xf numFmtId="49" fontId="38" fillId="0" borderId="0" xfId="0" applyNumberFormat="1" applyFont="1" applyFill="1" applyAlignment="1">
      <alignment horizontal="left"/>
    </xf>
    <xf numFmtId="49" fontId="30" fillId="0" borderId="0" xfId="0" applyNumberFormat="1" applyFont="1" applyFill="1" applyAlignment="1">
      <alignment horizontal="center"/>
    </xf>
    <xf numFmtId="164" fontId="28" fillId="27" borderId="7" xfId="39" applyNumberFormat="1" applyFont="1" applyFill="1" applyBorder="1" applyAlignment="1"/>
    <xf numFmtId="164" fontId="28" fillId="27" borderId="7" xfId="39" applyFont="1" applyFill="1" applyBorder="1" applyAlignment="1"/>
    <xf numFmtId="164" fontId="28" fillId="27" borderId="24" xfId="39" applyFont="1" applyFill="1" applyBorder="1" applyAlignment="1"/>
    <xf numFmtId="164" fontId="28" fillId="0" borderId="0" xfId="39" applyFont="1"/>
    <xf numFmtId="164" fontId="28" fillId="27" borderId="25" xfId="39" applyFont="1" applyFill="1" applyBorder="1" applyAlignment="1"/>
    <xf numFmtId="164" fontId="38" fillId="27" borderId="7" xfId="39" applyFont="1" applyFill="1" applyBorder="1" applyAlignment="1"/>
    <xf numFmtId="164" fontId="28" fillId="27" borderId="7" xfId="39" applyFont="1" applyFill="1" applyBorder="1" applyAlignment="1">
      <alignment horizontal="right"/>
    </xf>
    <xf numFmtId="164" fontId="38" fillId="31" borderId="26" xfId="39" applyNumberFormat="1" applyFont="1" applyFill="1" applyBorder="1" applyAlignment="1">
      <alignment horizontal="center"/>
    </xf>
    <xf numFmtId="164" fontId="28" fillId="27" borderId="7" xfId="39" applyNumberFormat="1" applyFont="1" applyFill="1" applyBorder="1" applyAlignment="1">
      <alignment horizontal="right"/>
    </xf>
    <xf numFmtId="1" fontId="28" fillId="32" borderId="7" xfId="39" applyNumberFormat="1" applyFont="1" applyFill="1" applyBorder="1" applyAlignment="1"/>
    <xf numFmtId="2" fontId="28" fillId="32" borderId="7" xfId="39" applyNumberFormat="1" applyFont="1" applyFill="1" applyBorder="1" applyAlignment="1"/>
    <xf numFmtId="164" fontId="28" fillId="32" borderId="7" xfId="39" applyNumberFormat="1" applyFont="1" applyFill="1" applyBorder="1" applyAlignment="1"/>
    <xf numFmtId="164" fontId="28" fillId="0" borderId="0" xfId="39" applyNumberFormat="1" applyFont="1" applyFill="1" applyBorder="1" applyAlignment="1"/>
    <xf numFmtId="164" fontId="28" fillId="29" borderId="7" xfId="39" applyNumberFormat="1" applyFont="1" applyFill="1" applyBorder="1" applyAlignment="1">
      <alignment horizontal="right"/>
    </xf>
    <xf numFmtId="1" fontId="28" fillId="29" borderId="7" xfId="39" applyNumberFormat="1" applyFont="1" applyFill="1" applyBorder="1" applyAlignment="1">
      <alignment horizontal="right"/>
    </xf>
    <xf numFmtId="10" fontId="28" fillId="29" borderId="7" xfId="39" applyNumberFormat="1" applyFont="1" applyFill="1" applyBorder="1" applyAlignment="1">
      <alignment horizontal="right"/>
    </xf>
    <xf numFmtId="166" fontId="28" fillId="29" borderId="7" xfId="39" applyNumberFormat="1" applyFont="1" applyFill="1" applyBorder="1" applyAlignment="1">
      <alignment horizontal="right"/>
    </xf>
    <xf numFmtId="165" fontId="28" fillId="0" borderId="0" xfId="39" applyNumberFormat="1" applyFont="1" applyAlignment="1">
      <alignment horizontal="left"/>
    </xf>
    <xf numFmtId="164" fontId="38" fillId="33" borderId="27" xfId="39" applyNumberFormat="1" applyFont="1" applyFill="1" applyBorder="1" applyAlignment="1"/>
    <xf numFmtId="164" fontId="38" fillId="33" borderId="26" xfId="39" applyNumberFormat="1" applyFont="1" applyFill="1" applyBorder="1" applyAlignment="1"/>
    <xf numFmtId="164" fontId="28" fillId="0" borderId="7" xfId="39" applyFont="1" applyFill="1" applyBorder="1" applyAlignment="1">
      <alignment horizontal="right"/>
    </xf>
    <xf numFmtId="170" fontId="17" fillId="0" borderId="0" xfId="39" applyNumberFormat="1" applyFont="1" applyFill="1" applyAlignment="1">
      <alignment horizontal="right"/>
    </xf>
    <xf numFmtId="164" fontId="14" fillId="34" borderId="0" xfId="0" applyNumberFormat="1" applyFont="1" applyFill="1"/>
    <xf numFmtId="164" fontId="14" fillId="0" borderId="0" xfId="43" applyNumberFormat="1" applyFont="1"/>
    <xf numFmtId="164" fontId="27" fillId="29" borderId="0" xfId="0" applyNumberFormat="1" applyFont="1" applyFill="1"/>
    <xf numFmtId="165" fontId="29" fillId="0" borderId="0" xfId="43" applyNumberFormat="1" applyFont="1"/>
    <xf numFmtId="165" fontId="27" fillId="0" borderId="0" xfId="43" applyNumberFormat="1" applyFont="1"/>
    <xf numFmtId="165" fontId="14" fillId="0" borderId="0" xfId="43" applyNumberFormat="1" applyFont="1"/>
    <xf numFmtId="165" fontId="21" fillId="0" borderId="0" xfId="43" applyNumberFormat="1" applyFont="1"/>
    <xf numFmtId="165" fontId="26" fillId="0" borderId="0" xfId="43" applyNumberFormat="1" applyFont="1"/>
    <xf numFmtId="0" fontId="4" fillId="0" borderId="0" xfId="0" applyFont="1"/>
    <xf numFmtId="164" fontId="26" fillId="0" borderId="0" xfId="0" applyNumberFormat="1" applyFont="1"/>
    <xf numFmtId="164" fontId="29" fillId="24" borderId="0" xfId="0" applyNumberFormat="1" applyFont="1" applyFill="1"/>
    <xf numFmtId="0" fontId="26" fillId="0" borderId="0" xfId="0" applyFont="1"/>
    <xf numFmtId="49" fontId="21" fillId="0" borderId="0" xfId="0" applyNumberFormat="1" applyFont="1" applyAlignment="1">
      <alignment horizontal="center"/>
    </xf>
    <xf numFmtId="165" fontId="26" fillId="0" borderId="0" xfId="0" applyNumberFormat="1" applyFont="1"/>
    <xf numFmtId="164" fontId="26" fillId="0" borderId="0" xfId="0" applyNumberFormat="1" applyFont="1" applyFill="1"/>
    <xf numFmtId="164" fontId="26" fillId="0" borderId="21" xfId="0" applyNumberFormat="1" applyFont="1" applyBorder="1"/>
    <xf numFmtId="164" fontId="21" fillId="0" borderId="0" xfId="0" applyNumberFormat="1" applyFont="1"/>
    <xf numFmtId="0" fontId="26" fillId="0" borderId="0" xfId="0" applyFont="1" applyFill="1"/>
    <xf numFmtId="166" fontId="26" fillId="0" borderId="0" xfId="0" applyNumberFormat="1" applyFont="1"/>
    <xf numFmtId="164" fontId="26" fillId="0" borderId="0" xfId="0" applyNumberFormat="1" applyFont="1" applyBorder="1"/>
    <xf numFmtId="164" fontId="21" fillId="0" borderId="0" xfId="0" applyNumberFormat="1" applyFont="1" applyAlignment="1">
      <alignment horizontal="center"/>
    </xf>
    <xf numFmtId="0" fontId="39" fillId="0" borderId="0" xfId="0" applyFont="1"/>
    <xf numFmtId="3" fontId="8" fillId="35" borderId="0" xfId="0" applyNumberFormat="1" applyFont="1" applyFill="1" applyAlignment="1">
      <alignment horizontal="center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39" fillId="0" borderId="0" xfId="0" applyFont="1" applyAlignment="1">
      <alignment horizontal="left"/>
    </xf>
    <xf numFmtId="166" fontId="27" fillId="26" borderId="0" xfId="0" applyNumberFormat="1" applyFont="1" applyFill="1" applyAlignment="1">
      <alignment horizontal="center"/>
    </xf>
    <xf numFmtId="0" fontId="39" fillId="36" borderId="0" xfId="0" applyFont="1" applyFill="1" applyAlignment="1">
      <alignment horizontal="left" indent="1"/>
    </xf>
    <xf numFmtId="0" fontId="39" fillId="0" borderId="0" xfId="0" applyFont="1" applyAlignment="1">
      <alignment horizontal="left" indent="1"/>
    </xf>
    <xf numFmtId="164" fontId="14" fillId="37" borderId="0" xfId="0" applyNumberFormat="1" applyFont="1" applyFill="1" applyAlignment="1">
      <alignment horizontal="center"/>
    </xf>
    <xf numFmtId="164" fontId="27" fillId="37" borderId="0" xfId="0" applyNumberFormat="1" applyFont="1" applyFill="1" applyAlignment="1">
      <alignment horizontal="center"/>
    </xf>
    <xf numFmtId="10" fontId="14" fillId="37" borderId="0" xfId="0" applyNumberFormat="1" applyFont="1" applyFill="1" applyAlignment="1">
      <alignment horizontal="center"/>
    </xf>
    <xf numFmtId="10" fontId="27" fillId="37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 horizontal="center"/>
    </xf>
    <xf numFmtId="0" fontId="39" fillId="26" borderId="0" xfId="0" applyFont="1" applyFill="1" applyAlignment="1">
      <alignment horizontal="left" indent="1"/>
    </xf>
    <xf numFmtId="164" fontId="27" fillId="26" borderId="0" xfId="0" applyNumberFormat="1" applyFont="1" applyFill="1" applyAlignment="1">
      <alignment horizontal="center"/>
    </xf>
    <xf numFmtId="10" fontId="27" fillId="26" borderId="0" xfId="0" applyNumberFormat="1" applyFont="1" applyFill="1" applyAlignment="1">
      <alignment horizontal="center"/>
    </xf>
    <xf numFmtId="170" fontId="27" fillId="0" borderId="0" xfId="0" applyNumberFormat="1" applyFont="1" applyAlignment="1">
      <alignment horizontal="center"/>
    </xf>
    <xf numFmtId="10" fontId="27" fillId="0" borderId="0" xfId="0" applyNumberFormat="1" applyFont="1" applyAlignment="1">
      <alignment horizontal="center"/>
    </xf>
    <xf numFmtId="0" fontId="40" fillId="0" borderId="0" xfId="0" applyFont="1" applyAlignment="1">
      <alignment horizontal="left"/>
    </xf>
    <xf numFmtId="0" fontId="39" fillId="29" borderId="0" xfId="0" applyFont="1" applyFill="1" applyAlignment="1">
      <alignment horizontal="left" indent="1"/>
    </xf>
    <xf numFmtId="164" fontId="3" fillId="29" borderId="0" xfId="39" applyFont="1" applyFill="1" applyAlignment="1">
      <alignment horizontal="left"/>
    </xf>
    <xf numFmtId="10" fontId="27" fillId="29" borderId="0" xfId="0" applyNumberFormat="1" applyFont="1" applyFill="1" applyAlignment="1">
      <alignment horizontal="center"/>
    </xf>
    <xf numFmtId="164" fontId="14" fillId="29" borderId="0" xfId="0" applyNumberFormat="1" applyFont="1" applyFill="1"/>
    <xf numFmtId="2" fontId="27" fillId="29" borderId="0" xfId="0" applyNumberFormat="1" applyFont="1" applyFill="1"/>
    <xf numFmtId="2" fontId="27" fillId="0" borderId="0" xfId="0" applyNumberFormat="1" applyFont="1"/>
    <xf numFmtId="0" fontId="40" fillId="28" borderId="0" xfId="0" applyFont="1" applyFill="1" applyAlignment="1">
      <alignment horizontal="left"/>
    </xf>
    <xf numFmtId="1" fontId="27" fillId="28" borderId="0" xfId="0" applyNumberFormat="1" applyFont="1" applyFill="1"/>
    <xf numFmtId="166" fontId="27" fillId="0" borderId="0" xfId="0" applyNumberFormat="1" applyFont="1"/>
    <xf numFmtId="165" fontId="27" fillId="0" borderId="0" xfId="0" applyNumberFormat="1" applyFont="1"/>
    <xf numFmtId="165" fontId="26" fillId="0" borderId="21" xfId="43" applyNumberFormat="1" applyFont="1" applyBorder="1"/>
    <xf numFmtId="165" fontId="27" fillId="0" borderId="21" xfId="43" applyNumberFormat="1" applyFont="1" applyBorder="1"/>
    <xf numFmtId="2" fontId="27" fillId="29" borderId="0" xfId="0" applyNumberFormat="1" applyFont="1" applyFill="1" applyAlignment="1">
      <alignment horizontal="center"/>
    </xf>
    <xf numFmtId="164" fontId="26" fillId="27" borderId="0" xfId="0" applyNumberFormat="1" applyFont="1" applyFill="1"/>
    <xf numFmtId="164" fontId="0" fillId="27" borderId="0" xfId="0" applyNumberFormat="1" applyFill="1"/>
    <xf numFmtId="171" fontId="8" fillId="25" borderId="0" xfId="0" applyNumberFormat="1" applyFont="1" applyFill="1"/>
    <xf numFmtId="2" fontId="5" fillId="24" borderId="7" xfId="43" quotePrefix="1" applyNumberFormat="1" applyFont="1" applyFill="1" applyBorder="1" applyAlignment="1"/>
    <xf numFmtId="2" fontId="5" fillId="25" borderId="7" xfId="43" quotePrefix="1" applyNumberFormat="1" applyFont="1" applyFill="1" applyBorder="1" applyAlignment="1"/>
    <xf numFmtId="164" fontId="5" fillId="24" borderId="7" xfId="43" applyNumberFormat="1" applyFont="1" applyFill="1" applyBorder="1" applyAlignment="1"/>
    <xf numFmtId="164" fontId="5" fillId="25" borderId="7" xfId="43" applyNumberFormat="1" applyFont="1" applyFill="1" applyBorder="1" applyAlignment="1"/>
    <xf numFmtId="49" fontId="19" fillId="26" borderId="0" xfId="0" applyNumberFormat="1" applyFont="1" applyFill="1" applyAlignment="1">
      <alignment horizontal="center"/>
    </xf>
    <xf numFmtId="164" fontId="31" fillId="26" borderId="0" xfId="0" applyNumberFormat="1" applyFont="1" applyFill="1"/>
    <xf numFmtId="0" fontId="5" fillId="24" borderId="7" xfId="43" applyNumberFormat="1" applyFont="1" applyFill="1" applyBorder="1" applyAlignment="1">
      <alignment horizontal="center"/>
    </xf>
    <xf numFmtId="0" fontId="5" fillId="25" borderId="7" xfId="43" applyNumberFormat="1" applyFont="1" applyFill="1" applyBorder="1" applyAlignment="1">
      <alignment horizontal="center"/>
    </xf>
    <xf numFmtId="0" fontId="0" fillId="33" borderId="0" xfId="0" applyFill="1"/>
    <xf numFmtId="0" fontId="34" fillId="33" borderId="0" xfId="0" applyFont="1" applyFill="1"/>
    <xf numFmtId="9" fontId="5" fillId="24" borderId="7" xfId="43" quotePrefix="1" applyNumberFormat="1" applyFont="1" applyFill="1" applyBorder="1" applyAlignment="1"/>
    <xf numFmtId="9" fontId="5" fillId="25" borderId="7" xfId="43" quotePrefix="1" applyNumberFormat="1" applyFont="1" applyFill="1" applyBorder="1" applyAlignment="1"/>
    <xf numFmtId="49" fontId="4" fillId="0" borderId="0" xfId="0" applyNumberFormat="1" applyFont="1" applyFill="1" applyBorder="1" applyAlignment="1">
      <alignment horizontal="left" indent="2"/>
    </xf>
    <xf numFmtId="9" fontId="6" fillId="25" borderId="7" xfId="43" quotePrefix="1" applyNumberFormat="1" applyFont="1" applyFill="1" applyBorder="1" applyAlignment="1"/>
    <xf numFmtId="0" fontId="2" fillId="31" borderId="0" xfId="0" applyFont="1" applyFill="1" applyBorder="1"/>
    <xf numFmtId="0" fontId="9" fillId="33" borderId="0" xfId="0" applyFont="1" applyFill="1"/>
    <xf numFmtId="0" fontId="12" fillId="31" borderId="0" xfId="0" applyFont="1" applyFill="1"/>
    <xf numFmtId="0" fontId="20" fillId="31" borderId="0" xfId="0" applyFont="1" applyFill="1"/>
    <xf numFmtId="49" fontId="37" fillId="0" borderId="0" xfId="0" applyNumberFormat="1" applyFont="1" applyFill="1" applyAlignment="1">
      <alignment horizontal="left"/>
    </xf>
    <xf numFmtId="49" fontId="23" fillId="0" borderId="0" xfId="0" applyNumberFormat="1" applyFont="1"/>
    <xf numFmtId="49" fontId="24" fillId="0" borderId="0" xfId="0" applyNumberFormat="1" applyFont="1" applyFill="1" applyAlignment="1">
      <alignment horizontal="left" indent="1"/>
    </xf>
    <xf numFmtId="9" fontId="31" fillId="0" borderId="0" xfId="43" applyFont="1"/>
    <xf numFmtId="164" fontId="26" fillId="0" borderId="0" xfId="0" applyNumberFormat="1" applyFont="1" applyFill="1" applyBorder="1"/>
    <xf numFmtId="49" fontId="41" fillId="0" borderId="0" xfId="0" applyNumberFormat="1" applyFont="1" applyFill="1" applyAlignment="1">
      <alignment horizontal="left"/>
    </xf>
    <xf numFmtId="0" fontId="26" fillId="0" borderId="0" xfId="0" applyNumberFormat="1" applyFont="1" applyAlignment="1">
      <alignment horizontal="center"/>
    </xf>
    <xf numFmtId="0" fontId="27" fillId="0" borderId="0" xfId="0" applyNumberFormat="1" applyFont="1"/>
    <xf numFmtId="0" fontId="27" fillId="0" borderId="0" xfId="0" applyNumberFormat="1" applyFont="1" applyAlignment="1">
      <alignment horizontal="center"/>
    </xf>
    <xf numFmtId="49" fontId="4" fillId="0" borderId="0" xfId="39" applyNumberFormat="1" applyFont="1" applyFill="1" applyAlignment="1">
      <alignment horizontal="left" indent="1"/>
    </xf>
    <xf numFmtId="49" fontId="24" fillId="0" borderId="0" xfId="39" applyNumberFormat="1" applyFont="1" applyFill="1" applyAlignment="1">
      <alignment horizontal="left" indent="1"/>
    </xf>
    <xf numFmtId="49" fontId="4" fillId="0" borderId="0" xfId="43" applyNumberFormat="1" applyFont="1" applyFill="1" applyAlignment="1">
      <alignment horizontal="left" indent="2"/>
    </xf>
    <xf numFmtId="0" fontId="22" fillId="0" borderId="0" xfId="0" applyNumberFormat="1" applyFont="1" applyAlignment="1">
      <alignment horizontal="center"/>
    </xf>
    <xf numFmtId="1" fontId="14" fillId="25" borderId="0" xfId="0" applyNumberFormat="1" applyFont="1" applyFill="1" applyAlignment="1">
      <alignment horizontal="center"/>
    </xf>
    <xf numFmtId="49" fontId="9" fillId="27" borderId="0" xfId="0" applyNumberFormat="1" applyFont="1" applyFill="1"/>
    <xf numFmtId="49" fontId="23" fillId="0" borderId="0" xfId="0" applyNumberFormat="1" applyFont="1" applyFill="1" applyAlignment="1">
      <alignment horizontal="center"/>
    </xf>
    <xf numFmtId="49" fontId="16" fillId="30" borderId="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 vertical="center" indent="1"/>
    </xf>
    <xf numFmtId="165" fontId="14" fillId="37" borderId="0" xfId="43" applyNumberFormat="1" applyFont="1" applyFill="1" applyAlignment="1">
      <alignment horizontal="center"/>
    </xf>
    <xf numFmtId="165" fontId="27" fillId="37" borderId="0" xfId="43" applyNumberFormat="1" applyFont="1" applyFill="1" applyAlignment="1">
      <alignment horizontal="center"/>
    </xf>
    <xf numFmtId="165" fontId="27" fillId="26" borderId="0" xfId="43" applyNumberFormat="1" applyFont="1" applyFill="1" applyAlignment="1">
      <alignment horizontal="center"/>
    </xf>
    <xf numFmtId="164" fontId="4" fillId="0" borderId="0" xfId="39" applyFill="1" applyAlignment="1">
      <alignment horizontal="left" indent="1"/>
    </xf>
    <xf numFmtId="164" fontId="38" fillId="27" borderId="26" xfId="39" applyNumberFormat="1" applyFont="1" applyFill="1" applyBorder="1" applyAlignment="1"/>
    <xf numFmtId="164" fontId="28" fillId="27" borderId="24" xfId="39" applyFont="1" applyFill="1" applyBorder="1" applyAlignment="1">
      <alignment horizontal="right"/>
    </xf>
    <xf numFmtId="3" fontId="26" fillId="0" borderId="0" xfId="0" applyNumberFormat="1" applyFont="1"/>
    <xf numFmtId="3" fontId="27" fillId="0" borderId="0" xfId="0" applyNumberFormat="1" applyFont="1"/>
    <xf numFmtId="4" fontId="26" fillId="0" borderId="0" xfId="0" applyNumberFormat="1" applyFont="1"/>
    <xf numFmtId="4" fontId="27" fillId="0" borderId="0" xfId="0" applyNumberFormat="1" applyFont="1"/>
    <xf numFmtId="3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29" fillId="0" borderId="0" xfId="0" applyNumberFormat="1" applyFont="1" applyAlignment="1">
      <alignment horizontal="center"/>
    </xf>
    <xf numFmtId="164" fontId="29" fillId="0" borderId="21" xfId="0" applyNumberFormat="1" applyFont="1" applyBorder="1"/>
    <xf numFmtId="164" fontId="29" fillId="0" borderId="0" xfId="0" applyNumberFormat="1" applyFont="1" applyFill="1" applyBorder="1"/>
    <xf numFmtId="4" fontId="29" fillId="0" borderId="0" xfId="0" applyNumberFormat="1" applyFont="1"/>
    <xf numFmtId="164" fontId="22" fillId="0" borderId="0" xfId="43" applyNumberFormat="1" applyFont="1"/>
    <xf numFmtId="3" fontId="29" fillId="0" borderId="0" xfId="0" applyNumberFormat="1" applyFont="1"/>
    <xf numFmtId="0" fontId="29" fillId="0" borderId="0" xfId="0" applyFont="1" applyFill="1"/>
    <xf numFmtId="166" fontId="29" fillId="0" borderId="0" xfId="0" applyNumberFormat="1" applyFont="1"/>
    <xf numFmtId="164" fontId="17" fillId="27" borderId="7" xfId="39" applyFont="1" applyFill="1" applyBorder="1" applyAlignment="1"/>
    <xf numFmtId="164" fontId="42" fillId="33" borderId="27" xfId="39" applyNumberFormat="1" applyFont="1" applyFill="1" applyBorder="1" applyAlignment="1"/>
    <xf numFmtId="164" fontId="17" fillId="27" borderId="7" xfId="39" applyNumberFormat="1" applyFont="1" applyFill="1" applyBorder="1" applyAlignment="1"/>
    <xf numFmtId="164" fontId="17" fillId="27" borderId="27" xfId="39" applyNumberFormat="1" applyFont="1" applyFill="1" applyBorder="1" applyAlignment="1"/>
    <xf numFmtId="164" fontId="42" fillId="33" borderId="26" xfId="39" applyNumberFormat="1" applyFont="1" applyFill="1" applyBorder="1" applyAlignment="1"/>
    <xf numFmtId="164" fontId="17" fillId="0" borderId="0" xfId="39" applyFont="1"/>
    <xf numFmtId="164" fontId="17" fillId="27" borderId="24" xfId="39" applyFont="1" applyFill="1" applyBorder="1" applyAlignment="1"/>
    <xf numFmtId="164" fontId="42" fillId="27" borderId="26" xfId="39" applyNumberFormat="1" applyFont="1" applyFill="1" applyBorder="1" applyAlignment="1"/>
    <xf numFmtId="164" fontId="42" fillId="33" borderId="24" xfId="39" applyNumberFormat="1" applyFont="1" applyFill="1" applyBorder="1" applyAlignment="1"/>
    <xf numFmtId="164" fontId="17" fillId="27" borderId="28" xfId="39" applyFont="1" applyFill="1" applyBorder="1" applyAlignment="1"/>
    <xf numFmtId="164" fontId="17" fillId="27" borderId="25" xfId="39" applyFont="1" applyFill="1" applyBorder="1" applyAlignment="1"/>
    <xf numFmtId="164" fontId="42" fillId="27" borderId="7" xfId="39" applyFont="1" applyFill="1" applyBorder="1" applyAlignment="1"/>
    <xf numFmtId="164" fontId="17" fillId="27" borderId="7" xfId="39" applyFont="1" applyFill="1" applyBorder="1" applyAlignment="1">
      <alignment horizontal="right"/>
    </xf>
    <xf numFmtId="164" fontId="17" fillId="27" borderId="24" xfId="39" applyFont="1" applyFill="1" applyBorder="1" applyAlignment="1">
      <alignment horizontal="right"/>
    </xf>
    <xf numFmtId="164" fontId="17" fillId="0" borderId="29" xfId="39" applyFont="1" applyFill="1" applyBorder="1" applyAlignment="1">
      <alignment horizontal="left"/>
    </xf>
    <xf numFmtId="164" fontId="17" fillId="27" borderId="7" xfId="39" applyNumberFormat="1" applyFont="1" applyFill="1" applyBorder="1" applyAlignment="1">
      <alignment horizontal="right"/>
    </xf>
    <xf numFmtId="164" fontId="42" fillId="31" borderId="26" xfId="39" applyNumberFormat="1" applyFont="1" applyFill="1" applyBorder="1" applyAlignment="1">
      <alignment horizontal="center"/>
    </xf>
    <xf numFmtId="1" fontId="17" fillId="32" borderId="7" xfId="39" applyNumberFormat="1" applyFont="1" applyFill="1" applyBorder="1" applyAlignment="1"/>
    <xf numFmtId="2" fontId="17" fillId="32" borderId="7" xfId="39" applyNumberFormat="1" applyFont="1" applyFill="1" applyBorder="1" applyAlignment="1"/>
    <xf numFmtId="164" fontId="17" fillId="32" borderId="7" xfId="39" applyNumberFormat="1" applyFont="1" applyFill="1" applyBorder="1" applyAlignment="1"/>
    <xf numFmtId="164" fontId="17" fillId="0" borderId="0" xfId="39" applyNumberFormat="1" applyFont="1" applyFill="1" applyBorder="1" applyAlignment="1"/>
    <xf numFmtId="164" fontId="17" fillId="29" borderId="7" xfId="39" applyNumberFormat="1" applyFont="1" applyFill="1" applyBorder="1" applyAlignment="1">
      <alignment horizontal="right"/>
    </xf>
    <xf numFmtId="1" fontId="17" fillId="29" borderId="7" xfId="39" applyNumberFormat="1" applyFont="1" applyFill="1" applyBorder="1" applyAlignment="1">
      <alignment horizontal="right"/>
    </xf>
    <xf numFmtId="166" fontId="17" fillId="29" borderId="7" xfId="39" applyNumberFormat="1" applyFont="1" applyFill="1" applyBorder="1" applyAlignment="1">
      <alignment horizontal="right"/>
    </xf>
    <xf numFmtId="10" fontId="17" fillId="29" borderId="7" xfId="39" applyNumberFormat="1" applyFont="1" applyFill="1" applyBorder="1" applyAlignment="1">
      <alignment horizontal="right"/>
    </xf>
    <xf numFmtId="1" fontId="38" fillId="0" borderId="0" xfId="39" applyNumberFormat="1" applyFont="1" applyFill="1"/>
    <xf numFmtId="1" fontId="42" fillId="0" borderId="0" xfId="39" applyNumberFormat="1" applyFont="1" applyFill="1"/>
    <xf numFmtId="0" fontId="8" fillId="31" borderId="0" xfId="0" applyFont="1" applyFill="1"/>
    <xf numFmtId="0" fontId="8" fillId="31" borderId="0" xfId="0" applyFont="1" applyFill="1" applyAlignment="1">
      <alignment horizontal="center"/>
    </xf>
    <xf numFmtId="164" fontId="0" fillId="31" borderId="0" xfId="0" applyNumberFormat="1" applyFill="1"/>
    <xf numFmtId="169" fontId="0" fillId="0" borderId="0" xfId="0" applyNumberFormat="1"/>
    <xf numFmtId="0" fontId="3" fillId="0" borderId="0" xfId="0" applyFont="1"/>
    <xf numFmtId="0" fontId="23" fillId="0" borderId="0" xfId="0" applyFont="1"/>
    <xf numFmtId="1" fontId="31" fillId="0" borderId="0" xfId="0" applyNumberFormat="1" applyFont="1" applyAlignment="1">
      <alignment horizontal="center"/>
    </xf>
    <xf numFmtId="1" fontId="35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9" fillId="29" borderId="0" xfId="0" applyFont="1" applyFill="1" applyAlignment="1">
      <alignment horizontal="left" indent="1"/>
    </xf>
    <xf numFmtId="0" fontId="43" fillId="29" borderId="0" xfId="0" applyFont="1" applyFill="1" applyAlignment="1">
      <alignment horizontal="left" indent="1"/>
    </xf>
    <xf numFmtId="0" fontId="44" fillId="38" borderId="0" xfId="0" applyFont="1" applyFill="1" applyAlignment="1">
      <alignment horizontal="center"/>
    </xf>
    <xf numFmtId="0" fontId="9" fillId="37" borderId="0" xfId="0" applyFont="1" applyFill="1" applyAlignment="1">
      <alignment horizontal="left" indent="1"/>
    </xf>
    <xf numFmtId="0" fontId="8" fillId="37" borderId="0" xfId="0" applyFont="1" applyFill="1"/>
    <xf numFmtId="0" fontId="45" fillId="30" borderId="0" xfId="0" applyFont="1" applyFill="1" applyAlignment="1">
      <alignment horizontal="center"/>
    </xf>
    <xf numFmtId="0" fontId="12" fillId="0" borderId="0" xfId="0" applyFont="1"/>
    <xf numFmtId="0" fontId="25" fillId="0" borderId="0" xfId="34" applyAlignment="1" applyProtection="1"/>
    <xf numFmtId="171" fontId="0" fillId="0" borderId="0" xfId="0" applyNumberFormat="1"/>
    <xf numFmtId="49" fontId="8" fillId="28" borderId="0" xfId="0" applyNumberFormat="1" applyFont="1" applyFill="1" applyBorder="1" applyAlignment="1">
      <alignment horizontal="left" indent="6"/>
    </xf>
    <xf numFmtId="49" fontId="0" fillId="28" borderId="0" xfId="0" applyNumberFormat="1" applyFill="1" applyBorder="1" applyAlignment="1">
      <alignment horizontal="left" indent="6"/>
    </xf>
    <xf numFmtId="171" fontId="0" fillId="28" borderId="0" xfId="0" applyNumberFormat="1" applyFill="1"/>
    <xf numFmtId="171" fontId="8" fillId="28" borderId="0" xfId="0" applyNumberFormat="1" applyFont="1" applyFill="1"/>
    <xf numFmtId="49" fontId="0" fillId="28" borderId="0" xfId="0" applyNumberFormat="1" applyFill="1" applyBorder="1" applyAlignment="1">
      <alignment horizontal="left" indent="2"/>
    </xf>
    <xf numFmtId="3" fontId="0" fillId="28" borderId="0" xfId="0" applyNumberFormat="1" applyFill="1" applyBorder="1"/>
    <xf numFmtId="167" fontId="0" fillId="28" borderId="0" xfId="0" applyNumberFormat="1" applyFill="1" applyBorder="1"/>
    <xf numFmtId="3" fontId="0" fillId="28" borderId="0" xfId="0" applyNumberFormat="1" applyFill="1"/>
    <xf numFmtId="0" fontId="8" fillId="28" borderId="0" xfId="0" applyFont="1" applyFill="1"/>
    <xf numFmtId="172" fontId="0" fillId="0" borderId="0" xfId="0" applyNumberFormat="1"/>
    <xf numFmtId="49" fontId="20" fillId="37" borderId="0" xfId="0" applyNumberFormat="1" applyFont="1" applyFill="1" applyBorder="1" applyAlignment="1">
      <alignment horizontal="left" indent="6"/>
    </xf>
    <xf numFmtId="49" fontId="0" fillId="37" borderId="0" xfId="0" applyNumberFormat="1" applyFill="1" applyBorder="1" applyAlignment="1">
      <alignment horizontal="left" indent="6"/>
    </xf>
    <xf numFmtId="3" fontId="0" fillId="37" borderId="0" xfId="0" applyNumberFormat="1" applyFill="1"/>
    <xf numFmtId="0" fontId="0" fillId="37" borderId="0" xfId="0" applyFill="1"/>
    <xf numFmtId="164" fontId="17" fillId="27" borderId="24" xfId="39" applyNumberFormat="1" applyFont="1" applyFill="1" applyBorder="1" applyAlignment="1"/>
    <xf numFmtId="164" fontId="28" fillId="27" borderId="24" xfId="39" applyNumberFormat="1" applyFont="1" applyFill="1" applyBorder="1" applyAlignment="1"/>
    <xf numFmtId="164" fontId="42" fillId="27" borderId="7" xfId="39" applyNumberFormat="1" applyFont="1" applyFill="1" applyBorder="1" applyAlignment="1"/>
    <xf numFmtId="164" fontId="38" fillId="27" borderId="7" xfId="39" applyNumberFormat="1" applyFont="1" applyFill="1" applyBorder="1" applyAlignment="1"/>
    <xf numFmtId="0" fontId="2" fillId="39" borderId="0" xfId="0" applyFont="1" applyFill="1"/>
    <xf numFmtId="0" fontId="0" fillId="39" borderId="0" xfId="0" applyFill="1"/>
    <xf numFmtId="0" fontId="15" fillId="39" borderId="0" xfId="0" applyFont="1" applyFill="1" applyBorder="1"/>
    <xf numFmtId="49" fontId="11" fillId="39" borderId="0" xfId="0" applyNumberFormat="1" applyFont="1" applyFill="1" applyAlignment="1">
      <alignment horizontal="center"/>
    </xf>
    <xf numFmtId="49" fontId="8" fillId="39" borderId="0" xfId="0" applyNumberFormat="1" applyFont="1" applyFill="1" applyBorder="1" applyAlignment="1">
      <alignment horizontal="left" indent="2"/>
    </xf>
    <xf numFmtId="0" fontId="2" fillId="24" borderId="0" xfId="0" applyFont="1" applyFill="1"/>
    <xf numFmtId="0" fontId="0" fillId="24" borderId="0" xfId="0" applyFill="1"/>
    <xf numFmtId="0" fontId="15" fillId="24" borderId="0" xfId="0" applyFont="1" applyFill="1" applyBorder="1"/>
    <xf numFmtId="49" fontId="11" fillId="24" borderId="0" xfId="0" applyNumberFormat="1" applyFont="1" applyFill="1" applyAlignment="1">
      <alignment horizontal="center"/>
    </xf>
    <xf numFmtId="49" fontId="8" fillId="24" borderId="0" xfId="0" applyNumberFormat="1" applyFont="1" applyFill="1" applyBorder="1" applyAlignment="1">
      <alignment horizontal="left" indent="2"/>
    </xf>
    <xf numFmtId="164" fontId="35" fillId="24" borderId="0" xfId="0" applyNumberFormat="1" applyFont="1" applyFill="1" applyBorder="1" applyAlignment="1">
      <alignment horizontal="right"/>
    </xf>
    <xf numFmtId="171" fontId="0" fillId="24" borderId="0" xfId="0" applyNumberFormat="1" applyFill="1" applyBorder="1" applyAlignment="1">
      <alignment horizontal="right"/>
    </xf>
    <xf numFmtId="167" fontId="35" fillId="24" borderId="0" xfId="0" applyNumberFormat="1" applyFont="1" applyFill="1" applyBorder="1" applyAlignment="1">
      <alignment horizontal="right"/>
    </xf>
    <xf numFmtId="167" fontId="0" fillId="24" borderId="0" xfId="0" applyNumberFormat="1" applyFill="1" applyBorder="1" applyAlignment="1">
      <alignment horizontal="right"/>
    </xf>
    <xf numFmtId="167" fontId="31" fillId="24" borderId="0" xfId="43" applyNumberFormat="1" applyFont="1" applyFill="1" applyBorder="1" applyAlignment="1">
      <alignment horizontal="right"/>
    </xf>
    <xf numFmtId="164" fontId="0" fillId="24" borderId="0" xfId="0" applyNumberFormat="1" applyFill="1" applyBorder="1" applyAlignment="1">
      <alignment horizontal="right"/>
    </xf>
    <xf numFmtId="0" fontId="1" fillId="0" borderId="0" xfId="38"/>
    <xf numFmtId="165" fontId="1" fillId="37" borderId="0" xfId="43" applyNumberFormat="1" applyFill="1"/>
    <xf numFmtId="165" fontId="6" fillId="25" borderId="7" xfId="43" applyNumberFormat="1" applyFont="1" applyFill="1" applyBorder="1"/>
    <xf numFmtId="0" fontId="8" fillId="0" borderId="0" xfId="0" applyFont="1" applyFill="1"/>
    <xf numFmtId="2" fontId="17" fillId="29" borderId="7" xfId="39" applyNumberFormat="1" applyFont="1" applyFill="1" applyBorder="1" applyAlignment="1">
      <alignment horizontal="right"/>
    </xf>
    <xf numFmtId="2" fontId="28" fillId="29" borderId="7" xfId="39" applyNumberFormat="1" applyFont="1" applyFill="1" applyBorder="1" applyAlignment="1">
      <alignment horizontal="right"/>
    </xf>
    <xf numFmtId="168" fontId="0" fillId="0" borderId="0" xfId="0" applyNumberFormat="1"/>
    <xf numFmtId="165" fontId="29" fillId="0" borderId="21" xfId="43" applyNumberFormat="1" applyFont="1" applyBorder="1"/>
    <xf numFmtId="165" fontId="22" fillId="0" borderId="0" xfId="43" applyNumberFormat="1" applyFont="1"/>
    <xf numFmtId="164" fontId="42" fillId="27" borderId="7" xfId="39" applyFont="1" applyFill="1" applyBorder="1" applyAlignment="1">
      <alignment horizontal="right"/>
    </xf>
    <xf numFmtId="164" fontId="31" fillId="24" borderId="0" xfId="0" applyNumberFormat="1" applyFont="1" applyFill="1" applyBorder="1" applyAlignment="1">
      <alignment horizontal="right"/>
    </xf>
    <xf numFmtId="167" fontId="31" fillId="24" borderId="0" xfId="0" applyNumberFormat="1" applyFont="1" applyFill="1" applyBorder="1" applyAlignment="1">
      <alignment horizontal="right"/>
    </xf>
    <xf numFmtId="10" fontId="29" fillId="0" borderId="0" xfId="43" applyNumberFormat="1" applyFont="1"/>
    <xf numFmtId="0" fontId="64" fillId="28" borderId="0" xfId="0" applyFont="1" applyFill="1"/>
    <xf numFmtId="0" fontId="65" fillId="28" borderId="0" xfId="0" applyFont="1" applyFill="1"/>
    <xf numFmtId="164" fontId="27" fillId="24" borderId="0" xfId="0" applyNumberFormat="1" applyFont="1" applyFill="1"/>
    <xf numFmtId="164" fontId="17" fillId="0" borderId="7" xfId="39" applyNumberFormat="1" applyFont="1" applyFill="1" applyBorder="1" applyAlignment="1"/>
    <xf numFmtId="164" fontId="17" fillId="0" borderId="7" xfId="39" applyFont="1" applyFill="1" applyBorder="1" applyAlignment="1"/>
    <xf numFmtId="0" fontId="66" fillId="0" borderId="0" xfId="0" applyFont="1"/>
    <xf numFmtId="0" fontId="67" fillId="0" borderId="0" xfId="0" applyFont="1" applyAlignment="1">
      <alignment horizontal="center"/>
    </xf>
    <xf numFmtId="10" fontId="5" fillId="24" borderId="7" xfId="43" quotePrefix="1" applyNumberFormat="1" applyFont="1" applyFill="1" applyBorder="1" applyAlignment="1"/>
    <xf numFmtId="10" fontId="6" fillId="25" borderId="7" xfId="43" quotePrefix="1" applyNumberFormat="1" applyFont="1" applyFill="1" applyBorder="1" applyAlignment="1"/>
    <xf numFmtId="166" fontId="0" fillId="0" borderId="0" xfId="0" applyNumberFormat="1"/>
    <xf numFmtId="167" fontId="0" fillId="0" borderId="0" xfId="0" applyNumberFormat="1"/>
    <xf numFmtId="0" fontId="1" fillId="0" borderId="0" xfId="0" applyFont="1" applyFill="1"/>
    <xf numFmtId="173" fontId="0" fillId="0" borderId="0" xfId="0" applyNumberFormat="1"/>
    <xf numFmtId="10" fontId="17" fillId="29" borderId="7" xfId="43" applyNumberFormat="1" applyFont="1" applyFill="1" applyBorder="1" applyAlignment="1">
      <alignment horizontal="right"/>
    </xf>
    <xf numFmtId="10" fontId="28" fillId="29" borderId="7" xfId="43" applyNumberFormat="1" applyFont="1" applyFill="1" applyBorder="1" applyAlignment="1">
      <alignment horizontal="right"/>
    </xf>
    <xf numFmtId="3" fontId="31" fillId="39" borderId="0" xfId="0" applyNumberFormat="1" applyFont="1" applyFill="1" applyBorder="1" applyAlignment="1">
      <alignment horizontal="right"/>
    </xf>
    <xf numFmtId="3" fontId="35" fillId="39" borderId="0" xfId="0" applyNumberFormat="1" applyFont="1" applyFill="1" applyBorder="1" applyAlignment="1">
      <alignment horizontal="right"/>
    </xf>
    <xf numFmtId="3" fontId="0" fillId="39" borderId="0" xfId="0" applyNumberFormat="1" applyFill="1" applyBorder="1" applyAlignment="1">
      <alignment horizontal="right"/>
    </xf>
    <xf numFmtId="0" fontId="8" fillId="40" borderId="0" xfId="0" applyFont="1" applyFill="1"/>
    <xf numFmtId="49" fontId="11" fillId="40" borderId="0" xfId="0" applyNumberFormat="1" applyFont="1" applyFill="1" applyAlignment="1">
      <alignment horizontal="center"/>
    </xf>
    <xf numFmtId="0" fontId="15" fillId="40" borderId="0" xfId="0" applyFont="1" applyFill="1" applyBorder="1"/>
    <xf numFmtId="164" fontId="67" fillId="40" borderId="0" xfId="0" applyNumberFormat="1" applyFont="1" applyFill="1" applyBorder="1" applyAlignment="1">
      <alignment horizontal="right"/>
    </xf>
    <xf numFmtId="164" fontId="68" fillId="0" borderId="0" xfId="0" applyNumberFormat="1" applyFont="1" applyAlignment="1">
      <alignment horizontal="center"/>
    </xf>
    <xf numFmtId="0" fontId="68" fillId="0" borderId="0" xfId="38" applyFont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FSM data to Kam" xfId="38"/>
    <cellStyle name="Normal_H-Ass" xfId="39"/>
    <cellStyle name="Normal_Health Weights for LTFM" xfId="40"/>
    <cellStyle name="Note" xfId="41" builtinId="10" customBuiltin="1"/>
    <cellStyle name="Output" xfId="42" builtinId="21" customBuiltin="1"/>
    <cellStyle name="Percent" xfId="43" builtinId="5"/>
    <cellStyle name="Percent 2" xfId="44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0" dropStyle="combo" dx="22" fmlaLink="Offsets!$B$1" fmlaRange="Offsets!$A$2:$A$31" noThreeD="1" sel="29" val="0"/>
</file>

<file path=xl/ctrlProps/ctrlProp2.xml><?xml version="1.0" encoding="utf-8"?>
<formControlPr xmlns="http://schemas.microsoft.com/office/spreadsheetml/2009/9/main" objectType="Drop" dropLines="30" dropStyle="combo" dx="22" fmlaLink="Offsets!$B$1" fmlaRange="Offsets!$A$2:$A$31" noThreeD="1" sel="29" val="2"/>
</file>

<file path=xl/ctrlProps/ctrlProp3.xml><?xml version="1.0" encoding="utf-8"?>
<formControlPr xmlns="http://schemas.microsoft.com/office/spreadsheetml/2009/9/main" objectType="Drop" dropLines="30" dropStyle="combo" dx="22" fmlaLink="Offsets!$B$1" fmlaRange="Offsets!$A$2:$A$31" noThreeD="1" sel="29" val="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</xdr:row>
          <xdr:rowOff>152400</xdr:rowOff>
        </xdr:from>
        <xdr:to>
          <xdr:col>0</xdr:col>
          <xdr:colOff>4362450</xdr:colOff>
          <xdr:row>5</xdr:row>
          <xdr:rowOff>247650</xdr:rowOff>
        </xdr:to>
        <xdr:sp macro="" textlink="">
          <xdr:nvSpPr>
            <xdr:cNvPr id="241665" name="Drop Down 1" hidden="1">
              <a:extLst>
                <a:ext uri="{63B3BB69-23CF-44E3-9099-C40C66FF867C}">
                  <a14:compatExt spid="_x0000_s241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</xdr:row>
          <xdr:rowOff>152400</xdr:rowOff>
        </xdr:from>
        <xdr:to>
          <xdr:col>0</xdr:col>
          <xdr:colOff>4362450</xdr:colOff>
          <xdr:row>5</xdr:row>
          <xdr:rowOff>247650</xdr:rowOff>
        </xdr:to>
        <xdr:sp macro="" textlink="">
          <xdr:nvSpPr>
            <xdr:cNvPr id="243713" name="Drop Down 1" hidden="1">
              <a:extLst>
                <a:ext uri="{63B3BB69-23CF-44E3-9099-C40C66FF867C}">
                  <a14:compatExt spid="_x0000_s243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</xdr:row>
          <xdr:rowOff>152400</xdr:rowOff>
        </xdr:from>
        <xdr:to>
          <xdr:col>0</xdr:col>
          <xdr:colOff>4362450</xdr:colOff>
          <xdr:row>5</xdr:row>
          <xdr:rowOff>247650</xdr:rowOff>
        </xdr:to>
        <xdr:sp macro="" textlink="">
          <xdr:nvSpPr>
            <xdr:cNvPr id="248833" name="Drop Down 1" hidden="1">
              <a:extLst>
                <a:ext uri="{63B3BB69-23CF-44E3-9099-C40C66FF867C}">
                  <a14:compatExt spid="_x0000_s248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imanage/?number=1146846" TargetMode="External"/><Relationship Id="rId1" Type="http://schemas.openxmlformats.org/officeDocument/2006/relationships/hyperlink" Target="http://imanage/?number=1032256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5"/>
  <sheetViews>
    <sheetView tabSelected="1" workbookViewId="0"/>
  </sheetViews>
  <sheetFormatPr defaultRowHeight="12.75" x14ac:dyDescent="0.2"/>
  <cols>
    <col min="1" max="1" width="35.140625" style="120" customWidth="1"/>
    <col min="2" max="16384" width="9.140625" style="239"/>
  </cols>
  <sheetData>
    <row r="1" spans="1:11" ht="21.95" customHeight="1" x14ac:dyDescent="0.35">
      <c r="A1" s="381" t="s">
        <v>917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1" ht="18.75" x14ac:dyDescent="0.3">
      <c r="A2" s="245" t="s">
        <v>833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x14ac:dyDescent="0.2">
      <c r="A3" s="247" t="s">
        <v>393</v>
      </c>
      <c r="B3" s="239" t="s">
        <v>918</v>
      </c>
    </row>
    <row r="4" spans="1:11" x14ac:dyDescent="0.2">
      <c r="A4" s="120" t="s">
        <v>834</v>
      </c>
      <c r="B4" s="239" t="s">
        <v>919</v>
      </c>
    </row>
    <row r="5" spans="1:11" x14ac:dyDescent="0.2">
      <c r="A5" s="120" t="s">
        <v>835</v>
      </c>
      <c r="B5" s="239" t="s">
        <v>919</v>
      </c>
    </row>
    <row r="6" spans="1:11" x14ac:dyDescent="0.2">
      <c r="A6" s="120" t="s">
        <v>836</v>
      </c>
      <c r="B6" s="239" t="s">
        <v>916</v>
      </c>
    </row>
    <row r="7" spans="1:11" x14ac:dyDescent="0.2">
      <c r="B7" s="239" t="s">
        <v>195</v>
      </c>
    </row>
    <row r="8" spans="1:11" x14ac:dyDescent="0.2">
      <c r="A8" s="120" t="s">
        <v>837</v>
      </c>
      <c r="B8" s="239" t="s">
        <v>919</v>
      </c>
    </row>
    <row r="10" spans="1:11" x14ac:dyDescent="0.2">
      <c r="A10" s="120" t="s">
        <v>838</v>
      </c>
      <c r="B10" s="239" t="s">
        <v>920</v>
      </c>
    </row>
    <row r="11" spans="1:11" x14ac:dyDescent="0.2">
      <c r="B11" s="239" t="s">
        <v>200</v>
      </c>
    </row>
    <row r="12" spans="1:11" x14ac:dyDescent="0.2">
      <c r="A12" s="120" t="s">
        <v>839</v>
      </c>
      <c r="B12" s="239" t="s">
        <v>912</v>
      </c>
    </row>
    <row r="13" spans="1:11" x14ac:dyDescent="0.2">
      <c r="A13" s="120" t="s">
        <v>840</v>
      </c>
      <c r="B13" s="239" t="s">
        <v>913</v>
      </c>
    </row>
    <row r="14" spans="1:11" x14ac:dyDescent="0.2">
      <c r="A14" s="120" t="s">
        <v>218</v>
      </c>
      <c r="B14" s="239" t="s">
        <v>207</v>
      </c>
    </row>
    <row r="15" spans="1:11" x14ac:dyDescent="0.2">
      <c r="A15" s="120" t="s">
        <v>678</v>
      </c>
      <c r="B15" s="239" t="s">
        <v>4</v>
      </c>
    </row>
    <row r="16" spans="1:11" x14ac:dyDescent="0.2">
      <c r="A16" s="120" t="s">
        <v>841</v>
      </c>
      <c r="B16" s="239" t="s">
        <v>216</v>
      </c>
    </row>
    <row r="17" spans="1:2" x14ac:dyDescent="0.2">
      <c r="A17" s="120" t="s">
        <v>826</v>
      </c>
      <c r="B17" s="239" t="s">
        <v>828</v>
      </c>
    </row>
    <row r="18" spans="1:2" x14ac:dyDescent="0.2">
      <c r="A18" s="120" t="s">
        <v>827</v>
      </c>
      <c r="B18" s="239" t="s">
        <v>919</v>
      </c>
    </row>
    <row r="19" spans="1:2" x14ac:dyDescent="0.2">
      <c r="A19" s="120" t="s">
        <v>310</v>
      </c>
      <c r="B19" s="239" t="s">
        <v>597</v>
      </c>
    </row>
    <row r="20" spans="1:2" x14ac:dyDescent="0.2">
      <c r="A20" s="120" t="s">
        <v>311</v>
      </c>
      <c r="B20" s="239" t="s">
        <v>598</v>
      </c>
    </row>
    <row r="21" spans="1:2" x14ac:dyDescent="0.2">
      <c r="A21" s="120" t="s">
        <v>312</v>
      </c>
      <c r="B21" s="239" t="s">
        <v>114</v>
      </c>
    </row>
    <row r="23" spans="1:2" x14ac:dyDescent="0.2">
      <c r="A23" s="247" t="s">
        <v>217</v>
      </c>
      <c r="B23" s="240" t="s">
        <v>202</v>
      </c>
    </row>
    <row r="24" spans="1:2" x14ac:dyDescent="0.2">
      <c r="A24" s="120" t="s">
        <v>576</v>
      </c>
      <c r="B24" s="239" t="s">
        <v>196</v>
      </c>
    </row>
    <row r="25" spans="1:2" x14ac:dyDescent="0.2">
      <c r="A25" s="120" t="s">
        <v>208</v>
      </c>
      <c r="B25" s="239" t="s">
        <v>233</v>
      </c>
    </row>
    <row r="26" spans="1:2" x14ac:dyDescent="0.2">
      <c r="A26" s="248" t="s">
        <v>219</v>
      </c>
      <c r="B26" s="239" t="s">
        <v>197</v>
      </c>
    </row>
    <row r="27" spans="1:2" x14ac:dyDescent="0.2">
      <c r="A27" s="248" t="s">
        <v>220</v>
      </c>
      <c r="B27" s="239" t="s">
        <v>5</v>
      </c>
    </row>
    <row r="28" spans="1:2" x14ac:dyDescent="0.2">
      <c r="A28" s="248"/>
      <c r="B28" s="239" t="s">
        <v>201</v>
      </c>
    </row>
    <row r="29" spans="1:2" x14ac:dyDescent="0.2">
      <c r="A29" s="248" t="s">
        <v>221</v>
      </c>
      <c r="B29" s="239" t="s">
        <v>198</v>
      </c>
    </row>
    <row r="30" spans="1:2" x14ac:dyDescent="0.2">
      <c r="A30" s="247"/>
      <c r="B30" s="239" t="s">
        <v>203</v>
      </c>
    </row>
    <row r="31" spans="1:2" x14ac:dyDescent="0.2">
      <c r="A31" s="248"/>
    </row>
    <row r="32" spans="1:2" x14ac:dyDescent="0.2">
      <c r="A32" s="247" t="s">
        <v>222</v>
      </c>
      <c r="B32" s="239" t="s">
        <v>199</v>
      </c>
    </row>
    <row r="33" spans="2:2" x14ac:dyDescent="0.2">
      <c r="B33" s="239" t="s">
        <v>204</v>
      </c>
    </row>
    <row r="34" spans="2:2" x14ac:dyDescent="0.2">
      <c r="B34" s="239" t="s">
        <v>205</v>
      </c>
    </row>
    <row r="35" spans="2:2" x14ac:dyDescent="0.2">
      <c r="B35" s="239" t="s">
        <v>206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94"/>
  <sheetViews>
    <sheetView workbookViewId="0">
      <pane xSplit="1" ySplit="6" topLeftCell="F30" activePane="bottomRight" state="frozen"/>
      <selection pane="topRight" activeCell="B1" sqref="B1"/>
      <selection pane="bottomLeft" activeCell="A7" sqref="A7"/>
      <selection pane="bottomRight" activeCell="H45" sqref="H45"/>
    </sheetView>
  </sheetViews>
  <sheetFormatPr defaultRowHeight="12.75" x14ac:dyDescent="0.2"/>
  <cols>
    <col min="1" max="1" width="65.7109375" style="179" customWidth="1"/>
    <col min="2" max="2" width="8.7109375" customWidth="1"/>
    <col min="3" max="3" width="8.7109375" style="97" customWidth="1"/>
    <col min="4" max="10" width="8.7109375" style="182" customWidth="1"/>
    <col min="11" max="19" width="8.7109375" style="99" customWidth="1"/>
  </cols>
  <sheetData>
    <row r="1" spans="1:21" ht="15.75" x14ac:dyDescent="0.25">
      <c r="A1" s="263" t="s">
        <v>652</v>
      </c>
      <c r="B1" s="40" t="s">
        <v>915</v>
      </c>
      <c r="C1" s="262">
        <f>MATCH($B$1,Scenarios!$B$3:$C$3,0)</f>
        <v>2</v>
      </c>
      <c r="D1" s="324" t="s">
        <v>141</v>
      </c>
      <c r="E1" s="325"/>
      <c r="F1" s="326" t="s">
        <v>168</v>
      </c>
      <c r="G1" s="327" t="s">
        <v>142</v>
      </c>
      <c r="H1" s="328"/>
      <c r="I1" s="329" t="s">
        <v>168</v>
      </c>
      <c r="K1" s="171" t="s">
        <v>188</v>
      </c>
    </row>
    <row r="2" spans="1:21" ht="13.5" x14ac:dyDescent="0.25">
      <c r="A2" s="264" t="s">
        <v>264</v>
      </c>
      <c r="B2" s="261"/>
      <c r="C2" s="261"/>
      <c r="D2" s="320">
        <v>1</v>
      </c>
      <c r="E2" s="320">
        <v>2</v>
      </c>
      <c r="F2" s="321">
        <v>3</v>
      </c>
      <c r="G2" s="321">
        <v>4</v>
      </c>
      <c r="H2" s="321">
        <v>5</v>
      </c>
      <c r="I2" s="321">
        <v>6</v>
      </c>
      <c r="J2" s="321">
        <v>7</v>
      </c>
      <c r="K2"/>
      <c r="L2"/>
      <c r="M2"/>
      <c r="N2"/>
      <c r="O2"/>
      <c r="P2"/>
      <c r="Q2"/>
      <c r="R2"/>
      <c r="S2"/>
    </row>
    <row r="3" spans="1:21" ht="15.75" x14ac:dyDescent="0.25">
      <c r="A3" s="74" t="s">
        <v>171</v>
      </c>
      <c r="B3" s="261"/>
      <c r="C3" s="261"/>
      <c r="D3" s="261" t="s">
        <v>781</v>
      </c>
      <c r="E3" s="261" t="s">
        <v>782</v>
      </c>
      <c r="F3" s="199" t="s">
        <v>783</v>
      </c>
      <c r="G3" s="199" t="s">
        <v>784</v>
      </c>
      <c r="H3" s="199" t="s">
        <v>785</v>
      </c>
      <c r="I3" s="199" t="s">
        <v>786</v>
      </c>
      <c r="J3" s="199" t="s">
        <v>787</v>
      </c>
      <c r="K3" s="198" t="s">
        <v>788</v>
      </c>
      <c r="L3" s="198" t="s">
        <v>789</v>
      </c>
      <c r="M3" s="198" t="s">
        <v>790</v>
      </c>
      <c r="N3" s="198" t="s">
        <v>791</v>
      </c>
      <c r="O3" s="198" t="s">
        <v>792</v>
      </c>
      <c r="P3" s="198" t="s">
        <v>793</v>
      </c>
      <c r="Q3" s="198" t="s">
        <v>794</v>
      </c>
      <c r="R3" s="198" t="s">
        <v>795</v>
      </c>
      <c r="S3" s="198" t="s">
        <v>796</v>
      </c>
      <c r="T3" s="198" t="s">
        <v>797</v>
      </c>
    </row>
    <row r="4" spans="1:21" ht="15.75" x14ac:dyDescent="0.25">
      <c r="A4" s="249" t="s">
        <v>636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21" ht="13.5" x14ac:dyDescent="0.25">
      <c r="A5" s="254" t="s">
        <v>553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21" ht="21" customHeight="1" x14ac:dyDescent="0.2">
      <c r="A6" s="43"/>
      <c r="C6"/>
      <c r="D6" s="174">
        <f ca="1">OFFSET(D$8,Offsets!$B$1,0)/D$214</f>
        <v>2.4375485700387386E-2</v>
      </c>
      <c r="E6" s="174">
        <f ca="1">OFFSET(E$8,Offsets!$B$1,0)/E$214</f>
        <v>-1.0611679549617979E-4</v>
      </c>
      <c r="F6" s="178">
        <f ca="1">OFFSET(F$8,Offsets!$B$1,0)/F$214</f>
        <v>3.1086649727823882E-2</v>
      </c>
      <c r="G6" s="178">
        <f ca="1">OFFSET(G$8,Offsets!$B$1,0)/G$214</f>
        <v>7.2349939610586445E-2</v>
      </c>
      <c r="H6" s="178">
        <f ca="1">OFFSET(H$8,Offsets!$B$1,0)/H$214</f>
        <v>0.12131526645976368</v>
      </c>
      <c r="I6" s="178">
        <f ca="1">OFFSET(I$8,Offsets!$B$1,0)/I$214</f>
        <v>0.16486298430991556</v>
      </c>
      <c r="J6" s="178">
        <f ca="1">OFFSET(J$8,Offsets!$B$1,0)/J$214</f>
        <v>0.20666663450007874</v>
      </c>
      <c r="K6" s="175">
        <f ca="1">OFFSET(K$8,Offsets!$B$1,0)/K$214</f>
        <v>0.24670688481838565</v>
      </c>
      <c r="L6" s="175">
        <f ca="1">OFFSET(L$8,Offsets!$B$1,0)/L$214</f>
        <v>0.28454635246033694</v>
      </c>
      <c r="M6" s="175">
        <f ca="1">OFFSET(M$8,Offsets!$B$1,0)/M$214</f>
        <v>0.31811819119717788</v>
      </c>
      <c r="N6" s="175">
        <f ca="1">OFFSET(N$8,Offsets!$B$1,0)/N$214</f>
        <v>0.3458759128243401</v>
      </c>
      <c r="O6" s="175">
        <f ca="1">OFFSET(O$8,Offsets!$B$1,0)/O$214</f>
        <v>0.37174680435753982</v>
      </c>
      <c r="P6" s="175">
        <f ca="1">OFFSET(P$8,Offsets!$B$1,0)/P$214</f>
        <v>0.3950133035078201</v>
      </c>
      <c r="Q6" s="175">
        <f ca="1">OFFSET(Q$8,Offsets!$B$1,0)/Q$214</f>
        <v>0.41544113295034873</v>
      </c>
      <c r="R6" s="175">
        <f ca="1">OFFSET(R$8,Offsets!$B$1,0)/R$214</f>
        <v>0.43467820527996143</v>
      </c>
      <c r="S6" s="175">
        <f ca="1">OFFSET(S$8,Offsets!$B$1,0)/S$214</f>
        <v>0.4526250345408166</v>
      </c>
      <c r="T6" s="175">
        <f ca="1">OFFSET(T$8,Offsets!$B$1,0)/T$214</f>
        <v>0.46942702181346613</v>
      </c>
    </row>
    <row r="7" spans="1:21" ht="15.75" customHeight="1" x14ac:dyDescent="0.25">
      <c r="A7" s="249" t="s">
        <v>637</v>
      </c>
      <c r="C7"/>
      <c r="D7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</row>
    <row r="8" spans="1:21" x14ac:dyDescent="0.2">
      <c r="A8" s="43" t="s">
        <v>210</v>
      </c>
      <c r="C8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</row>
    <row r="9" spans="1:21" x14ac:dyDescent="0.2">
      <c r="A9" s="47" t="s">
        <v>190</v>
      </c>
      <c r="B9" s="94"/>
      <c r="C9"/>
      <c r="D9" s="94">
        <f t="shared" ref="D9:T9" si="0">D$50</f>
        <v>53.064000000000007</v>
      </c>
      <c r="E9" s="94">
        <f t="shared" si="0"/>
        <v>56.372</v>
      </c>
      <c r="F9" s="180">
        <f t="shared" ca="1" si="0"/>
        <v>54.88</v>
      </c>
      <c r="G9" s="180">
        <f t="shared" ca="1" si="0"/>
        <v>53.739999999999995</v>
      </c>
      <c r="H9" s="180">
        <f t="shared" ca="1" si="0"/>
        <v>54.704000000000001</v>
      </c>
      <c r="I9" s="180">
        <f t="shared" ca="1" si="0"/>
        <v>57.679000000000002</v>
      </c>
      <c r="J9" s="180">
        <f t="shared" ca="1" si="0"/>
        <v>61.168999999999997</v>
      </c>
      <c r="K9" s="99">
        <f t="shared" ca="1" si="0"/>
        <v>64.579956279017637</v>
      </c>
      <c r="L9" s="99">
        <f t="shared" ca="1" si="0"/>
        <v>67.900864432439363</v>
      </c>
      <c r="M9" s="99">
        <f t="shared" ca="1" si="0"/>
        <v>71.37660985190881</v>
      </c>
      <c r="N9" s="99">
        <f t="shared" ca="1" si="0"/>
        <v>74.955739140712154</v>
      </c>
      <c r="O9" s="99">
        <f t="shared" ca="1" si="0"/>
        <v>78.529499630162562</v>
      </c>
      <c r="P9" s="99">
        <f t="shared" ca="1" si="0"/>
        <v>82.252854932692983</v>
      </c>
      <c r="Q9" s="99">
        <f t="shared" ca="1" si="0"/>
        <v>86.135916367935948</v>
      </c>
      <c r="R9" s="99">
        <f t="shared" ca="1" si="0"/>
        <v>89.706146356197777</v>
      </c>
      <c r="S9" s="99">
        <f t="shared" ca="1" si="0"/>
        <v>93.421406095473543</v>
      </c>
      <c r="T9" s="99">
        <f t="shared" ca="1" si="0"/>
        <v>97.245277116133224</v>
      </c>
      <c r="U9" s="54"/>
    </row>
    <row r="10" spans="1:21" x14ac:dyDescent="0.2">
      <c r="A10" s="47" t="s">
        <v>514</v>
      </c>
      <c r="B10" s="94"/>
      <c r="C10"/>
      <c r="D10" s="94">
        <f t="shared" ref="D10:T10" si="1">SUM(D$9,D$55,D$57,D$67)</f>
        <v>74.589000000000013</v>
      </c>
      <c r="E10" s="94">
        <f t="shared" si="1"/>
        <v>81.478999999999999</v>
      </c>
      <c r="F10" s="180">
        <f t="shared" ca="1" si="1"/>
        <v>81.450999999999979</v>
      </c>
      <c r="G10" s="180">
        <f t="shared" ca="1" si="1"/>
        <v>81.538999999999987</v>
      </c>
      <c r="H10" s="180">
        <f t="shared" ca="1" si="1"/>
        <v>84.446000000000012</v>
      </c>
      <c r="I10" s="180">
        <f t="shared" ca="1" si="1"/>
        <v>88.367000000000004</v>
      </c>
      <c r="J10" s="180">
        <f t="shared" ca="1" si="1"/>
        <v>93.561999999999983</v>
      </c>
      <c r="K10" s="99">
        <f t="shared" ca="1" si="1"/>
        <v>97.860680358354557</v>
      </c>
      <c r="L10" s="99">
        <f t="shared" ca="1" si="1"/>
        <v>102.6741357125216</v>
      </c>
      <c r="M10" s="99">
        <f t="shared" ca="1" si="1"/>
        <v>107.70301963513172</v>
      </c>
      <c r="N10" s="99">
        <f t="shared" ca="1" si="1"/>
        <v>112.87250393373438</v>
      </c>
      <c r="O10" s="99">
        <f t="shared" ca="1" si="1"/>
        <v>118.02545000759774</v>
      </c>
      <c r="P10" s="99">
        <f t="shared" ca="1" si="1"/>
        <v>123.28270188455164</v>
      </c>
      <c r="Q10" s="99">
        <f t="shared" ca="1" si="1"/>
        <v>128.75996780783956</v>
      </c>
      <c r="R10" s="99">
        <f t="shared" ca="1" si="1"/>
        <v>133.98261684629642</v>
      </c>
      <c r="S10" s="99">
        <f t="shared" ca="1" si="1"/>
        <v>139.42031405777297</v>
      </c>
      <c r="T10" s="99">
        <f t="shared" ca="1" si="1"/>
        <v>145.02081884008567</v>
      </c>
      <c r="U10" s="54"/>
    </row>
    <row r="11" spans="1:21" x14ac:dyDescent="0.2">
      <c r="A11" s="47" t="s">
        <v>515</v>
      </c>
      <c r="B11" s="94"/>
      <c r="C11"/>
      <c r="D11" s="94">
        <f t="shared" ref="D11:T11" ca="1" si="2">SUM(D$12,D$111)</f>
        <v>68.729000000000013</v>
      </c>
      <c r="E11" s="94">
        <f t="shared" ca="1" si="2"/>
        <v>75.841999999999999</v>
      </c>
      <c r="F11" s="180">
        <f t="shared" ca="1" si="2"/>
        <v>82.001000000000005</v>
      </c>
      <c r="G11" s="180">
        <f t="shared" ca="1" si="2"/>
        <v>85.648999999999987</v>
      </c>
      <c r="H11" s="180">
        <f t="shared" ca="1" si="2"/>
        <v>90.454000000000008</v>
      </c>
      <c r="I11" s="180">
        <f t="shared" ca="1" si="2"/>
        <v>94.672000000000011</v>
      </c>
      <c r="J11" s="180">
        <f t="shared" ca="1" si="2"/>
        <v>99.887</v>
      </c>
      <c r="K11" s="99">
        <f t="shared" ca="1" si="2"/>
        <v>104.36585864114166</v>
      </c>
      <c r="L11" s="99">
        <f t="shared" ca="1" si="2"/>
        <v>109.11946398892161</v>
      </c>
      <c r="M11" s="99">
        <f t="shared" ca="1" si="2"/>
        <v>114.02125627325428</v>
      </c>
      <c r="N11" s="99">
        <f t="shared" ca="1" si="2"/>
        <v>119.03908114075529</v>
      </c>
      <c r="O11" s="99">
        <f t="shared" ca="1" si="2"/>
        <v>124.09066277693992</v>
      </c>
      <c r="P11" s="99">
        <f t="shared" ca="1" si="2"/>
        <v>129.20143495978348</v>
      </c>
      <c r="Q11" s="99">
        <f t="shared" ca="1" si="2"/>
        <v>134.42964353065233</v>
      </c>
      <c r="R11" s="99">
        <f t="shared" ca="1" si="2"/>
        <v>139.89515700123405</v>
      </c>
      <c r="S11" s="99">
        <f t="shared" ca="1" si="2"/>
        <v>145.59203048118064</v>
      </c>
      <c r="T11" s="99">
        <f t="shared" ca="1" si="2"/>
        <v>151.43116415836695</v>
      </c>
      <c r="U11" s="54"/>
    </row>
    <row r="12" spans="1:21" x14ac:dyDescent="0.2">
      <c r="A12" s="47" t="s">
        <v>521</v>
      </c>
      <c r="B12" s="94"/>
      <c r="C12"/>
      <c r="D12" s="94">
        <f ca="1">SUM($D$69:D$69,D$80,D$90,D$96,D$107)</f>
        <v>65.844000000000008</v>
      </c>
      <c r="E12" s="94">
        <f ca="1">SUM($D$69:E$69,E$80,E$90,E$96,E$107)</f>
        <v>72.741</v>
      </c>
      <c r="F12" s="180">
        <f ca="1">SUM($D$69:F$69,F$80,F$90,F$96,F$107)</f>
        <v>78.782000000000011</v>
      </c>
      <c r="G12" s="180">
        <f ca="1">SUM($D$69:G$69,G$80,G$90,G$96,G$107)</f>
        <v>82.333999999999989</v>
      </c>
      <c r="H12" s="180">
        <f ca="1">SUM($D$69:H$69,H$80,H$90,H$96,H$107)</f>
        <v>86.521000000000001</v>
      </c>
      <c r="I12" s="180">
        <f ca="1">SUM($D$69:I$69,I$80,I$90,I$96,I$107)</f>
        <v>90.13600000000001</v>
      </c>
      <c r="J12" s="180">
        <f ca="1">SUM($D$69:J$69,J$80,J$90,J$96,J$107)</f>
        <v>94.507000000000005</v>
      </c>
      <c r="K12" s="99">
        <f ca="1">SUM($D$69:K$69,K$80,K$90,K$96,K$107)</f>
        <v>98.705458641141661</v>
      </c>
      <c r="L12" s="99">
        <f ca="1">SUM($D$69:L$69,L$80,L$90,L$96,L$107)</f>
        <v>102.73773492117215</v>
      </c>
      <c r="M12" s="99">
        <f ca="1">SUM($D$69:M$69,M$80,M$90,M$96,M$107)</f>
        <v>106.87381085916421</v>
      </c>
      <c r="N12" s="99">
        <f ca="1">SUM($D$69:N$69,N$80,N$90,N$96,N$107)</f>
        <v>111.13283470231309</v>
      </c>
      <c r="O12" s="99">
        <f ca="1">SUM($D$69:O$69,O$80,O$90,O$96,O$107)</f>
        <v>115.46767275417463</v>
      </c>
      <c r="P12" s="99">
        <f ca="1">SUM($D$69:P$69,P$80,P$90,P$96,P$107)</f>
        <v>119.86126319201402</v>
      </c>
      <c r="Q12" s="99">
        <f ca="1">SUM($D$69:Q$69,Q$80,Q$90,Q$96,Q$107)</f>
        <v>124.37256967672144</v>
      </c>
      <c r="R12" s="99">
        <f ca="1">SUM($D$69:R$69,R$80,R$90,R$96,R$107)</f>
        <v>129.12866757707803</v>
      </c>
      <c r="S12" s="99">
        <f ca="1">SUM($D$69:S$69,S$80,S$90,S$96,S$107)</f>
        <v>134.0983433514927</v>
      </c>
      <c r="T12" s="99">
        <f ca="1">SUM($D$69:T$69,T$80,T$90,T$96,T$107)</f>
        <v>139.1925840426232</v>
      </c>
      <c r="U12" s="54"/>
    </row>
    <row r="13" spans="1:21" x14ac:dyDescent="0.2">
      <c r="A13" s="47" t="s">
        <v>517</v>
      </c>
      <c r="B13" s="94"/>
      <c r="C13"/>
      <c r="D13" s="94">
        <f t="shared" ref="D13:T13" ca="1" si="3">D$10-D$11</f>
        <v>5.8599999999999994</v>
      </c>
      <c r="E13" s="94">
        <f t="shared" ca="1" si="3"/>
        <v>5.6370000000000005</v>
      </c>
      <c r="F13" s="180">
        <f t="shared" ca="1" si="3"/>
        <v>-0.55000000000002558</v>
      </c>
      <c r="G13" s="180">
        <f t="shared" ca="1" si="3"/>
        <v>-4.1099999999999994</v>
      </c>
      <c r="H13" s="180">
        <f t="shared" ca="1" si="3"/>
        <v>-6.0079999999999956</v>
      </c>
      <c r="I13" s="180">
        <f t="shared" ca="1" si="3"/>
        <v>-6.3050000000000068</v>
      </c>
      <c r="J13" s="180">
        <f t="shared" ca="1" si="3"/>
        <v>-6.3250000000000171</v>
      </c>
      <c r="K13" s="99">
        <f t="shared" ca="1" si="3"/>
        <v>-6.5051782827870994</v>
      </c>
      <c r="L13" s="99">
        <f t="shared" ca="1" si="3"/>
        <v>-6.4453282764000051</v>
      </c>
      <c r="M13" s="99">
        <f t="shared" ca="1" si="3"/>
        <v>-6.3182366381225563</v>
      </c>
      <c r="N13" s="99">
        <f t="shared" ca="1" si="3"/>
        <v>-6.1665772070209073</v>
      </c>
      <c r="O13" s="99">
        <f t="shared" ca="1" si="3"/>
        <v>-6.0652127693421818</v>
      </c>
      <c r="P13" s="99">
        <f t="shared" ca="1" si="3"/>
        <v>-5.9187330752318417</v>
      </c>
      <c r="Q13" s="99">
        <f t="shared" ca="1" si="3"/>
        <v>-5.6696757228127694</v>
      </c>
      <c r="R13" s="99">
        <f t="shared" ca="1" si="3"/>
        <v>-5.9125401549376306</v>
      </c>
      <c r="S13" s="99">
        <f t="shared" ca="1" si="3"/>
        <v>-6.1717164234076733</v>
      </c>
      <c r="T13" s="99">
        <f t="shared" ca="1" si="3"/>
        <v>-6.4103453182812871</v>
      </c>
      <c r="U13" s="54"/>
    </row>
    <row r="14" spans="1:21" x14ac:dyDescent="0.2">
      <c r="A14" s="47" t="s">
        <v>721</v>
      </c>
      <c r="B14" s="94"/>
      <c r="C14"/>
      <c r="D14" s="94">
        <f t="shared" ref="D14:T14" ca="1" si="4">D$13-(D$116-D$125-D$119)</f>
        <v>6.2499999999999991</v>
      </c>
      <c r="E14" s="94">
        <f t="shared" ca="1" si="4"/>
        <v>5.5860000000000003</v>
      </c>
      <c r="F14" s="180">
        <f t="shared" ca="1" si="4"/>
        <v>-0.81200000000002559</v>
      </c>
      <c r="G14" s="180">
        <f t="shared" ca="1" si="4"/>
        <v>-4.0269999999999992</v>
      </c>
      <c r="H14" s="180">
        <f t="shared" ca="1" si="4"/>
        <v>-5.902999999999996</v>
      </c>
      <c r="I14" s="180">
        <f t="shared" ca="1" si="4"/>
        <v>-6.1750000000000069</v>
      </c>
      <c r="J14" s="180">
        <f t="shared" ca="1" si="4"/>
        <v>-6.1750000000000167</v>
      </c>
      <c r="K14" s="99">
        <f t="shared" ca="1" si="4"/>
        <v>-6.3888750735058446</v>
      </c>
      <c r="L14" s="99">
        <f t="shared" ca="1" si="4"/>
        <v>-6.3348837359353061</v>
      </c>
      <c r="M14" s="99">
        <f t="shared" ca="1" si="4"/>
        <v>-6.2140033539353787</v>
      </c>
      <c r="N14" s="99">
        <f t="shared" ca="1" si="4"/>
        <v>-6.0689275413286481</v>
      </c>
      <c r="O14" s="99">
        <f t="shared" ca="1" si="4"/>
        <v>-5.974520089345039</v>
      </c>
      <c r="P14" s="99">
        <f t="shared" ca="1" si="4"/>
        <v>-5.8353669783973174</v>
      </c>
      <c r="Q14" s="99">
        <f t="shared" ca="1" si="4"/>
        <v>-5.5940024759720677</v>
      </c>
      <c r="R14" s="99">
        <f t="shared" ca="1" si="4"/>
        <v>-5.8448799509132492</v>
      </c>
      <c r="S14" s="99">
        <f t="shared" ca="1" si="4"/>
        <v>-6.1123323781657</v>
      </c>
      <c r="T14" s="99">
        <f t="shared" ca="1" si="4"/>
        <v>-6.3594839565895249</v>
      </c>
      <c r="U14" s="54"/>
    </row>
    <row r="15" spans="1:21" x14ac:dyDescent="0.2">
      <c r="A15" s="47" t="s">
        <v>516</v>
      </c>
      <c r="B15" s="94"/>
      <c r="C15"/>
      <c r="D15" s="94">
        <f>SUM(Data!C$35:C$37)</f>
        <v>2.2429999999999999</v>
      </c>
      <c r="E15" s="94">
        <f>SUM(Data!D$35:D$37)</f>
        <v>-3.2079999999999997</v>
      </c>
      <c r="F15" s="180">
        <f>SUM(Data!E$35:E$37)</f>
        <v>-3.7789999999999995</v>
      </c>
      <c r="G15" s="180">
        <f>SUM(Data!F$35:F$37)</f>
        <v>2.12</v>
      </c>
      <c r="H15" s="180">
        <f>SUM(Data!G$35:G$37)</f>
        <v>2.4099999999999997</v>
      </c>
      <c r="I15" s="180">
        <f>SUM(Data!H$35:H$37)</f>
        <v>2.6960000000000002</v>
      </c>
      <c r="J15" s="180">
        <f>SUM(Data!I$35:I$37)</f>
        <v>2.992</v>
      </c>
      <c r="K15" s="99">
        <f ca="1">SUM(J$15,K$22-J$22,(K$131-K$132-(J$131-J$132))*(1-OFFSET(Scenarios!$A$21,0,$C$1)),(K$140-K$141-(J$140-J$141))*(1-OFFSET(Scenarios!$A$22,0,$C$1)))</f>
        <v>3.0615779859577956</v>
      </c>
      <c r="L15" s="99">
        <f ca="1">SUM(K$15,L$22-K$22,(L$131-L$132-(K$131-K$132))*(1-OFFSET(Scenarios!$A$21,0,$C$1)),(L$140-L$141-(K$140-K$141))*(1-OFFSET(Scenarios!$A$22,0,$C$1)))</f>
        <v>3.3646508389131853</v>
      </c>
      <c r="M15" s="99">
        <f ca="1">SUM(L$15,M$22-L$22,(M$131-M$132-(L$131-L$132))*(1-OFFSET(Scenarios!$A$21,0,$C$1)),(M$140-M$141-(L$140-L$141))*(1-OFFSET(Scenarios!$A$22,0,$C$1)))</f>
        <v>3.6860010106512786</v>
      </c>
      <c r="N15" s="99">
        <f ca="1">SUM(M$15,N$22-M$22,(N$131-N$132-(M$131-M$132))*(1-OFFSET(Scenarios!$A$21,0,$C$1)),(N$140-N$141-(M$140-M$141))*(1-OFFSET(Scenarios!$A$22,0,$C$1)))</f>
        <v>4.0266609967999987</v>
      </c>
      <c r="O15" s="99">
        <f ca="1">SUM(N$15,O$22-N$22,(O$131-O$132-(N$131-N$132))*(1-OFFSET(Scenarios!$A$21,0,$C$1)),(O$140-O$141-(N$140-N$141))*(1-OFFSET(Scenarios!$A$22,0,$C$1)))</f>
        <v>4.3867587073896175</v>
      </c>
      <c r="P15" s="99">
        <f ca="1">SUM(O$15,P$22-O$22,(P$131-P$132-(O$131-O$132))*(1-OFFSET(Scenarios!$A$21,0,$C$1)),(P$140-P$141-(O$140-O$141))*(1-OFFSET(Scenarios!$A$22,0,$C$1)))</f>
        <v>4.7661957041285978</v>
      </c>
      <c r="Q15" s="99">
        <f ca="1">SUM(P$15,Q$22-P$22,(Q$131-Q$132-(P$131-P$132))*(1-OFFSET(Scenarios!$A$21,0,$C$1)),(Q$140-Q$141-(P$140-P$141))*(1-OFFSET(Scenarios!$A$22,0,$C$1)))</f>
        <v>5.16490007664465</v>
      </c>
      <c r="R15" s="99">
        <f ca="1">SUM(Q$15,R$22-Q$22,(R$131-R$132-(Q$131-Q$132))*(1-OFFSET(Scenarios!$A$21,0,$C$1)),(R$140-R$141-(Q$140-Q$141))*(1-OFFSET(Scenarios!$A$22,0,$C$1)))</f>
        <v>5.5807349354070919</v>
      </c>
      <c r="S15" s="99">
        <f ca="1">SUM(R$15,S$22-R$22,(S$131-S$132-(R$131-R$132))*(1-OFFSET(Scenarios!$A$21,0,$C$1)),(S$140-S$141-(R$140-R$141))*(1-OFFSET(Scenarios!$A$22,0,$C$1)))</f>
        <v>6.0110363297451004</v>
      </c>
      <c r="T15" s="99">
        <f ca="1">SUM(S$15,T$22-S$22,(T$131-T$132-(S$131-S$132))*(1-OFFSET(Scenarios!$A$21,0,$C$1)),(T$140-T$141-(S$140-S$141))*(1-OFFSET(Scenarios!$A$22,0,$C$1)))</f>
        <v>6.4551078155435206</v>
      </c>
      <c r="U15" s="54"/>
    </row>
    <row r="16" spans="1:21" x14ac:dyDescent="0.2">
      <c r="A16" s="47" t="s">
        <v>160</v>
      </c>
      <c r="B16" s="95"/>
      <c r="C16"/>
      <c r="D16" s="94">
        <f t="shared" ref="D16:T16" ca="1" si="5">SUM(D$13,D$15)</f>
        <v>8.1029999999999998</v>
      </c>
      <c r="E16" s="94">
        <f t="shared" ca="1" si="5"/>
        <v>2.4290000000000007</v>
      </c>
      <c r="F16" s="180">
        <f t="shared" ca="1" si="5"/>
        <v>-4.3290000000000255</v>
      </c>
      <c r="G16" s="180">
        <f t="shared" ca="1" si="5"/>
        <v>-1.9899999999999993</v>
      </c>
      <c r="H16" s="180">
        <f t="shared" ca="1" si="5"/>
        <v>-3.5979999999999959</v>
      </c>
      <c r="I16" s="180">
        <f t="shared" ca="1" si="5"/>
        <v>-3.6090000000000066</v>
      </c>
      <c r="J16" s="180">
        <f t="shared" ca="1" si="5"/>
        <v>-3.3330000000000171</v>
      </c>
      <c r="K16" s="99">
        <f t="shared" ca="1" si="5"/>
        <v>-3.4436002968293038</v>
      </c>
      <c r="L16" s="99">
        <f t="shared" ca="1" si="5"/>
        <v>-3.0806774374868198</v>
      </c>
      <c r="M16" s="99">
        <f t="shared" ca="1" si="5"/>
        <v>-2.6322356274712777</v>
      </c>
      <c r="N16" s="99">
        <f t="shared" ca="1" si="5"/>
        <v>-2.1399162102209086</v>
      </c>
      <c r="O16" s="99">
        <f t="shared" ca="1" si="5"/>
        <v>-1.6784540619525643</v>
      </c>
      <c r="P16" s="99">
        <f t="shared" ca="1" si="5"/>
        <v>-1.1525373711032438</v>
      </c>
      <c r="Q16" s="99">
        <f t="shared" ca="1" si="5"/>
        <v>-0.50477564616811943</v>
      </c>
      <c r="R16" s="99">
        <f t="shared" ca="1" si="5"/>
        <v>-0.33180521953053876</v>
      </c>
      <c r="S16" s="99">
        <f t="shared" ca="1" si="5"/>
        <v>-0.16068009366257296</v>
      </c>
      <c r="T16" s="99">
        <f t="shared" ca="1" si="5"/>
        <v>4.476249726223358E-2</v>
      </c>
      <c r="U16" s="54"/>
    </row>
    <row r="17" spans="1:21" x14ac:dyDescent="0.2">
      <c r="A17" s="43" t="s">
        <v>213</v>
      </c>
      <c r="B17" s="95"/>
      <c r="C17" s="95"/>
      <c r="D17" s="95"/>
      <c r="E17" s="95"/>
      <c r="F17" s="95"/>
      <c r="G17" s="180"/>
      <c r="H17" s="180"/>
      <c r="I17" s="180"/>
      <c r="J17" s="180"/>
      <c r="T17" s="99"/>
      <c r="U17" s="54"/>
    </row>
    <row r="18" spans="1:21" x14ac:dyDescent="0.2">
      <c r="A18" s="47" t="s">
        <v>190</v>
      </c>
      <c r="B18" s="94"/>
      <c r="C18"/>
      <c r="D18" s="94">
        <f t="shared" ref="D18:T18" si="6">D$52</f>
        <v>53.476999999999997</v>
      </c>
      <c r="E18" s="94">
        <f t="shared" si="6"/>
        <v>56.747</v>
      </c>
      <c r="F18" s="180">
        <f t="shared" ca="1" si="6"/>
        <v>55.4</v>
      </c>
      <c r="G18" s="180">
        <f t="shared" ca="1" si="6"/>
        <v>54.354999999999997</v>
      </c>
      <c r="H18" s="180">
        <f t="shared" ca="1" si="6"/>
        <v>55.298000000000002</v>
      </c>
      <c r="I18" s="180">
        <f t="shared" ca="1" si="6"/>
        <v>58.302999999999997</v>
      </c>
      <c r="J18" s="180">
        <f t="shared" ca="1" si="6"/>
        <v>61.879000000000005</v>
      </c>
      <c r="K18" s="99">
        <f t="shared" ca="1" si="6"/>
        <v>65.322591251954634</v>
      </c>
      <c r="L18" s="99">
        <f t="shared" ca="1" si="6"/>
        <v>68.677770680156641</v>
      </c>
      <c r="M18" s="99">
        <f t="shared" ca="1" si="6"/>
        <v>72.189159020779286</v>
      </c>
      <c r="N18" s="99">
        <f t="shared" ca="1" si="6"/>
        <v>75.804692405561397</v>
      </c>
      <c r="O18" s="99">
        <f t="shared" ca="1" si="6"/>
        <v>79.414373941276665</v>
      </c>
      <c r="P18" s="99">
        <f t="shared" ca="1" si="6"/>
        <v>83.174904533216178</v>
      </c>
      <c r="Q18" s="99">
        <f t="shared" ca="1" si="6"/>
        <v>87.096481422849862</v>
      </c>
      <c r="R18" s="99">
        <f t="shared" ca="1" si="6"/>
        <v>90.706525675698842</v>
      </c>
      <c r="S18" s="99">
        <f t="shared" ca="1" si="6"/>
        <v>94.463217013150597</v>
      </c>
      <c r="T18" s="99">
        <f t="shared" ca="1" si="6"/>
        <v>98.329730836392812</v>
      </c>
      <c r="U18" s="54"/>
    </row>
    <row r="19" spans="1:21" x14ac:dyDescent="0.2">
      <c r="A19" s="47" t="s">
        <v>514</v>
      </c>
      <c r="B19" s="94"/>
      <c r="C19"/>
      <c r="D19" s="94">
        <f t="shared" ref="D19:T19" si="7">SUM(D$18,D$56,D$57,D$64)</f>
        <v>58.210999999999999</v>
      </c>
      <c r="E19" s="94">
        <f t="shared" si="7"/>
        <v>61.819000000000003</v>
      </c>
      <c r="F19" s="180">
        <f t="shared" ca="1" si="7"/>
        <v>60.805999999999997</v>
      </c>
      <c r="G19" s="180">
        <f t="shared" ca="1" si="7"/>
        <v>59.783000000000001</v>
      </c>
      <c r="H19" s="180">
        <f t="shared" ca="1" si="7"/>
        <v>61.212000000000003</v>
      </c>
      <c r="I19" s="180">
        <f t="shared" ca="1" si="7"/>
        <v>64.573999999999998</v>
      </c>
      <c r="J19" s="180">
        <f t="shared" ca="1" si="7"/>
        <v>68.835000000000008</v>
      </c>
      <c r="K19" s="99">
        <f t="shared" ca="1" si="7"/>
        <v>71.943268279593568</v>
      </c>
      <c r="L19" s="99">
        <f t="shared" ca="1" si="7"/>
        <v>75.484863021564991</v>
      </c>
      <c r="M19" s="99">
        <f t="shared" ca="1" si="7"/>
        <v>79.189119904499137</v>
      </c>
      <c r="N19" s="99">
        <f t="shared" ca="1" si="7"/>
        <v>83.003949522096462</v>
      </c>
      <c r="O19" s="99">
        <f t="shared" ca="1" si="7"/>
        <v>86.818683002975092</v>
      </c>
      <c r="P19" s="99">
        <f t="shared" ca="1" si="7"/>
        <v>90.688939498906493</v>
      </c>
      <c r="Q19" s="99">
        <f t="shared" ca="1" si="7"/>
        <v>94.727051245286319</v>
      </c>
      <c r="R19" s="99">
        <f t="shared" ca="1" si="7"/>
        <v>98.459768232942537</v>
      </c>
      <c r="S19" s="99">
        <f t="shared" ca="1" si="7"/>
        <v>102.34464427303195</v>
      </c>
      <c r="T19" s="99">
        <f t="shared" ca="1" si="7"/>
        <v>106.34446021825677</v>
      </c>
      <c r="U19" s="54"/>
    </row>
    <row r="20" spans="1:21" x14ac:dyDescent="0.2">
      <c r="A20" s="47" t="s">
        <v>515</v>
      </c>
      <c r="B20" s="94"/>
      <c r="C20"/>
      <c r="D20" s="94">
        <f t="shared" ref="D20:T20" ca="1" si="8">SUM(D$21,D$110)</f>
        <v>54.003000000000007</v>
      </c>
      <c r="E20" s="94">
        <f t="shared" ca="1" si="8"/>
        <v>56.997000000000007</v>
      </c>
      <c r="F20" s="180">
        <f t="shared" ca="1" si="8"/>
        <v>62.741</v>
      </c>
      <c r="G20" s="180">
        <f t="shared" ca="1" si="8"/>
        <v>65.427999999999997</v>
      </c>
      <c r="H20" s="180">
        <f t="shared" ca="1" si="8"/>
        <v>68.524000000000001</v>
      </c>
      <c r="I20" s="180">
        <f t="shared" ca="1" si="8"/>
        <v>71.953000000000003</v>
      </c>
      <c r="J20" s="180">
        <f t="shared" ca="1" si="8"/>
        <v>76.158000000000001</v>
      </c>
      <c r="K20" s="99">
        <f t="shared" ca="1" si="8"/>
        <v>79.624555258138642</v>
      </c>
      <c r="L20" s="99">
        <f t="shared" ca="1" si="8"/>
        <v>83.300949122901557</v>
      </c>
      <c r="M20" s="99">
        <f t="shared" ca="1" si="8"/>
        <v>87.046532331942316</v>
      </c>
      <c r="N20" s="99">
        <f t="shared" ca="1" si="8"/>
        <v>90.881767221427836</v>
      </c>
      <c r="O20" s="99">
        <f t="shared" ca="1" si="8"/>
        <v>94.763780498173659</v>
      </c>
      <c r="P20" s="99">
        <f t="shared" ca="1" si="8"/>
        <v>98.666551648003178</v>
      </c>
      <c r="Q20" s="99">
        <f t="shared" ca="1" si="8"/>
        <v>102.64445685513019</v>
      </c>
      <c r="R20" s="99">
        <f t="shared" ca="1" si="8"/>
        <v>106.8168873702698</v>
      </c>
      <c r="S20" s="99">
        <f t="shared" ca="1" si="8"/>
        <v>111.16708555056729</v>
      </c>
      <c r="T20" s="99">
        <f t="shared" ca="1" si="8"/>
        <v>115.61876282728873</v>
      </c>
      <c r="U20" s="54"/>
    </row>
    <row r="21" spans="1:21" x14ac:dyDescent="0.2">
      <c r="A21" s="47" t="s">
        <v>521</v>
      </c>
      <c r="B21" s="94"/>
      <c r="C21"/>
      <c r="D21" s="94">
        <f ca="1">SUM($D$69:D$69,D$77,D$89,D$95,D$106)</f>
        <v>51.674000000000007</v>
      </c>
      <c r="E21" s="94">
        <f ca="1">SUM($D$69:E$69,E$77,E$89,E$95,E$106)</f>
        <v>54.537000000000006</v>
      </c>
      <c r="F21" s="180">
        <f ca="1">SUM($D$69:F$69,F$77,F$89,F$95,F$106)</f>
        <v>60.176000000000002</v>
      </c>
      <c r="G21" s="180">
        <f ca="1">SUM($D$69:G$69,G$77,G$89,G$95,G$106)</f>
        <v>62.944000000000003</v>
      </c>
      <c r="H21" s="180">
        <f ca="1">SUM($D$69:H$69,H$77,H$89,H$95,H$106)</f>
        <v>65.539000000000001</v>
      </c>
      <c r="I21" s="180">
        <f ca="1">SUM($D$69:I$69,I$77,I$89,I$95,I$106)</f>
        <v>68.396000000000001</v>
      </c>
      <c r="J21" s="180">
        <f ca="1">SUM($D$69:J$69,J$77,J$89,J$95,J$106)</f>
        <v>71.835999999999999</v>
      </c>
      <c r="K21" s="99">
        <f ca="1">SUM($D$69:K$69,K$77,K$89,K$95,K$106)</f>
        <v>75.017215258138648</v>
      </c>
      <c r="L21" s="99">
        <f ca="1">SUM($D$69:L$69,L$77,L$89,L$95,L$106)</f>
        <v>77.983521870750835</v>
      </c>
      <c r="M21" s="99">
        <f ca="1">SUM($D$69:M$69,M$77,M$89,M$95,M$106)</f>
        <v>81.011809905077897</v>
      </c>
      <c r="N21" s="99">
        <f ca="1">SUM($D$69:N$69,N$77,N$89,N$95,N$106)</f>
        <v>84.138298621431474</v>
      </c>
      <c r="O21" s="99">
        <f ca="1">SUM($D$69:O$69,O$77,O$89,O$95,O$106)</f>
        <v>87.354104889175858</v>
      </c>
      <c r="P21" s="99">
        <f ca="1">SUM($D$69:P$69,P$77,P$89,P$95,P$106)</f>
        <v>90.588416213634233</v>
      </c>
      <c r="Q21" s="99">
        <f ca="1">SUM($D$69:Q$69,Q$77,Q$89,Q$95,Q$106)</f>
        <v>93.899394901099356</v>
      </c>
      <c r="R21" s="99">
        <f ca="1">SUM($D$69:R$69,R$77,R$89,R$95,R$106)</f>
        <v>97.413730269269934</v>
      </c>
      <c r="S21" s="99">
        <f ca="1">SUM($D$69:S$69,S$77,S$89,S$95,S$106)</f>
        <v>101.08925404267291</v>
      </c>
      <c r="T21" s="99">
        <f ca="1">SUM($D$69:T$69,T$77,T$89,T$95,T$106)</f>
        <v>104.85026620362424</v>
      </c>
      <c r="U21" s="54"/>
    </row>
    <row r="22" spans="1:21" x14ac:dyDescent="0.2">
      <c r="A22" s="47" t="s">
        <v>516</v>
      </c>
      <c r="B22" s="94"/>
      <c r="C22"/>
      <c r="D22" s="94">
        <f>Data!C$114</f>
        <v>2.395</v>
      </c>
      <c r="E22" s="94">
        <f>Data!D$114</f>
        <v>-0.92900000000000005</v>
      </c>
      <c r="F22" s="180">
        <f>Data!E$114</f>
        <v>-3.01</v>
      </c>
      <c r="G22" s="180">
        <f>Data!F$114</f>
        <v>1.619</v>
      </c>
      <c r="H22" s="180">
        <f>Data!G$114</f>
        <v>1.869</v>
      </c>
      <c r="I22" s="180">
        <f>Data!H$114</f>
        <v>2.1230000000000002</v>
      </c>
      <c r="J22" s="180">
        <f>Data!I$114</f>
        <v>2.3980000000000001</v>
      </c>
      <c r="K22" s="99">
        <f>SUM(J$22,K$117-J$117)</f>
        <v>2.4588812002618501</v>
      </c>
      <c r="L22" s="99">
        <f t="shared" ref="L22:T22" si="9">SUM(K$22,L$117-K$117)</f>
        <v>2.7426856429336981</v>
      </c>
      <c r="M22" s="99">
        <f t="shared" si="9"/>
        <v>3.0435700556440617</v>
      </c>
      <c r="N22" s="99">
        <f t="shared" si="9"/>
        <v>3.3624923631201908</v>
      </c>
      <c r="O22" s="99">
        <f t="shared" si="9"/>
        <v>3.6995012485343701</v>
      </c>
      <c r="P22" s="99">
        <f t="shared" si="9"/>
        <v>4.0544140992624893</v>
      </c>
      <c r="Q22" s="99">
        <f t="shared" si="9"/>
        <v>4.4270695732987253</v>
      </c>
      <c r="R22" s="99">
        <f t="shared" si="9"/>
        <v>4.8152357628885794</v>
      </c>
      <c r="S22" s="99">
        <f t="shared" si="9"/>
        <v>5.216147762567994</v>
      </c>
      <c r="T22" s="99">
        <f t="shared" si="9"/>
        <v>5.6290018648857556</v>
      </c>
      <c r="U22" s="54"/>
    </row>
    <row r="23" spans="1:21" x14ac:dyDescent="0.2">
      <c r="A23" s="47" t="s">
        <v>160</v>
      </c>
      <c r="B23" s="94"/>
      <c r="C23"/>
      <c r="D23" s="94">
        <f t="shared" ref="D23:T23" ca="1" si="10">D$19-D$20+D$22</f>
        <v>6.6029999999999909</v>
      </c>
      <c r="E23" s="94">
        <f t="shared" ca="1" si="10"/>
        <v>3.8929999999999954</v>
      </c>
      <c r="F23" s="180">
        <f t="shared" ca="1" si="10"/>
        <v>-4.9450000000000021</v>
      </c>
      <c r="G23" s="180">
        <f t="shared" ca="1" si="10"/>
        <v>-4.0259999999999962</v>
      </c>
      <c r="H23" s="180">
        <f t="shared" ca="1" si="10"/>
        <v>-5.4429999999999978</v>
      </c>
      <c r="I23" s="180">
        <f t="shared" ca="1" si="10"/>
        <v>-5.2560000000000047</v>
      </c>
      <c r="J23" s="180">
        <f t="shared" ca="1" si="10"/>
        <v>-4.9249999999999936</v>
      </c>
      <c r="K23" s="99">
        <f t="shared" ca="1" si="10"/>
        <v>-5.2224057782832247</v>
      </c>
      <c r="L23" s="99">
        <f t="shared" ca="1" si="10"/>
        <v>-5.073400458402868</v>
      </c>
      <c r="M23" s="99">
        <f t="shared" ca="1" si="10"/>
        <v>-4.8138423717991179</v>
      </c>
      <c r="N23" s="99">
        <f t="shared" ca="1" si="10"/>
        <v>-4.5153253362111823</v>
      </c>
      <c r="O23" s="99">
        <f t="shared" ca="1" si="10"/>
        <v>-4.2455962466641974</v>
      </c>
      <c r="P23" s="99">
        <f t="shared" ca="1" si="10"/>
        <v>-3.9231980498341965</v>
      </c>
      <c r="Q23" s="99">
        <f t="shared" ca="1" si="10"/>
        <v>-3.490336036545143</v>
      </c>
      <c r="R23" s="99">
        <f t="shared" ca="1" si="10"/>
        <v>-3.5418833744386804</v>
      </c>
      <c r="S23" s="99">
        <f t="shared" ca="1" si="10"/>
        <v>-3.6062935149673532</v>
      </c>
      <c r="T23" s="99">
        <f t="shared" ca="1" si="10"/>
        <v>-3.6453007441462075</v>
      </c>
      <c r="U23" s="54"/>
    </row>
    <row r="24" spans="1:21" ht="15.75" customHeight="1" x14ac:dyDescent="0.25">
      <c r="A24" s="249" t="s">
        <v>638</v>
      </c>
      <c r="C24"/>
      <c r="D24" s="97"/>
      <c r="E24" s="97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U24" s="54"/>
    </row>
    <row r="25" spans="1:21" x14ac:dyDescent="0.2">
      <c r="A25" s="43" t="s">
        <v>212</v>
      </c>
      <c r="B25" s="95"/>
      <c r="C2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54"/>
    </row>
    <row r="26" spans="1:21" x14ac:dyDescent="0.2">
      <c r="A26" s="47" t="s">
        <v>845</v>
      </c>
      <c r="B26" s="95"/>
      <c r="C26"/>
      <c r="D26" s="94">
        <f ca="1">SUM(D$151,D$160,D$169,D$171,D$176,$D$178:D$178,D$186)</f>
        <v>180.34900000000002</v>
      </c>
      <c r="E26" s="94">
        <f ca="1">SUM(E$151,E$160,E$169,E$171,E$176,$D$178:E$178,E$186)</f>
        <v>200.83500000000001</v>
      </c>
      <c r="F26" s="180">
        <f ca="1">SUM(F$151,F$160,F$169,F$171,F$176,$D$178:F$178,F$186)</f>
        <v>206.48699999999999</v>
      </c>
      <c r="G26" s="180">
        <f ca="1">SUM(G$151,G$160,G$169,G$171,G$176,$D$178:G$178,G$186)</f>
        <v>212.24899999999997</v>
      </c>
      <c r="H26" s="180">
        <f ca="1">SUM(H$151,H$160,H$169,H$171,H$176,$D$178:H$178,H$186)</f>
        <v>222.69499999999999</v>
      </c>
      <c r="I26" s="180">
        <f ca="1">SUM(I$151,I$160,I$169,I$171,I$176,$D$178:I$178,I$186)</f>
        <v>231.08500000000001</v>
      </c>
      <c r="J26" s="180">
        <f ca="1">SUM(J$151,J$160,J$169,J$171,J$176,$D$178:J$178,J$186)</f>
        <v>242.07100000000003</v>
      </c>
      <c r="K26" s="99">
        <f ca="1">SUM(K$151,K$160,K$169,K$171,K$176,$D$178:K$178,K$186)</f>
        <v>252.57980016085617</v>
      </c>
      <c r="L26" s="99">
        <f ca="1">SUM(L$151,L$160,L$169,L$171,L$176,$D$178:L$178,L$186)</f>
        <v>264.27606346768164</v>
      </c>
      <c r="M26" s="99">
        <f ca="1">SUM(M$151,M$160,M$169,M$171,M$176,$D$178:M$178,M$186)</f>
        <v>276.57215955911329</v>
      </c>
      <c r="N26" s="99">
        <f ca="1">SUM(N$151,N$160,N$169,N$171,N$176,$D$178:N$178,N$186)</f>
        <v>288.76416720632511</v>
      </c>
      <c r="O26" s="99">
        <f ca="1">SUM(O$151,O$160,O$169,O$171,O$176,$D$178:O$178,O$186)</f>
        <v>301.53252099009921</v>
      </c>
      <c r="P26" s="99">
        <f ca="1">SUM(P$151,P$160,P$169,P$171,P$176,$D$178:P$178,P$186)</f>
        <v>314.94652935410625</v>
      </c>
      <c r="Q26" s="99">
        <f ca="1">SUM(Q$151,Q$160,Q$169,Q$171,Q$176,$D$178:Q$178,Q$186)</f>
        <v>329.02553083729612</v>
      </c>
      <c r="R26" s="99">
        <f ca="1">SUM(R$151,R$160,R$169,R$171,R$176,$D$178:R$178,R$186)</f>
        <v>343.71617068071652</v>
      </c>
      <c r="S26" s="99">
        <f ca="1">SUM(S$151,S$160,S$169,S$171,S$176,$D$178:S$178,S$186)</f>
        <v>359.0359105037345</v>
      </c>
      <c r="T26" s="99">
        <f ca="1">SUM(T$151,T$160,T$169,T$171,T$176,$D$178:T$178,T$186)</f>
        <v>374.97496753853483</v>
      </c>
      <c r="U26" s="54"/>
    </row>
    <row r="27" spans="1:21" x14ac:dyDescent="0.2">
      <c r="A27" s="47" t="s">
        <v>161</v>
      </c>
      <c r="B27" s="95"/>
      <c r="C27"/>
      <c r="D27" s="94">
        <f t="shared" ref="D27:T27" si="11">SUM(D$202,D$199)</f>
        <v>41.897999999999996</v>
      </c>
      <c r="E27" s="94">
        <f t="shared" si="11"/>
        <v>46.11</v>
      </c>
      <c r="F27" s="180">
        <f t="shared" si="11"/>
        <v>51.317</v>
      </c>
      <c r="G27" s="180">
        <f t="shared" si="11"/>
        <v>57.06</v>
      </c>
      <c r="H27" s="180">
        <f t="shared" si="11"/>
        <v>70.701999999999998</v>
      </c>
      <c r="I27" s="180">
        <f t="shared" si="11"/>
        <v>81.509</v>
      </c>
      <c r="J27" s="180">
        <f t="shared" si="11"/>
        <v>94.339999999999989</v>
      </c>
      <c r="K27" s="99">
        <f t="shared" ca="1" si="11"/>
        <v>106.36215112915772</v>
      </c>
      <c r="L27" s="99">
        <f t="shared" ca="1" si="11"/>
        <v>119.12409023483445</v>
      </c>
      <c r="M27" s="99">
        <f t="shared" ca="1" si="11"/>
        <v>131.7707739740365</v>
      </c>
      <c r="N27" s="99">
        <f t="shared" ca="1" si="11"/>
        <v>143.71650037942169</v>
      </c>
      <c r="O27" s="99">
        <f t="shared" ca="1" si="11"/>
        <v>155.6695294628243</v>
      </c>
      <c r="P27" s="99">
        <f t="shared" ca="1" si="11"/>
        <v>167.6178975655146</v>
      </c>
      <c r="Q27" s="99">
        <f t="shared" ca="1" si="11"/>
        <v>179.44149040260027</v>
      </c>
      <c r="R27" s="99">
        <f t="shared" ca="1" si="11"/>
        <v>191.56145216146575</v>
      </c>
      <c r="S27" s="99">
        <f t="shared" ca="1" si="11"/>
        <v>203.97633526239608</v>
      </c>
      <c r="T27" s="99">
        <f t="shared" ca="1" si="11"/>
        <v>216.63920507815396</v>
      </c>
      <c r="U27" s="54"/>
    </row>
    <row r="28" spans="1:21" x14ac:dyDescent="0.2">
      <c r="A28" s="47" t="s">
        <v>238</v>
      </c>
      <c r="B28" s="95"/>
      <c r="C28"/>
      <c r="D28" s="94">
        <f t="shared" ref="D28:T28" si="12">D$197</f>
        <v>41.623999999999995</v>
      </c>
      <c r="E28" s="94">
        <f t="shared" si="12"/>
        <v>49.210999999999999</v>
      </c>
      <c r="F28" s="180">
        <f t="shared" si="12"/>
        <v>53.639000000000003</v>
      </c>
      <c r="G28" s="180">
        <f t="shared" si="12"/>
        <v>55.642000000000003</v>
      </c>
      <c r="H28" s="180">
        <f t="shared" si="12"/>
        <v>56.042000000000002</v>
      </c>
      <c r="I28" s="180">
        <f t="shared" si="12"/>
        <v>57.227000000000004</v>
      </c>
      <c r="J28" s="180">
        <f t="shared" si="12"/>
        <v>58.710000000000008</v>
      </c>
      <c r="K28" s="99">
        <f t="shared" ca="1" si="12"/>
        <v>60.640249328527673</v>
      </c>
      <c r="L28" s="99">
        <f t="shared" ca="1" si="12"/>
        <v>62.655250967163312</v>
      </c>
      <c r="M28" s="99">
        <f t="shared" ca="1" si="12"/>
        <v>64.936898946864204</v>
      </c>
      <c r="N28" s="99">
        <f t="shared" ca="1" si="12"/>
        <v>67.323096398911815</v>
      </c>
      <c r="O28" s="99">
        <f t="shared" ca="1" si="12"/>
        <v>69.816875161235956</v>
      </c>
      <c r="P28" s="99">
        <f t="shared" ca="1" si="12"/>
        <v>72.435052793655927</v>
      </c>
      <c r="Q28" s="99">
        <f t="shared" ca="1" si="12"/>
        <v>75.195237085928227</v>
      </c>
      <c r="R28" s="99">
        <f t="shared" ca="1" si="12"/>
        <v>78.097720390013706</v>
      </c>
      <c r="S28" s="99">
        <f t="shared" ca="1" si="12"/>
        <v>81.163257205763912</v>
      </c>
      <c r="T28" s="99">
        <f t="shared" ca="1" si="12"/>
        <v>84.394681927544141</v>
      </c>
      <c r="U28" s="54"/>
    </row>
    <row r="29" spans="1:21" x14ac:dyDescent="0.2">
      <c r="A29" s="47" t="s">
        <v>162</v>
      </c>
      <c r="B29" s="95"/>
      <c r="C29"/>
      <c r="D29" s="94">
        <f t="shared" ref="D29:T29" ca="1" si="13">D$26-SUM(D$27,D$28)</f>
        <v>96.827000000000027</v>
      </c>
      <c r="E29" s="94">
        <f t="shared" ca="1" si="13"/>
        <v>105.51400000000001</v>
      </c>
      <c r="F29" s="180">
        <f t="shared" ca="1" si="13"/>
        <v>101.53099999999999</v>
      </c>
      <c r="G29" s="180">
        <f t="shared" ca="1" si="13"/>
        <v>99.546999999999969</v>
      </c>
      <c r="H29" s="180">
        <f t="shared" ca="1" si="13"/>
        <v>95.950999999999993</v>
      </c>
      <c r="I29" s="180">
        <f t="shared" ca="1" si="13"/>
        <v>92.349000000000018</v>
      </c>
      <c r="J29" s="180">
        <f t="shared" ca="1" si="13"/>
        <v>89.021000000000015</v>
      </c>
      <c r="K29" s="99">
        <f t="shared" ca="1" si="13"/>
        <v>85.577399703170784</v>
      </c>
      <c r="L29" s="99">
        <f t="shared" ca="1" si="13"/>
        <v>82.496722265683871</v>
      </c>
      <c r="M29" s="99">
        <f t="shared" ca="1" si="13"/>
        <v>79.864486638212583</v>
      </c>
      <c r="N29" s="99">
        <f t="shared" ca="1" si="13"/>
        <v>77.724570427991608</v>
      </c>
      <c r="O29" s="99">
        <f t="shared" ca="1" si="13"/>
        <v>76.046116366038973</v>
      </c>
      <c r="P29" s="99">
        <f t="shared" ca="1" si="13"/>
        <v>74.893578994935723</v>
      </c>
      <c r="Q29" s="99">
        <f t="shared" ca="1" si="13"/>
        <v>74.388803348767624</v>
      </c>
      <c r="R29" s="99">
        <f t="shared" ca="1" si="13"/>
        <v>74.056998129237058</v>
      </c>
      <c r="S29" s="99">
        <f t="shared" ca="1" si="13"/>
        <v>73.896318035574495</v>
      </c>
      <c r="T29" s="99">
        <f t="shared" ca="1" si="13"/>
        <v>73.941080532836736</v>
      </c>
      <c r="U29" s="54"/>
    </row>
    <row r="30" spans="1:21" x14ac:dyDescent="0.2">
      <c r="A30" s="47" t="s">
        <v>276</v>
      </c>
      <c r="B30" s="95"/>
      <c r="C30"/>
      <c r="D30" s="94">
        <f t="shared" ref="D30:T30" si="14">D$206</f>
        <v>36.805</v>
      </c>
      <c r="E30" s="94">
        <f t="shared" si="14"/>
        <v>37.744999999999997</v>
      </c>
      <c r="F30" s="180">
        <f t="shared" si="14"/>
        <v>41.140999999999998</v>
      </c>
      <c r="G30" s="180">
        <f t="shared" si="14"/>
        <v>45.142999999999994</v>
      </c>
      <c r="H30" s="180">
        <f t="shared" si="14"/>
        <v>56.682000000000002</v>
      </c>
      <c r="I30" s="180">
        <f t="shared" si="14"/>
        <v>66.805999999999997</v>
      </c>
      <c r="J30" s="180">
        <f t="shared" si="14"/>
        <v>77.995999999999995</v>
      </c>
      <c r="K30" s="99">
        <f t="shared" ca="1" si="14"/>
        <v>89.676778849694415</v>
      </c>
      <c r="L30" s="99">
        <f t="shared" ca="1" si="14"/>
        <v>101.77571241304288</v>
      </c>
      <c r="M30" s="99">
        <f t="shared" ca="1" si="14"/>
        <v>113.74100794629635</v>
      </c>
      <c r="N30" s="99">
        <f t="shared" ca="1" si="14"/>
        <v>125.00624766388506</v>
      </c>
      <c r="O30" s="99">
        <f t="shared" ca="1" si="14"/>
        <v>136.31792132689745</v>
      </c>
      <c r="P30" s="99">
        <f t="shared" ca="1" si="14"/>
        <v>147.6127854137753</v>
      </c>
      <c r="Q30" s="99">
        <f t="shared" ca="1" si="14"/>
        <v>158.76919440086758</v>
      </c>
      <c r="R30" s="99">
        <f t="shared" ca="1" si="14"/>
        <v>170.20835867568607</v>
      </c>
      <c r="S30" s="99">
        <f t="shared" ca="1" si="14"/>
        <v>181.92014194235441</v>
      </c>
      <c r="T30" s="99">
        <f t="shared" ca="1" si="14"/>
        <v>193.87059782769001</v>
      </c>
      <c r="U30" s="54"/>
    </row>
    <row r="31" spans="1:21" x14ac:dyDescent="0.2">
      <c r="A31" s="47" t="s">
        <v>705</v>
      </c>
      <c r="B31" s="95"/>
      <c r="C31"/>
      <c r="D31" s="94">
        <f t="shared" ref="D31:T31" si="15">D$206-D$208</f>
        <v>30.692999999999998</v>
      </c>
      <c r="E31" s="94">
        <f t="shared" si="15"/>
        <v>31.389999999999997</v>
      </c>
      <c r="F31" s="180">
        <f t="shared" si="15"/>
        <v>34.786000000000001</v>
      </c>
      <c r="G31" s="180">
        <f t="shared" si="15"/>
        <v>38.787999999999997</v>
      </c>
      <c r="H31" s="180">
        <f t="shared" si="15"/>
        <v>50.326999999999998</v>
      </c>
      <c r="I31" s="180">
        <f t="shared" si="15"/>
        <v>60.450999999999993</v>
      </c>
      <c r="J31" s="180">
        <f t="shared" si="15"/>
        <v>71.640999999999991</v>
      </c>
      <c r="K31" s="99">
        <f t="shared" ca="1" si="15"/>
        <v>83.321778849694411</v>
      </c>
      <c r="L31" s="99">
        <f t="shared" ca="1" si="15"/>
        <v>95.420712413042878</v>
      </c>
      <c r="M31" s="99">
        <f t="shared" ca="1" si="15"/>
        <v>107.38600794629635</v>
      </c>
      <c r="N31" s="99">
        <f t="shared" ca="1" si="15"/>
        <v>118.65124766388506</v>
      </c>
      <c r="O31" s="99">
        <f t="shared" ca="1" si="15"/>
        <v>129.96292132689746</v>
      </c>
      <c r="P31" s="99">
        <f t="shared" ca="1" si="15"/>
        <v>141.25778541377531</v>
      </c>
      <c r="Q31" s="99">
        <f t="shared" ca="1" si="15"/>
        <v>152.41419440086759</v>
      </c>
      <c r="R31" s="99">
        <f t="shared" ca="1" si="15"/>
        <v>163.85335867568608</v>
      </c>
      <c r="S31" s="99">
        <f t="shared" ca="1" si="15"/>
        <v>175.56514194235442</v>
      </c>
      <c r="T31" s="99">
        <f t="shared" ca="1" si="15"/>
        <v>187.51559782769002</v>
      </c>
      <c r="U31" s="54"/>
    </row>
    <row r="32" spans="1:21" x14ac:dyDescent="0.2">
      <c r="A32" s="43" t="s">
        <v>214</v>
      </c>
      <c r="B32" s="95"/>
      <c r="C32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54"/>
    </row>
    <row r="33" spans="1:21" x14ac:dyDescent="0.2">
      <c r="A33" s="47" t="s">
        <v>845</v>
      </c>
      <c r="B33" s="95"/>
      <c r="C33"/>
      <c r="D33" s="94">
        <f ca="1">SUM(D$147,D$160,D$166,D$170,D$174,$D$178:D$178,D$185)</f>
        <v>105.21299999999999</v>
      </c>
      <c r="E33" s="94">
        <f ca="1">SUM(E$147,E$160,E$166,E$170,E$174,$D$178:E$178,E$185)</f>
        <v>116.18199999999999</v>
      </c>
      <c r="F33" s="180">
        <f ca="1">SUM(F$147,F$160,F$166,F$170,F$174,$D$178:F$178,F$185)</f>
        <v>115.982</v>
      </c>
      <c r="G33" s="180">
        <f ca="1">SUM(G$147,G$160,G$166,G$170,G$174,$D$178:G$178,G$185)</f>
        <v>116.7</v>
      </c>
      <c r="H33" s="180">
        <f ca="1">SUM(H$147,H$160,H$166,H$170,H$174,$D$178:H$178,H$185)</f>
        <v>122.72799999999999</v>
      </c>
      <c r="I33" s="180">
        <f ca="1">SUM(I$147,I$160,I$166,I$170,I$174,$D$178:I$178,I$185)</f>
        <v>127.464</v>
      </c>
      <c r="J33" s="180">
        <f ca="1">SUM(J$147,J$160,J$166,J$170,J$174,$D$178:J$178,J$185)</f>
        <v>133.78900000000002</v>
      </c>
      <c r="K33" s="99">
        <f ca="1">SUM(K$147,K$160,K$166,K$170,K$174,$D$178:K$178,K$185)</f>
        <v>140.47305050219543</v>
      </c>
      <c r="L33" s="99">
        <f ca="1">SUM(L$147,L$160,L$166,L$170,L$174,$D$178:L$178,L$185)</f>
        <v>147.4020822703767</v>
      </c>
      <c r="M33" s="99">
        <f ca="1">SUM(M$147,M$160,M$166,M$170,M$174,$D$178:M$178,M$185)</f>
        <v>154.59936067574071</v>
      </c>
      <c r="N33" s="99">
        <f ca="1">SUM(N$147,N$160,N$166,N$170,N$174,$D$178:N$178,N$185)</f>
        <v>161.36827935706594</v>
      </c>
      <c r="O33" s="99">
        <f ca="1">SUM(O$147,O$160,O$166,O$170,O$174,$D$178:O$178,O$185)</f>
        <v>168.42222536358284</v>
      </c>
      <c r="P33" s="99">
        <f ca="1">SUM(P$147,P$160,P$166,P$170,P$174,$D$178:P$178,P$185)</f>
        <v>175.75974345538856</v>
      </c>
      <c r="Q33" s="99">
        <f ca="1">SUM(Q$147,Q$160,Q$166,Q$170,Q$174,$D$178:Q$178,Q$185)</f>
        <v>183.37895340895949</v>
      </c>
      <c r="R33" s="99">
        <f ca="1">SUM(R$147,R$160,R$166,R$170,R$174,$D$178:R$178,R$185)</f>
        <v>191.21042471431832</v>
      </c>
      <c r="S33" s="99">
        <f ca="1">SUM(S$147,S$160,S$166,S$170,S$174,$D$178:S$178,S$185)</f>
        <v>199.24287820580605</v>
      </c>
      <c r="T33" s="99">
        <f ca="1">SUM(T$147,T$160,T$166,T$170,T$174,$D$178:T$178,T$185)</f>
        <v>207.46114449210134</v>
      </c>
      <c r="U33" s="54"/>
    </row>
    <row r="34" spans="1:21" x14ac:dyDescent="0.2">
      <c r="A34" s="47" t="s">
        <v>161</v>
      </c>
      <c r="B34" s="139"/>
      <c r="C34"/>
      <c r="D34" s="94">
        <f t="shared" ref="D34:T34" si="16">D$204</f>
        <v>35.892000000000003</v>
      </c>
      <c r="E34" s="94">
        <f t="shared" si="16"/>
        <v>37.335999999999999</v>
      </c>
      <c r="F34" s="180">
        <f t="shared" si="16"/>
        <v>40.491999999999997</v>
      </c>
      <c r="G34" s="180">
        <f t="shared" si="16"/>
        <v>44.385999999999996</v>
      </c>
      <c r="H34" s="180">
        <f t="shared" si="16"/>
        <v>55.801000000000002</v>
      </c>
      <c r="I34" s="180">
        <f t="shared" si="16"/>
        <v>65.774000000000001</v>
      </c>
      <c r="J34" s="180">
        <f t="shared" si="16"/>
        <v>76.789000000000001</v>
      </c>
      <c r="K34" s="99">
        <f t="shared" ca="1" si="16"/>
        <v>88.623787535845423</v>
      </c>
      <c r="L34" s="99">
        <f t="shared" ca="1" si="16"/>
        <v>100.57870711440695</v>
      </c>
      <c r="M34" s="99">
        <f t="shared" ca="1" si="16"/>
        <v>112.39114333327271</v>
      </c>
      <c r="N34" s="99">
        <f t="shared" ca="1" si="16"/>
        <v>123.49459348329675</v>
      </c>
      <c r="O34" s="99">
        <f t="shared" ca="1" si="16"/>
        <v>134.63559057281569</v>
      </c>
      <c r="P34" s="99">
        <f t="shared" ca="1" si="16"/>
        <v>145.75103256718057</v>
      </c>
      <c r="Q34" s="99">
        <f t="shared" ca="1" si="16"/>
        <v>156.71928501666426</v>
      </c>
      <c r="R34" s="99">
        <f t="shared" ca="1" si="16"/>
        <v>167.96385846490659</v>
      </c>
      <c r="S34" s="99">
        <f t="shared" ca="1" si="16"/>
        <v>179.47494372774159</v>
      </c>
      <c r="T34" s="99">
        <f t="shared" ca="1" si="16"/>
        <v>191.21906625334478</v>
      </c>
      <c r="U34" s="54"/>
    </row>
    <row r="35" spans="1:21" x14ac:dyDescent="0.2">
      <c r="A35" s="47" t="s">
        <v>238</v>
      </c>
      <c r="B35" s="139"/>
      <c r="C35"/>
      <c r="D35" s="94">
        <f t="shared" ref="D35:T35" si="17">D$194</f>
        <v>18.538</v>
      </c>
      <c r="E35" s="94">
        <f t="shared" si="17"/>
        <v>22.032</v>
      </c>
      <c r="F35" s="180">
        <f t="shared" si="17"/>
        <v>23.395999999999997</v>
      </c>
      <c r="G35" s="180">
        <f t="shared" si="17"/>
        <v>24.224999999999998</v>
      </c>
      <c r="H35" s="180">
        <f t="shared" si="17"/>
        <v>24.251000000000001</v>
      </c>
      <c r="I35" s="180">
        <f t="shared" si="17"/>
        <v>24.229999999999997</v>
      </c>
      <c r="J35" s="180">
        <f t="shared" si="17"/>
        <v>24.422000000000001</v>
      </c>
      <c r="K35" s="99">
        <f t="shared" ca="1" si="17"/>
        <v>24.493668744633226</v>
      </c>
      <c r="L35" s="99">
        <f t="shared" ca="1" si="17"/>
        <v>24.541181392655837</v>
      </c>
      <c r="M35" s="99">
        <f t="shared" ca="1" si="17"/>
        <v>24.73986595095321</v>
      </c>
      <c r="N35" s="99">
        <f t="shared" ca="1" si="17"/>
        <v>24.92065981846558</v>
      </c>
      <c r="O35" s="99">
        <f t="shared" ca="1" si="17"/>
        <v>25.079204982127756</v>
      </c>
      <c r="P35" s="99">
        <f t="shared" ca="1" si="17"/>
        <v>25.224479129402773</v>
      </c>
      <c r="Q35" s="99">
        <f t="shared" ca="1" si="17"/>
        <v>25.365772670035135</v>
      </c>
      <c r="R35" s="99">
        <f t="shared" ca="1" si="17"/>
        <v>25.494553901590297</v>
      </c>
      <c r="S35" s="99">
        <f t="shared" ca="1" si="17"/>
        <v>25.622215645210385</v>
      </c>
      <c r="T35" s="99">
        <f t="shared" ca="1" si="17"/>
        <v>25.741660150048673</v>
      </c>
      <c r="U35" s="54"/>
    </row>
    <row r="36" spans="1:21" x14ac:dyDescent="0.2">
      <c r="A36" s="47" t="s">
        <v>162</v>
      </c>
      <c r="B36" s="139"/>
      <c r="C36"/>
      <c r="D36" s="94">
        <f t="shared" ref="D36:T36" ca="1" si="18">D$33-SUM(D$34,D$35)</f>
        <v>50.782999999999987</v>
      </c>
      <c r="E36" s="94">
        <f t="shared" ca="1" si="18"/>
        <v>56.813999999999993</v>
      </c>
      <c r="F36" s="180">
        <f t="shared" ca="1" si="18"/>
        <v>52.094000000000008</v>
      </c>
      <c r="G36" s="180">
        <f t="shared" ca="1" si="18"/>
        <v>48.089000000000013</v>
      </c>
      <c r="H36" s="180">
        <f t="shared" ca="1" si="18"/>
        <v>42.675999999999988</v>
      </c>
      <c r="I36" s="180">
        <f t="shared" ca="1" si="18"/>
        <v>37.460000000000008</v>
      </c>
      <c r="J36" s="180">
        <f t="shared" ca="1" si="18"/>
        <v>32.578000000000017</v>
      </c>
      <c r="K36" s="99">
        <f t="shared" ca="1" si="18"/>
        <v>27.355594221716785</v>
      </c>
      <c r="L36" s="99">
        <f t="shared" ca="1" si="18"/>
        <v>22.282193763313899</v>
      </c>
      <c r="M36" s="99">
        <f t="shared" ca="1" si="18"/>
        <v>17.468351391514801</v>
      </c>
      <c r="N36" s="99">
        <f t="shared" ca="1" si="18"/>
        <v>12.95302605530361</v>
      </c>
      <c r="O36" s="99">
        <f t="shared" ca="1" si="18"/>
        <v>8.7074298086394037</v>
      </c>
      <c r="P36" s="99">
        <f t="shared" ca="1" si="18"/>
        <v>4.7842317588052197</v>
      </c>
      <c r="Q36" s="99">
        <f t="shared" ca="1" si="18"/>
        <v>1.2938957222600891</v>
      </c>
      <c r="R36" s="99">
        <f t="shared" ca="1" si="18"/>
        <v>-2.2479876521785798</v>
      </c>
      <c r="S36" s="99">
        <f t="shared" ca="1" si="18"/>
        <v>-5.8542811671459276</v>
      </c>
      <c r="T36" s="99">
        <f t="shared" ca="1" si="18"/>
        <v>-9.4995819112920969</v>
      </c>
      <c r="U36" s="54"/>
    </row>
    <row r="37" spans="1:21" x14ac:dyDescent="0.2">
      <c r="A37" s="47" t="s">
        <v>406</v>
      </c>
      <c r="B37" s="139"/>
      <c r="C37"/>
      <c r="D37" s="94">
        <f>Data!C$100</f>
        <v>4.1090000000000018</v>
      </c>
      <c r="E37" s="94">
        <f>Data!D$100</f>
        <v>-1.9E-2</v>
      </c>
      <c r="F37" s="180">
        <f>Data!E$100+IF($F$1="Yes",F$284,0)+IF($I$1="Yes",F$276,0)</f>
        <v>5.6310000000000002</v>
      </c>
      <c r="G37" s="180">
        <f>Data!F$100+IF($F$1="Yes",G$284,0)+IF($I$1="Yes",G$276,0)</f>
        <v>13.348999999999995</v>
      </c>
      <c r="H37" s="180">
        <f>Data!G$100+IF($F$1="Yes",H$284,0)+IF($I$1="Yes",H$276,0)</f>
        <v>23.524000000000001</v>
      </c>
      <c r="I37" s="180">
        <f>Data!H$100+IF($F$1="Yes",I$284,0)+IF($I$1="Yes",I$276,0)</f>
        <v>33.860999999999997</v>
      </c>
      <c r="J37" s="180">
        <f>Data!I$100+IF($F$1="Yes",J$284,0)+IF($I$1="Yes",J$276,0)</f>
        <v>44.74799999999999</v>
      </c>
      <c r="K37" s="99">
        <f ca="1">J$37+(K$30-J$30)-SUM(K$144-J$144,K$160-J$160,K$166-J$166)</f>
        <v>55.872947244949543</v>
      </c>
      <c r="L37" s="99">
        <f t="shared" ref="L37:T37" ca="1" si="19">K$37+(L$30-K$30)-SUM(L$144-K$144,L$160-K$160,L$166-K$166)</f>
        <v>67.416554085918818</v>
      </c>
      <c r="M37" s="99">
        <f t="shared" ca="1" si="19"/>
        <v>78.828464738918086</v>
      </c>
      <c r="N37" s="99">
        <f t="shared" ca="1" si="19"/>
        <v>89.546582255006783</v>
      </c>
      <c r="O37" s="99">
        <f t="shared" ca="1" si="19"/>
        <v>100.31681719885165</v>
      </c>
      <c r="P37" s="99">
        <f t="shared" ca="1" si="19"/>
        <v>111.07361837712573</v>
      </c>
      <c r="Q37" s="99">
        <f t="shared" ca="1" si="19"/>
        <v>121.69736936677666</v>
      </c>
      <c r="R37" s="99">
        <f t="shared" ca="1" si="19"/>
        <v>132.61036911367987</v>
      </c>
      <c r="S37" s="99">
        <f t="shared" ca="1" si="19"/>
        <v>143.80447098678354</v>
      </c>
      <c r="T37" s="99">
        <f t="shared" ca="1" si="19"/>
        <v>155.24728787317659</v>
      </c>
      <c r="U37" s="54"/>
    </row>
    <row r="38" spans="1:21" x14ac:dyDescent="0.2">
      <c r="A38" s="47" t="s">
        <v>904</v>
      </c>
      <c r="B38" s="95"/>
      <c r="C38"/>
      <c r="D38" s="94">
        <f t="shared" ref="D38:K38" si="20">D$37-D$122</f>
        <v>-7.5539999999999985</v>
      </c>
      <c r="E38" s="94">
        <f t="shared" si="20"/>
        <v>-13.401</v>
      </c>
      <c r="F38" s="180">
        <f t="shared" si="20"/>
        <v>-7.2429999999999986</v>
      </c>
      <c r="G38" s="180">
        <f t="shared" si="20"/>
        <v>-2.7160000000000029</v>
      </c>
      <c r="H38" s="180">
        <f t="shared" si="20"/>
        <v>4.0090000000000003</v>
      </c>
      <c r="I38" s="180">
        <f t="shared" si="20"/>
        <v>10.573999999999998</v>
      </c>
      <c r="J38" s="180">
        <f t="shared" si="20"/>
        <v>17.306999999999992</v>
      </c>
      <c r="K38" s="99">
        <f t="shared" ca="1" si="20"/>
        <v>24.36244054557115</v>
      </c>
      <c r="L38" s="99">
        <f t="shared" ref="L38:T38" ca="1" si="21">L$37-L$122</f>
        <v>31.596464227829074</v>
      </c>
      <c r="M38" s="99">
        <f t="shared" ca="1" si="21"/>
        <v>38.434097404151224</v>
      </c>
      <c r="N38" s="99">
        <f t="shared" ca="1" si="21"/>
        <v>44.31070180841585</v>
      </c>
      <c r="O38" s="99">
        <f t="shared" ca="1" si="21"/>
        <v>49.973482168581711</v>
      </c>
      <c r="P38" s="99">
        <f t="shared" ca="1" si="21"/>
        <v>55.361121252364519</v>
      </c>
      <c r="Q38" s="99">
        <f t="shared" ca="1" si="21"/>
        <v>60.354334021167276</v>
      </c>
      <c r="R38" s="99">
        <f t="shared" ca="1" si="21"/>
        <v>65.444251028619831</v>
      </c>
      <c r="S38" s="99">
        <f t="shared" ca="1" si="21"/>
        <v>70.632514381341053</v>
      </c>
      <c r="T38" s="99">
        <f t="shared" ca="1" si="21"/>
        <v>75.900856104792595</v>
      </c>
      <c r="U38" s="54"/>
    </row>
    <row r="39" spans="1:21" ht="13.5" x14ac:dyDescent="0.25">
      <c r="A39" s="254" t="s">
        <v>846</v>
      </c>
      <c r="B39" s="60"/>
      <c r="C39"/>
      <c r="D39" s="94"/>
      <c r="E39" s="94"/>
      <c r="F39" s="99"/>
      <c r="G39" s="99"/>
      <c r="H39" s="99"/>
      <c r="I39" s="99"/>
      <c r="J39" s="99"/>
      <c r="T39" s="99"/>
      <c r="U39" s="54"/>
    </row>
    <row r="40" spans="1:21" x14ac:dyDescent="0.2">
      <c r="A40" s="47" t="s">
        <v>512</v>
      </c>
      <c r="B40" s="96"/>
      <c r="C40"/>
      <c r="D40" s="279" t="str">
        <f ca="1">IF(ROUND(Data!C$34-D$13,3)=0,"OK","ERROR")</f>
        <v>OK</v>
      </c>
      <c r="E40" s="279" t="str">
        <f ca="1">IF(ROUND(Data!D$34-E$13,3)=0,"OK","ERROR")</f>
        <v>OK</v>
      </c>
      <c r="F40" s="255" t="str">
        <f ca="1">IF(ROUND(Data!E$34-F$13+IF($F$1="Yes",F$282,0)+IF($I$1="Yes",F$269,0),3)=0,"OK","ERROR")</f>
        <v>OK</v>
      </c>
      <c r="G40" s="255" t="str">
        <f ca="1">IF(ROUND(Data!F$34-G$13+IF($F$1="Yes",G$282,0)+IF($I$1="Yes",G$269,0),3)=0,"OK","ERROR")</f>
        <v>OK</v>
      </c>
      <c r="H40" s="255" t="str">
        <f ca="1">IF(ROUND(Data!G$34-H$13+IF($F$1="Yes",H$282,0)+IF($I$1="Yes",H$269,0),3)=0,"OK","ERROR")</f>
        <v>OK</v>
      </c>
      <c r="I40" s="255" t="str">
        <f ca="1">IF(ROUND(Data!H$34-I$13+IF($F$1="Yes",I$282,0)+IF($I$1="Yes",I$269,0),3)=0,"OK","ERROR")</f>
        <v>OK</v>
      </c>
      <c r="J40" s="255" t="str">
        <f ca="1">IF(ROUND(Data!I$34-J$13+IF($F$1="Yes",J$282,0)+IF($I$1="Yes",J$269,0),3)=0,"OK","ERROR")</f>
        <v>OK</v>
      </c>
      <c r="T40" s="99"/>
      <c r="U40" s="54"/>
    </row>
    <row r="41" spans="1:21" x14ac:dyDescent="0.2">
      <c r="A41" s="47" t="s">
        <v>847</v>
      </c>
      <c r="B41" s="117"/>
      <c r="C41"/>
      <c r="D41" s="279" t="str">
        <f ca="1">IF(ROUND(Data!C$115-D$23,3)=0,"OK","ERROR")</f>
        <v>OK</v>
      </c>
      <c r="E41" s="279" t="str">
        <f ca="1">IF(ROUND(Data!D$115-E$23,3)=0,"OK","ERROR")</f>
        <v>OK</v>
      </c>
      <c r="F41" s="255" t="str">
        <f ca="1">IF(ROUND(Data!E$115-F$23+IF($F$1="Yes",F$282,0)+IF($I$1="Yes",F$269,0),3)=0,"OK","ERROR")</f>
        <v>OK</v>
      </c>
      <c r="G41" s="255" t="str">
        <f ca="1">IF(ROUND(Data!F$115-G$23+IF($F$1="Yes",G$282,0)+IF($I$1="Yes",G$269,0),3)=0,"OK","ERROR")</f>
        <v>OK</v>
      </c>
      <c r="H41" s="255" t="str">
        <f ca="1">IF(ROUND(Data!G$115-H$23+IF($F$1="Yes",H$282,0)+IF($I$1="Yes",H$269,0),3)=0,"OK","ERROR")</f>
        <v>OK</v>
      </c>
      <c r="I41" s="255" t="str">
        <f ca="1">IF(ROUND(Data!H$115-I$23+IF($F$1="Yes",I$282,0)+IF($I$1="Yes",I$269,0),3)=0,"OK","ERROR")</f>
        <v>OK</v>
      </c>
      <c r="J41" s="255" t="str">
        <f ca="1">IF(ROUND(Data!I$115-J$23+IF($F$1="Yes",J$282,0)+IF($I$1="Yes",J$269,0),3)=0,"OK","ERROR")</f>
        <v>OK</v>
      </c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54"/>
    </row>
    <row r="42" spans="1:21" x14ac:dyDescent="0.2">
      <c r="A42" s="47" t="s">
        <v>848</v>
      </c>
      <c r="B42" s="117"/>
      <c r="C42"/>
      <c r="D42" s="279" t="str">
        <f ca="1">IF(ROUND(Data!C$84-D$29,3)=0,"OK","ERROR")</f>
        <v>OK</v>
      </c>
      <c r="E42" s="279" t="str">
        <f ca="1">IF(ROUND(Data!D$84-E$29,3)=0,"OK","ERROR")</f>
        <v>OK</v>
      </c>
      <c r="F42" s="255" t="str">
        <f ca="1">IF(ROUND(Data!E$84-F$29+IF($F$1="Yes",-F$284,0)+IF($I$1="Yes",F$277,0),3)=0,"OK","ERROR")</f>
        <v>OK</v>
      </c>
      <c r="G42" s="255" t="str">
        <f ca="1">IF(ROUND(Data!F$84-G$29+IF($F$1="Yes",-G$284,0)+IF($I$1="Yes",G$277,0),3)=0,"OK","ERROR")</f>
        <v>OK</v>
      </c>
      <c r="H42" s="255" t="str">
        <f ca="1">IF(ROUND(Data!G$84-H$29+IF($F$1="Yes",-H$284,0)+IF($I$1="Yes",H$277,0),3)=0,"OK","ERROR")</f>
        <v>OK</v>
      </c>
      <c r="I42" s="255" t="str">
        <f ca="1">IF(ROUND(Data!H$84-I$29+IF($F$1="Yes",-I$284,0)+IF($I$1="Yes",I$277,0),3)=0,"OK","ERROR")</f>
        <v>OK</v>
      </c>
      <c r="J42" s="255" t="str">
        <f ca="1">IF(ROUND(Data!I$84-J$29+IF($F$1="Yes",-J$284,0)+IF($I$1="Yes",J$277,0),3)=0,"OK","ERROR")</f>
        <v>OK</v>
      </c>
      <c r="K42" s="257" t="str">
        <f ca="1">IF(ROUND(K$29-J$29-K$16,3)=0,"OK","ERROR")</f>
        <v>OK</v>
      </c>
      <c r="L42" s="257" t="str">
        <f t="shared" ref="L42:T42" ca="1" si="22">IF(ROUND(L$29-K$29-L$16,3)=0,"OK","ERROR")</f>
        <v>OK</v>
      </c>
      <c r="M42" s="257" t="str">
        <f t="shared" ca="1" si="22"/>
        <v>OK</v>
      </c>
      <c r="N42" s="257" t="str">
        <f t="shared" ca="1" si="22"/>
        <v>OK</v>
      </c>
      <c r="O42" s="257" t="str">
        <f t="shared" ca="1" si="22"/>
        <v>OK</v>
      </c>
      <c r="P42" s="257" t="str">
        <f t="shared" ca="1" si="22"/>
        <v>OK</v>
      </c>
      <c r="Q42" s="257" t="str">
        <f t="shared" ca="1" si="22"/>
        <v>OK</v>
      </c>
      <c r="R42" s="257" t="str">
        <f t="shared" ca="1" si="22"/>
        <v>OK</v>
      </c>
      <c r="S42" s="257" t="str">
        <f t="shared" ca="1" si="22"/>
        <v>OK</v>
      </c>
      <c r="T42" s="257" t="str">
        <f t="shared" ca="1" si="22"/>
        <v>OK</v>
      </c>
      <c r="U42" s="54"/>
    </row>
    <row r="43" spans="1:21" x14ac:dyDescent="0.2">
      <c r="A43" s="47" t="s">
        <v>849</v>
      </c>
      <c r="B43" s="117"/>
      <c r="C43"/>
      <c r="D43" s="279" t="str">
        <f ca="1">IF(ROUND(Data!C$129-D$36-0.007,3)=0,"OK","ERROR")</f>
        <v>OK</v>
      </c>
      <c r="E43" s="279" t="str">
        <f ca="1">IF(ROUND(Data!D$129-E$36-0.169,3)=0,"OK","ERROR")</f>
        <v>OK</v>
      </c>
      <c r="F43" s="255" t="str">
        <f ca="1">IF(ROUND(Data!E$129-F$36+IF($F$1="Yes",-F$284,0)+IF($I$1="Yes",F$277,0),3)=0,"OK","ERROR")</f>
        <v>OK</v>
      </c>
      <c r="G43" s="255" t="str">
        <f ca="1">IF(ROUND(Data!F$129-G$36+IF($F$1="Yes",-G$284,0)+IF($I$1="Yes",G$277,0),3)=0,"OK","ERROR")</f>
        <v>OK</v>
      </c>
      <c r="H43" s="255" t="str">
        <f ca="1">IF(ROUND(Data!G$129-H$36+IF($F$1="Yes",-H$284,0)+IF($I$1="Yes",H$277,0),3)=0,"OK","ERROR")</f>
        <v>OK</v>
      </c>
      <c r="I43" s="255" t="str">
        <f ca="1">IF(ROUND(Data!H$129-I$36+IF($F$1="Yes",-I$284,0)+IF($I$1="Yes",I$277,0),3)=0,"OK","ERROR")</f>
        <v>OK</v>
      </c>
      <c r="J43" s="255" t="str">
        <f ca="1">IF(ROUND(Data!I$129-J$36+IF($F$1="Yes",-J$284,0)+IF($I$1="Yes",J$277,0),3)=0,"OK","ERROR")</f>
        <v>OK</v>
      </c>
      <c r="K43" s="257" t="str">
        <f ca="1">IF(ROUND(K$36-J$36-K$23,3)=0,"OK","ERROR")</f>
        <v>OK</v>
      </c>
      <c r="L43" s="257" t="str">
        <f t="shared" ref="L43:T43" ca="1" si="23">IF(ROUND(L$36-K$36-L$23,3)=0,"OK","ERROR")</f>
        <v>OK</v>
      </c>
      <c r="M43" s="257" t="str">
        <f t="shared" ca="1" si="23"/>
        <v>OK</v>
      </c>
      <c r="N43" s="257" t="str">
        <f t="shared" ca="1" si="23"/>
        <v>OK</v>
      </c>
      <c r="O43" s="257" t="str">
        <f t="shared" ca="1" si="23"/>
        <v>OK</v>
      </c>
      <c r="P43" s="257" t="str">
        <f t="shared" ca="1" si="23"/>
        <v>OK</v>
      </c>
      <c r="Q43" s="257" t="str">
        <f t="shared" ca="1" si="23"/>
        <v>OK</v>
      </c>
      <c r="R43" s="257" t="str">
        <f t="shared" ca="1" si="23"/>
        <v>OK</v>
      </c>
      <c r="S43" s="257" t="str">
        <f t="shared" ca="1" si="23"/>
        <v>OK</v>
      </c>
      <c r="T43" s="257" t="str">
        <f t="shared" ca="1" si="23"/>
        <v>OK</v>
      </c>
      <c r="U43" s="54"/>
    </row>
    <row r="44" spans="1:21" x14ac:dyDescent="0.2">
      <c r="A44" s="47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54"/>
    </row>
    <row r="45" spans="1:21" ht="15.75" x14ac:dyDescent="0.25">
      <c r="A45" s="249" t="s">
        <v>165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54"/>
    </row>
    <row r="46" spans="1:21" x14ac:dyDescent="0.2">
      <c r="A46" s="147" t="s">
        <v>391</v>
      </c>
      <c r="C46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54"/>
    </row>
    <row r="47" spans="1:21" x14ac:dyDescent="0.2">
      <c r="A47" s="258" t="s">
        <v>266</v>
      </c>
      <c r="C47"/>
      <c r="D47" s="94">
        <f>Data!C$131</f>
        <v>20.98</v>
      </c>
      <c r="E47" s="94">
        <f>Data!D$131</f>
        <v>23.344999999999999</v>
      </c>
      <c r="F47" s="180">
        <f ca="1">Data!E$131*(1+IF($F$1="Yes",OFFSET(ReadyReckoner!$A$44,0,F$260),0))+IF($I$1="Yes",F$262,0)</f>
        <v>22.821999999999999</v>
      </c>
      <c r="G47" s="180">
        <f ca="1">Data!F$131*(1+IF($F$1="Yes",OFFSET(ReadyReckoner!$A$44,0,G$260),0))+IF($I$1="Yes",G$262,0)</f>
        <v>22.204000000000001</v>
      </c>
      <c r="H47" s="180">
        <f ca="1">Data!G$131*(1+IF($F$1="Yes",OFFSET(ReadyReckoner!$A$44,0,H$260),0))+IF($I$1="Yes",H$262,0)</f>
        <v>22.718</v>
      </c>
      <c r="I47" s="180">
        <f ca="1">Data!H$131*(1+IF($F$1="Yes",OFFSET(ReadyReckoner!$A$44,0,I$260),0))+IF($I$1="Yes",I$262,0)</f>
        <v>23.823999999999998</v>
      </c>
      <c r="J47" s="180">
        <f ca="1">Data!I$131*(1+IF($F$1="Yes",OFFSET(ReadyReckoner!$A$44,0,J$260),0))+IF($I$1="Yes",J$262,0)</f>
        <v>25.484000000000002</v>
      </c>
      <c r="K47" s="99">
        <f ca="1">IF(AND(OR(OFFSET(Scenarios!$A$24,0,$C$1)&lt;&gt;"Yes",MID(OFFSET(Scenarios!$A$26,0,$C$1),6,2)&lt;MID(K$3,4,2)),OFFSET(Scenarios!$A$49,0,$C$1)="Yes"),IF(J$47/J$214&lt;OFFSET(Scenarios!$A$55,0,$C$1),MIN(J$47/J$214+OFFSET(Scenarios!$A$54,0,$C$1),OFFSET(Scenarios!$A$55,0,$C$1)),MAX(J$47/J$214-OFFSET(Scenarios!$A$54,0,$C$1),OFFSET(Scenarios!$A$55,0,$C$1)))*K$214,J$47*(1+K$228)*(1+IF(AND(OFFSET(Scenarios!$A$24,0,$C$1)="YES",MID(OFFSET(Scenarios!$A$26,0,$C$1),6,2)&gt;=MID(K$3,4,2)),IF(OFFSET(Scenarios!$A$29,0,$C$1)="Inflation",1,OFFSET(Scenarios!$A$25,0,$C$1)),1)*K$231)*(1+IF(AND(OFFSET(Scenarios!$A$24,0,$C$1)="YES",MID(OFFSET(Scenarios!$A$26,0,$C$1),6,2)&gt;=MID(K$3,4,2)),IF(OFFSET(Scenarios!$A$29,0,$C$1)="Wage",1,OFFSET(Scenarios!$A$25,0,$C$1)),1)*K$218))</f>
        <v>26.977113450623101</v>
      </c>
      <c r="L47" s="99">
        <f ca="1">IF(AND(OR(OFFSET(Scenarios!$A$24,0,$C$1)&lt;&gt;"Yes",MID(OFFSET(Scenarios!$A$26,0,$C$1),6,2)&lt;MID(L$3,4,2)),OFFSET(Scenarios!$A$49,0,$C$1)="Yes"),IF(K$47/K$214&lt;OFFSET(Scenarios!$A$55,0,$C$1),MIN(K$47/K$214+OFFSET(Scenarios!$A$54,0,$C$1),OFFSET(Scenarios!$A$55,0,$C$1)),MAX(K$47/K$214-OFFSET(Scenarios!$A$54,0,$C$1),OFFSET(Scenarios!$A$55,0,$C$1)))*L$214,K$47*(1+L$228)*(1+IF(AND(OFFSET(Scenarios!$A$24,0,$C$1)="YES",MID(OFFSET(Scenarios!$A$26,0,$C$1),6,2)&gt;=MID(L$3,4,2)),IF(OFFSET(Scenarios!$A$29,0,$C$1)="Inflation",1,OFFSET(Scenarios!$A$25,0,$C$1)),1)*L$231)*(1+IF(AND(OFFSET(Scenarios!$A$24,0,$C$1)="YES",MID(OFFSET(Scenarios!$A$26,0,$C$1),6,2)&gt;=MID(L$3,4,2)),IF(OFFSET(Scenarios!$A$29,0,$C$1)="Wage",1,OFFSET(Scenarios!$A$25,0,$C$1)),1)*L$218))</f>
        <v>28.562717711750405</v>
      </c>
      <c r="M47" s="99">
        <f ca="1">IF(AND(OR(OFFSET(Scenarios!$A$24,0,$C$1)&lt;&gt;"Yes",MID(OFFSET(Scenarios!$A$26,0,$C$1),6,2)&lt;MID(M$3,4,2)),OFFSET(Scenarios!$A$49,0,$C$1)="Yes"),IF(L$47/L$214&lt;OFFSET(Scenarios!$A$55,0,$C$1),MIN(L$47/L$214+OFFSET(Scenarios!$A$54,0,$C$1),OFFSET(Scenarios!$A$55,0,$C$1)),MAX(L$47/L$214-OFFSET(Scenarios!$A$54,0,$C$1),OFFSET(Scenarios!$A$55,0,$C$1)))*M$214,L$47*(1+M$228)*(1+IF(AND(OFFSET(Scenarios!$A$24,0,$C$1)="YES",MID(OFFSET(Scenarios!$A$26,0,$C$1),6,2)&gt;=MID(M$3,4,2)),IF(OFFSET(Scenarios!$A$29,0,$C$1)="Inflation",1,OFFSET(Scenarios!$A$25,0,$C$1)),1)*M$231)*(1+IF(AND(OFFSET(Scenarios!$A$24,0,$C$1)="YES",MID(OFFSET(Scenarios!$A$26,0,$C$1),6,2)&gt;=MID(M$3,4,2)),IF(OFFSET(Scenarios!$A$29,0,$C$1)="Wage",1,OFFSET(Scenarios!$A$25,0,$C$1)),1)*M$218))</f>
        <v>30.233706809593674</v>
      </c>
      <c r="N47" s="99">
        <f ca="1">IF(AND(OR(OFFSET(Scenarios!$A$24,0,$C$1)&lt;&gt;"Yes",MID(OFFSET(Scenarios!$A$26,0,$C$1),6,2)&lt;MID(N$3,4,2)),OFFSET(Scenarios!$A$49,0,$C$1)="Yes"),IF(M$47/M$214&lt;OFFSET(Scenarios!$A$55,0,$C$1),MIN(M$47/M$214+OFFSET(Scenarios!$A$54,0,$C$1),OFFSET(Scenarios!$A$55,0,$C$1)),MAX(M$47/M$214-OFFSET(Scenarios!$A$54,0,$C$1),OFFSET(Scenarios!$A$55,0,$C$1)))*N$214,M$47*(1+N$228)*(1+IF(AND(OFFSET(Scenarios!$A$24,0,$C$1)="YES",MID(OFFSET(Scenarios!$A$26,0,$C$1),6,2)&gt;=MID(N$3,4,2)),IF(OFFSET(Scenarios!$A$29,0,$C$1)="Inflation",1,OFFSET(Scenarios!$A$25,0,$C$1)),1)*N$231)*(1+IF(AND(OFFSET(Scenarios!$A$24,0,$C$1)="YES",MID(OFFSET(Scenarios!$A$26,0,$C$1),6,2)&gt;=MID(N$3,4,2)),IF(OFFSET(Scenarios!$A$29,0,$C$1)="Wage",1,OFFSET(Scenarios!$A$25,0,$C$1)),1)*N$218))</f>
        <v>31.969538180463097</v>
      </c>
      <c r="O47" s="99">
        <f ca="1">IF(AND(OR(OFFSET(Scenarios!$A$24,0,$C$1)&lt;&gt;"Yes",MID(OFFSET(Scenarios!$A$26,0,$C$1),6,2)&lt;MID(O$3,4,2)),OFFSET(Scenarios!$A$49,0,$C$1)="Yes"),IF(N$47/N$214&lt;OFFSET(Scenarios!$A$55,0,$C$1),MIN(N$47/N$214+OFFSET(Scenarios!$A$54,0,$C$1),OFFSET(Scenarios!$A$55,0,$C$1)),MAX(N$47/N$214-OFFSET(Scenarios!$A$54,0,$C$1),OFFSET(Scenarios!$A$55,0,$C$1)))*O$214,N$47*(1+O$228)*(1+IF(AND(OFFSET(Scenarios!$A$24,0,$C$1)="YES",MID(OFFSET(Scenarios!$A$26,0,$C$1),6,2)&gt;=MID(O$3,4,2)),IF(OFFSET(Scenarios!$A$29,0,$C$1)="Inflation",1,OFFSET(Scenarios!$A$25,0,$C$1)),1)*O$231)*(1+IF(AND(OFFSET(Scenarios!$A$24,0,$C$1)="YES",MID(OFFSET(Scenarios!$A$26,0,$C$1),6,2)&gt;=MID(O$3,4,2)),IF(OFFSET(Scenarios!$A$29,0,$C$1)="Wage",1,OFFSET(Scenarios!$A$25,0,$C$1)),1)*O$218))</f>
        <v>33.724459662659804</v>
      </c>
      <c r="P47" s="99">
        <f ca="1">IF(AND(OR(OFFSET(Scenarios!$A$24,0,$C$1)&lt;&gt;"Yes",MID(OFFSET(Scenarios!$A$26,0,$C$1),6,2)&lt;MID(P$3,4,2)),OFFSET(Scenarios!$A$49,0,$C$1)="Yes"),IF(O$47/O$214&lt;OFFSET(Scenarios!$A$55,0,$C$1),MIN(O$47/O$214+OFFSET(Scenarios!$A$54,0,$C$1),OFFSET(Scenarios!$A$55,0,$C$1)),MAX(O$47/O$214-OFFSET(Scenarios!$A$54,0,$C$1),OFFSET(Scenarios!$A$55,0,$C$1)))*P$214,O$47*(1+P$228)*(1+IF(AND(OFFSET(Scenarios!$A$24,0,$C$1)="YES",MID(OFFSET(Scenarios!$A$26,0,$C$1),6,2)&gt;=MID(P$3,4,2)),IF(OFFSET(Scenarios!$A$29,0,$C$1)="Inflation",1,OFFSET(Scenarios!$A$25,0,$C$1)),1)*P$231)*(1+IF(AND(OFFSET(Scenarios!$A$24,0,$C$1)="YES",MID(OFFSET(Scenarios!$A$26,0,$C$1),6,2)&gt;=MID(P$3,4,2)),IF(OFFSET(Scenarios!$A$29,0,$C$1)="Wage",1,OFFSET(Scenarios!$A$25,0,$C$1)),1)*P$218))</f>
        <v>35.565468165359711</v>
      </c>
      <c r="Q47" s="99">
        <f ca="1">IF(AND(OR(OFFSET(Scenarios!$A$24,0,$C$1)&lt;&gt;"Yes",MID(OFFSET(Scenarios!$A$26,0,$C$1),6,2)&lt;MID(Q$3,4,2)),OFFSET(Scenarios!$A$49,0,$C$1)="Yes"),IF(P$47/P$214&lt;OFFSET(Scenarios!$A$55,0,$C$1),MIN(P$47/P$214+OFFSET(Scenarios!$A$54,0,$C$1),OFFSET(Scenarios!$A$55,0,$C$1)),MAX(P$47/P$214-OFFSET(Scenarios!$A$54,0,$C$1),OFFSET(Scenarios!$A$55,0,$C$1)))*Q$214,P$47*(1+Q$228)*(1+IF(AND(OFFSET(Scenarios!$A$24,0,$C$1)="YES",MID(OFFSET(Scenarios!$A$26,0,$C$1),6,2)&gt;=MID(Q$3,4,2)),IF(OFFSET(Scenarios!$A$29,0,$C$1)="Inflation",1,OFFSET(Scenarios!$A$25,0,$C$1)),1)*Q$231)*(1+IF(AND(OFFSET(Scenarios!$A$24,0,$C$1)="YES",MID(OFFSET(Scenarios!$A$26,0,$C$1),6,2)&gt;=MID(Q$3,4,2)),IF(OFFSET(Scenarios!$A$29,0,$C$1)="Wage",1,OFFSET(Scenarios!$A$25,0,$C$1)),1)*Q$218))</f>
        <v>37.498324411381752</v>
      </c>
      <c r="R47" s="99">
        <f ca="1">IF(AND(OR(OFFSET(Scenarios!$A$24,0,$C$1)&lt;&gt;"Yes",MID(OFFSET(Scenarios!$A$26,0,$C$1),6,2)&lt;MID(R$3,4,2)),OFFSET(Scenarios!$A$49,0,$C$1)="Yes"),IF(Q$47/Q$214&lt;OFFSET(Scenarios!$A$55,0,$C$1),MIN(Q$47/Q$214+OFFSET(Scenarios!$A$54,0,$C$1),OFFSET(Scenarios!$A$55,0,$C$1)),MAX(Q$47/Q$214-OFFSET(Scenarios!$A$54,0,$C$1),OFFSET(Scenarios!$A$55,0,$C$1)))*R$214,Q$47*(1+R$228)*(1+IF(AND(OFFSET(Scenarios!$A$24,0,$C$1)="YES",MID(OFFSET(Scenarios!$A$26,0,$C$1),6,2)&gt;=MID(R$3,4,2)),IF(OFFSET(Scenarios!$A$29,0,$C$1)="Inflation",1,OFFSET(Scenarios!$A$25,0,$C$1)),1)*R$231)*(1+IF(AND(OFFSET(Scenarios!$A$24,0,$C$1)="YES",MID(OFFSET(Scenarios!$A$26,0,$C$1),6,2)&gt;=MID(R$3,4,2)),IF(OFFSET(Scenarios!$A$29,0,$C$1)="Wage",1,OFFSET(Scenarios!$A$25,0,$C$1)),1)*R$218))</f>
        <v>39.05258479390578</v>
      </c>
      <c r="S47" s="99">
        <f ca="1">IF(AND(OR(OFFSET(Scenarios!$A$24,0,$C$1)&lt;&gt;"Yes",MID(OFFSET(Scenarios!$A$26,0,$C$1),6,2)&lt;MID(S$3,4,2)),OFFSET(Scenarios!$A$49,0,$C$1)="Yes"),IF(R$47/R$214&lt;OFFSET(Scenarios!$A$55,0,$C$1),MIN(R$47/R$214+OFFSET(Scenarios!$A$54,0,$C$1),OFFSET(Scenarios!$A$55,0,$C$1)),MAX(R$47/R$214-OFFSET(Scenarios!$A$54,0,$C$1),OFFSET(Scenarios!$A$55,0,$C$1)))*S$214,R$47*(1+S$228)*(1+IF(AND(OFFSET(Scenarios!$A$24,0,$C$1)="YES",MID(OFFSET(Scenarios!$A$26,0,$C$1),6,2)&gt;=MID(S$3,4,2)),IF(OFFSET(Scenarios!$A$29,0,$C$1)="Inflation",1,OFFSET(Scenarios!$A$25,0,$C$1)),1)*S$231)*(1+IF(AND(OFFSET(Scenarios!$A$24,0,$C$1)="YES",MID(OFFSET(Scenarios!$A$26,0,$C$1),6,2)&gt;=MID(S$3,4,2)),IF(OFFSET(Scenarios!$A$29,0,$C$1)="Wage",1,OFFSET(Scenarios!$A$25,0,$C$1)),1)*S$218))</f>
        <v>40.669982284411475</v>
      </c>
      <c r="T47" s="99">
        <f ca="1">IF(AND(OR(OFFSET(Scenarios!$A$24,0,$C$1)&lt;&gt;"Yes",MID(OFFSET(Scenarios!$A$26,0,$C$1),6,2)&lt;MID(T$3,4,2)),OFFSET(Scenarios!$A$49,0,$C$1)="Yes"),IF(S$47/S$214&lt;OFFSET(Scenarios!$A$55,0,$C$1),MIN(S$47/S$214+OFFSET(Scenarios!$A$54,0,$C$1),OFFSET(Scenarios!$A$55,0,$C$1)),MAX(S$47/S$214-OFFSET(Scenarios!$A$54,0,$C$1),OFFSET(Scenarios!$A$55,0,$C$1)))*T$214,S$47*(1+T$228)*(1+IF(AND(OFFSET(Scenarios!$A$24,0,$C$1)="YES",MID(OFFSET(Scenarios!$A$26,0,$C$1),6,2)&gt;=MID(T$3,4,2)),IF(OFFSET(Scenarios!$A$29,0,$C$1)="Inflation",1,OFFSET(Scenarios!$A$25,0,$C$1)),1)*T$231)*(1+IF(AND(OFFSET(Scenarios!$A$24,0,$C$1)="YES",MID(OFFSET(Scenarios!$A$26,0,$C$1),6,2)&gt;=MID(T$3,4,2)),IF(OFFSET(Scenarios!$A$29,0,$C$1)="Wage",1,OFFSET(Scenarios!$A$25,0,$C$1)),1)*T$218))</f>
        <v>42.334662502445994</v>
      </c>
      <c r="U47" s="54"/>
    </row>
    <row r="48" spans="1:21" x14ac:dyDescent="0.2">
      <c r="A48" s="258" t="s">
        <v>528</v>
      </c>
      <c r="C48"/>
      <c r="D48" s="94">
        <f>Data!C$135</f>
        <v>9.891</v>
      </c>
      <c r="E48" s="94">
        <f>Data!D$135</f>
        <v>10.122</v>
      </c>
      <c r="F48" s="180">
        <f ca="1">Data!E$135*(1+IF($F$1="Yes",OFFSET(ReadyReckoner!$A$44,0,F$260),0))+IF($I$1="Yes",F$263,0)</f>
        <v>8.6810000000000009</v>
      </c>
      <c r="G48" s="180">
        <f ca="1">Data!F$135*(1+IF($F$1="Yes",OFFSET(ReadyReckoner!$A$44,0,G$260),0))+IF($I$1="Yes",G$263,0)</f>
        <v>8.4829999999999988</v>
      </c>
      <c r="H48" s="180">
        <f ca="1">Data!G$135*(1+IF($F$1="Yes",OFFSET(ReadyReckoner!$A$44,0,H$260),0))+IF($I$1="Yes",H$263,0)</f>
        <v>9.2089999999999996</v>
      </c>
      <c r="I48" s="180">
        <f ca="1">Data!H$135*(1+IF($F$1="Yes",OFFSET(ReadyReckoner!$A$44,0,I$260),0))+IF($I$1="Yes",I$263,0)</f>
        <v>9.9969999999999999</v>
      </c>
      <c r="J48" s="180">
        <f ca="1">Data!I$135*(1+IF($F$1="Yes",OFFSET(ReadyReckoner!$A$44,0,J$260),0))+IF($I$1="Yes",J$263,0)</f>
        <v>10.668999999999999</v>
      </c>
      <c r="K48" s="99">
        <f ca="1">IF(OFFSET(Scenarios!$A$50,0,$C$1)="Yes",IF(J$48/J$214&lt;OFFSET(Scenarios!$A$56,0,$C$1),MIN(J$48/J$214+OFFSET(Scenarios!$A$54,0,$C$1),OFFSET(Scenarios!$A$56,0,$C$1)),MAX(J$48/J$214-OFFSET(Scenarios!$A$54,0,$C$1),OFFSET(Scenarios!$A$56,0,$C$1)))*K$214,J$48*(1+K$215))</f>
        <v>11.436988626997877</v>
      </c>
      <c r="L48" s="99">
        <f ca="1">IF(OFFSET(Scenarios!$A$50,0,$C$1)="Yes",IF(K$48/K$214&lt;OFFSET(Scenarios!$A$56,0,$C$1),MIN(K$48/K$214+OFFSET(Scenarios!$A$54,0,$C$1),OFFSET(Scenarios!$A$56,0,$C$1)),MAX(K$48/K$214-OFFSET(Scenarios!$A$54,0,$C$1),OFFSET(Scenarios!$A$56,0,$C$1)))*L$214,K$48*(1+L$215))</f>
        <v>11.96478518140014</v>
      </c>
      <c r="M48" s="99">
        <f ca="1">IF(OFFSET(Scenarios!$A$50,0,$C$1)="Yes",IF(L$48/L$214&lt;OFFSET(Scenarios!$A$56,0,$C$1),MIN(L$48/L$214+OFFSET(Scenarios!$A$54,0,$C$1),OFFSET(Scenarios!$A$56,0,$C$1)),MAX(L$48/L$214-OFFSET(Scenarios!$A$54,0,$C$1),OFFSET(Scenarios!$A$56,0,$C$1)))*M$214,L$48*(1+M$215))</f>
        <v>12.513705847296038</v>
      </c>
      <c r="N48" s="99">
        <f ca="1">IF(OFFSET(Scenarios!$A$50,0,$C$1)="Yes",IF(M$48/M$214&lt;OFFSET(Scenarios!$A$56,0,$C$1),MIN(M$48/M$214+OFFSET(Scenarios!$A$54,0,$C$1),OFFSET(Scenarios!$A$56,0,$C$1)),MAX(M$48/M$214-OFFSET(Scenarios!$A$54,0,$C$1),OFFSET(Scenarios!$A$56,0,$C$1)))*N$214,M$48*(1+N$215))</f>
        <v>13.074349025786255</v>
      </c>
      <c r="O48" s="99">
        <f ca="1">IF(OFFSET(Scenarios!$A$50,0,$C$1)="Yes",IF(N$48/N$214&lt;OFFSET(Scenarios!$A$56,0,$C$1),MIN(N$48/N$214+OFFSET(Scenarios!$A$54,0,$C$1),OFFSET(Scenarios!$A$56,0,$C$1)),MAX(N$48/N$214-OFFSET(Scenarios!$A$54,0,$C$1),OFFSET(Scenarios!$A$56,0,$C$1)))*O$214,N$48*(1+O$215))</f>
        <v>13.627552971967489</v>
      </c>
      <c r="P48" s="99">
        <f ca="1">IF(OFFSET(Scenarios!$A$50,0,$C$1)="Yes",IF(O$48/O$214&lt;OFFSET(Scenarios!$A$56,0,$C$1),MIN(O$48/O$214+OFFSET(Scenarios!$A$54,0,$C$1),OFFSET(Scenarios!$A$56,0,$C$1)),MAX(O$48/O$214-OFFSET(Scenarios!$A$54,0,$C$1),OFFSET(Scenarios!$A$56,0,$C$1)))*P$214,O$48*(1+P$215))</f>
        <v>14.200072955096825</v>
      </c>
      <c r="Q48" s="99">
        <f ca="1">IF(OFFSET(Scenarios!$A$50,0,$C$1)="Yes",IF(P$48/P$214&lt;OFFSET(Scenarios!$A$56,0,$C$1),MIN(P$48/P$214+OFFSET(Scenarios!$A$54,0,$C$1),OFFSET(Scenarios!$A$56,0,$C$1)),MAX(P$48/P$214-OFFSET(Scenarios!$A$54,0,$C$1),OFFSET(Scenarios!$A$56,0,$C$1)))*Q$214,P$48*(1+Q$215))</f>
        <v>14.793232218911564</v>
      </c>
      <c r="R48" s="99">
        <f ca="1">IF(OFFSET(Scenarios!$A$50,0,$C$1)="Yes",IF(Q$48/Q$214&lt;OFFSET(Scenarios!$A$56,0,$C$1),MIN(Q$48/Q$214+OFFSET(Scenarios!$A$54,0,$C$1),OFFSET(Scenarios!$A$56,0,$C$1)),MAX(Q$48/Q$214-OFFSET(Scenarios!$A$54,0,$C$1),OFFSET(Scenarios!$A$56,0,$C$1)))*R$214,Q$48*(1+R$215))</f>
        <v>15.406393876885632</v>
      </c>
      <c r="S48" s="99">
        <f ca="1">IF(OFFSET(Scenarios!$A$50,0,$C$1)="Yes",IF(R$48/R$214&lt;OFFSET(Scenarios!$A$56,0,$C$1),MIN(R$48/R$214+OFFSET(Scenarios!$A$54,0,$C$1),OFFSET(Scenarios!$A$56,0,$C$1)),MAX(R$48/R$214-OFFSET(Scenarios!$A$54,0,$C$1),OFFSET(Scenarios!$A$56,0,$C$1)))*S$214,R$48*(1+S$215))</f>
        <v>16.044463365133836</v>
      </c>
      <c r="T48" s="99">
        <f ca="1">IF(OFFSET(Scenarios!$A$50,0,$C$1)="Yes",IF(S$48/S$214&lt;OFFSET(Scenarios!$A$56,0,$C$1),MIN(S$48/S$214+OFFSET(Scenarios!$A$54,0,$C$1),OFFSET(Scenarios!$A$56,0,$C$1)),MAX(S$48/S$214-OFFSET(Scenarios!$A$54,0,$C$1),OFFSET(Scenarios!$A$56,0,$C$1)))*T$214,S$48*(1+T$215))</f>
        <v>16.701186070005903</v>
      </c>
      <c r="U48" s="54"/>
    </row>
    <row r="49" spans="1:21" x14ac:dyDescent="0.2">
      <c r="A49" s="258" t="s">
        <v>342</v>
      </c>
      <c r="C49"/>
      <c r="D49" s="280">
        <f>SUM(Data!C$132:C$134,Data!C$136:C$138)</f>
        <v>22.193000000000001</v>
      </c>
      <c r="E49" s="280">
        <f>SUM(Data!D$132:D$134,Data!D$136:D$138)</f>
        <v>22.905000000000001</v>
      </c>
      <c r="F49" s="186">
        <f ca="1">SUM(Data!E$132:E$134,Data!E$136:E$138)*(1+IF($F$1="Yes",OFFSET(ReadyReckoner!$A$44,0,F$260),0))+IF($I$1="Yes",F$264,0)</f>
        <v>23.377000000000002</v>
      </c>
      <c r="G49" s="186">
        <f ca="1">SUM(Data!F$132:F$134,Data!F$136:F$138)*(1+IF($F$1="Yes",OFFSET(ReadyReckoner!$A$44,0,G$260),0))+IF($I$1="Yes",G$264,0)</f>
        <v>23.053000000000001</v>
      </c>
      <c r="H49" s="186">
        <f ca="1">SUM(Data!G$132:G$134,Data!G$136:G$138)*(1+IF($F$1="Yes",OFFSET(ReadyReckoner!$A$44,0,H$260),0))+IF($I$1="Yes",H$264,0)</f>
        <v>22.777000000000001</v>
      </c>
      <c r="I49" s="186">
        <f ca="1">SUM(Data!H$132:H$134,Data!H$136:H$138)*(1+IF($F$1="Yes",OFFSET(ReadyReckoner!$A$44,0,I$260),0))+IF($I$1="Yes",I$264,0)</f>
        <v>23.858000000000004</v>
      </c>
      <c r="J49" s="186">
        <f ca="1">SUM(Data!I$132:I$134,Data!I$136:I$138)*(1+IF($F$1="Yes",OFFSET(ReadyReckoner!$A$44,0,J$260),0))+IF($I$1="Yes",J$264,0)</f>
        <v>25.016000000000002</v>
      </c>
      <c r="K49" s="107">
        <f ca="1">IF(OFFSET(Scenarios!$A$51,0,$C$1)="Yes",IF(J$49/J$214&lt;OFFSET(Scenarios!$A$57,0,$C$1),MIN(J$49/J$214+OFFSET(Scenarios!$A$54,0,$C$1),OFFSET(Scenarios!$A$57,0,$C$1)),MAX(J$49/J$214-OFFSET(Scenarios!$A$54,0,$C$1),OFFSET(Scenarios!$A$57,0,$C$1)))*K$214,J$49*(1+K$215))</f>
        <v>26.165854201396659</v>
      </c>
      <c r="L49" s="107">
        <f ca="1">IF(OFFSET(Scenarios!$A$51,0,$C$1)="Yes",IF(K$49/K$214&lt;OFFSET(Scenarios!$A$57,0,$C$1),MIN(K$49/K$214+OFFSET(Scenarios!$A$54,0,$C$1),OFFSET(Scenarios!$A$57,0,$C$1)),MAX(K$49/K$214-OFFSET(Scenarios!$A$54,0,$C$1),OFFSET(Scenarios!$A$57,0,$C$1)))*L$214,K$49*(1+L$215))</f>
        <v>27.373361539288815</v>
      </c>
      <c r="M49" s="107">
        <f ca="1">IF(OFFSET(Scenarios!$A$51,0,$C$1)="Yes",IF(L$49/L$214&lt;OFFSET(Scenarios!$A$57,0,$C$1),MIN(L$49/L$214+OFFSET(Scenarios!$A$54,0,$C$1),OFFSET(Scenarios!$A$57,0,$C$1)),MAX(L$49/L$214-OFFSET(Scenarios!$A$54,0,$C$1),OFFSET(Scenarios!$A$57,0,$C$1)))*M$214,L$49*(1+M$215))</f>
        <v>28.629197195019099</v>
      </c>
      <c r="N49" s="107">
        <f ca="1">IF(OFFSET(Scenarios!$A$51,0,$C$1)="Yes",IF(M$49/M$214&lt;OFFSET(Scenarios!$A$57,0,$C$1),MIN(M$49/M$214+OFFSET(Scenarios!$A$54,0,$C$1),OFFSET(Scenarios!$A$57,0,$C$1)),MAX(M$49/M$214-OFFSET(Scenarios!$A$54,0,$C$1),OFFSET(Scenarios!$A$57,0,$C$1)))*N$214,M$49*(1+N$215))</f>
        <v>29.91185193446281</v>
      </c>
      <c r="O49" s="107">
        <f ca="1">IF(OFFSET(Scenarios!$A$51,0,$C$1)="Yes",IF(N$49/N$214&lt;OFFSET(Scenarios!$A$57,0,$C$1),MIN(N$49/N$214+OFFSET(Scenarios!$A$54,0,$C$1),OFFSET(Scenarios!$A$57,0,$C$1)),MAX(N$49/N$214-OFFSET(Scenarios!$A$54,0,$C$1),OFFSET(Scenarios!$A$57,0,$C$1)))*O$214,N$49*(1+O$215))</f>
        <v>31.177486995535265</v>
      </c>
      <c r="P49" s="107">
        <f ca="1">IF(OFFSET(Scenarios!$A$51,0,$C$1)="Yes",IF(O$49/O$214&lt;OFFSET(Scenarios!$A$57,0,$C$1),MIN(O$49/O$214+OFFSET(Scenarios!$A$54,0,$C$1),OFFSET(Scenarios!$A$57,0,$C$1)),MAX(O$49/O$214-OFFSET(Scenarios!$A$54,0,$C$1),OFFSET(Scenarios!$A$57,0,$C$1)))*P$214,O$49*(1+P$215))</f>
        <v>32.487313812236451</v>
      </c>
      <c r="Q49" s="107">
        <f ca="1">IF(OFFSET(Scenarios!$A$51,0,$C$1)="Yes",IF(P$49/P$214&lt;OFFSET(Scenarios!$A$57,0,$C$1),MIN(P$49/P$214+OFFSET(Scenarios!$A$54,0,$C$1),OFFSET(Scenarios!$A$57,0,$C$1)),MAX(P$49/P$214-OFFSET(Scenarios!$A$54,0,$C$1),OFFSET(Scenarios!$A$57,0,$C$1)))*Q$214,P$49*(1+Q$215))</f>
        <v>33.844359737642627</v>
      </c>
      <c r="R49" s="107">
        <f ca="1">IF(OFFSET(Scenarios!$A$51,0,$C$1)="Yes",IF(Q$49/Q$214&lt;OFFSET(Scenarios!$A$57,0,$C$1),MIN(Q$49/Q$214+OFFSET(Scenarios!$A$54,0,$C$1),OFFSET(Scenarios!$A$57,0,$C$1)),MAX(Q$49/Q$214-OFFSET(Scenarios!$A$54,0,$C$1),OFFSET(Scenarios!$A$57,0,$C$1)))*R$214,Q$49*(1+R$215))</f>
        <v>35.247167685406367</v>
      </c>
      <c r="S49" s="107">
        <f ca="1">IF(OFFSET(Scenarios!$A$51,0,$C$1)="Yes",IF(R$49/R$214&lt;OFFSET(Scenarios!$A$57,0,$C$1),MIN(R$49/R$214+OFFSET(Scenarios!$A$54,0,$C$1),OFFSET(Scenarios!$A$57,0,$C$1)),MAX(R$49/R$214-OFFSET(Scenarios!$A$54,0,$C$1),OFFSET(Scenarios!$A$57,0,$C$1)))*S$214,R$49*(1+S$215))</f>
        <v>36.706960445928232</v>
      </c>
      <c r="T49" s="107">
        <f ca="1">IF(OFFSET(Scenarios!$A$51,0,$C$1)="Yes",IF(S$49/S$214&lt;OFFSET(Scenarios!$A$57,0,$C$1),MIN(S$49/S$214+OFFSET(Scenarios!$A$54,0,$C$1),OFFSET(Scenarios!$A$57,0,$C$1)),MAX(S$49/S$214-OFFSET(Scenarios!$A$54,0,$C$1),OFFSET(Scenarios!$A$57,0,$C$1)))*T$214,S$49*(1+T$215))</f>
        <v>38.209428543681334</v>
      </c>
      <c r="U49" s="54"/>
    </row>
    <row r="50" spans="1:21" x14ac:dyDescent="0.2">
      <c r="A50" s="43" t="s">
        <v>343</v>
      </c>
      <c r="C50"/>
      <c r="D50" s="96">
        <f t="shared" ref="D50:T50" si="24">SUM(D$47:D$49)</f>
        <v>53.064000000000007</v>
      </c>
      <c r="E50" s="96">
        <f t="shared" si="24"/>
        <v>56.372</v>
      </c>
      <c r="F50" s="187">
        <f t="shared" ca="1" si="24"/>
        <v>54.88</v>
      </c>
      <c r="G50" s="187">
        <f t="shared" ca="1" si="24"/>
        <v>53.739999999999995</v>
      </c>
      <c r="H50" s="187">
        <f t="shared" ca="1" si="24"/>
        <v>54.704000000000001</v>
      </c>
      <c r="I50" s="187">
        <f t="shared" ca="1" si="24"/>
        <v>57.679000000000002</v>
      </c>
      <c r="J50" s="187">
        <f t="shared" ca="1" si="24"/>
        <v>61.168999999999997</v>
      </c>
      <c r="K50" s="101">
        <f t="shared" ca="1" si="24"/>
        <v>64.579956279017637</v>
      </c>
      <c r="L50" s="101">
        <f t="shared" ca="1" si="24"/>
        <v>67.900864432439363</v>
      </c>
      <c r="M50" s="101">
        <f t="shared" ca="1" si="24"/>
        <v>71.37660985190881</v>
      </c>
      <c r="N50" s="101">
        <f t="shared" ca="1" si="24"/>
        <v>74.955739140712154</v>
      </c>
      <c r="O50" s="101">
        <f t="shared" ca="1" si="24"/>
        <v>78.529499630162562</v>
      </c>
      <c r="P50" s="101">
        <f t="shared" ca="1" si="24"/>
        <v>82.252854932692983</v>
      </c>
      <c r="Q50" s="101">
        <f t="shared" ca="1" si="24"/>
        <v>86.135916367935948</v>
      </c>
      <c r="R50" s="101">
        <f t="shared" ca="1" si="24"/>
        <v>89.706146356197777</v>
      </c>
      <c r="S50" s="101">
        <f t="shared" ca="1" si="24"/>
        <v>93.421406095473543</v>
      </c>
      <c r="T50" s="101">
        <f t="shared" ca="1" si="24"/>
        <v>97.245277116133224</v>
      </c>
      <c r="U50" s="54"/>
    </row>
    <row r="51" spans="1:21" x14ac:dyDescent="0.2">
      <c r="A51" s="259" t="s">
        <v>851</v>
      </c>
      <c r="C51"/>
      <c r="D51" s="280">
        <f t="shared" ref="D51:J51" si="25">D$52-D$50</f>
        <v>0.4129999999999896</v>
      </c>
      <c r="E51" s="280">
        <f t="shared" si="25"/>
        <v>0.375</v>
      </c>
      <c r="F51" s="186">
        <f t="shared" ca="1" si="25"/>
        <v>0.51999999999999602</v>
      </c>
      <c r="G51" s="186">
        <f t="shared" ca="1" si="25"/>
        <v>0.61500000000000199</v>
      </c>
      <c r="H51" s="186">
        <f t="shared" ca="1" si="25"/>
        <v>0.59400000000000119</v>
      </c>
      <c r="I51" s="186">
        <f t="shared" ca="1" si="25"/>
        <v>0.62399999999999523</v>
      </c>
      <c r="J51" s="186">
        <f t="shared" ca="1" si="25"/>
        <v>0.71000000000000796</v>
      </c>
      <c r="K51" s="107">
        <f ca="1">J$51*(1+K$215)</f>
        <v>0.74263497293699365</v>
      </c>
      <c r="L51" s="107">
        <f t="shared" ref="L51:T51" ca="1" si="26">K$51*(1+L$215)</f>
        <v>0.7769062477172719</v>
      </c>
      <c r="M51" s="107">
        <f t="shared" ca="1" si="26"/>
        <v>0.81254916887047424</v>
      </c>
      <c r="N51" s="107">
        <f t="shared" ca="1" si="26"/>
        <v>0.8489532648492496</v>
      </c>
      <c r="O51" s="107">
        <f t="shared" ca="1" si="26"/>
        <v>0.8848743111140982</v>
      </c>
      <c r="P51" s="107">
        <f t="shared" ca="1" si="26"/>
        <v>0.9220496005231904</v>
      </c>
      <c r="Q51" s="107">
        <f t="shared" ca="1" si="26"/>
        <v>0.96056505491391619</v>
      </c>
      <c r="R51" s="107">
        <f t="shared" ca="1" si="26"/>
        <v>1.0003793195010711</v>
      </c>
      <c r="S51" s="107">
        <f t="shared" ca="1" si="26"/>
        <v>1.0418109176770598</v>
      </c>
      <c r="T51" s="107">
        <f t="shared" ca="1" si="26"/>
        <v>1.0844537202595954</v>
      </c>
      <c r="U51" s="54"/>
    </row>
    <row r="52" spans="1:21" x14ac:dyDescent="0.2">
      <c r="A52" s="43" t="s">
        <v>535</v>
      </c>
      <c r="C52"/>
      <c r="D52" s="96">
        <f>Data!C$105</f>
        <v>53.476999999999997</v>
      </c>
      <c r="E52" s="96">
        <f>Data!D$105</f>
        <v>56.747</v>
      </c>
      <c r="F52" s="187">
        <f ca="1">Data!E$105+SUM(Data!E$131:E$138)*IF($F$1="Yes",OFFSET(ReadyReckoner!$A$44,0,F$260),0)+IF($I$1="Yes",SUM(F$262:F$264),0)</f>
        <v>55.4</v>
      </c>
      <c r="G52" s="187">
        <f ca="1">Data!F$105+SUM(Data!F$131:F$138)*IF($F$1="Yes",OFFSET(ReadyReckoner!$A$44,0,G$260),0)+IF($I$1="Yes",SUM(G$262:G$264),0)</f>
        <v>54.354999999999997</v>
      </c>
      <c r="H52" s="187">
        <f ca="1">Data!G$105+SUM(Data!G$131:G$138)*IF($F$1="Yes",OFFSET(ReadyReckoner!$A$44,0,H$260),0)+IF($I$1="Yes",SUM(H$262:H$264),0)</f>
        <v>55.298000000000002</v>
      </c>
      <c r="I52" s="187">
        <f ca="1">Data!H$105+SUM(Data!H$131:H$138)*IF($F$1="Yes",OFFSET(ReadyReckoner!$A$44,0,I$260),0)+IF($I$1="Yes",SUM(I$262:I$264),0)</f>
        <v>58.302999999999997</v>
      </c>
      <c r="J52" s="187">
        <f ca="1">Data!I$105+SUM(Data!I$131:I$138)*IF($F$1="Yes",OFFSET(ReadyReckoner!$A$44,0,J$260),0)+IF($I$1="Yes",SUM(J$262:J$264),0)</f>
        <v>61.879000000000005</v>
      </c>
      <c r="K52" s="101">
        <f t="shared" ref="K52:T52" ca="1" si="27">SUM(K$50,K$51)</f>
        <v>65.322591251954634</v>
      </c>
      <c r="L52" s="101">
        <f t="shared" ca="1" si="27"/>
        <v>68.677770680156641</v>
      </c>
      <c r="M52" s="101">
        <f t="shared" ca="1" si="27"/>
        <v>72.189159020779286</v>
      </c>
      <c r="N52" s="101">
        <f t="shared" ca="1" si="27"/>
        <v>75.804692405561397</v>
      </c>
      <c r="O52" s="101">
        <f t="shared" ca="1" si="27"/>
        <v>79.414373941276665</v>
      </c>
      <c r="P52" s="101">
        <f t="shared" ca="1" si="27"/>
        <v>83.174904533216178</v>
      </c>
      <c r="Q52" s="101">
        <f t="shared" ca="1" si="27"/>
        <v>87.096481422849862</v>
      </c>
      <c r="R52" s="101">
        <f t="shared" ca="1" si="27"/>
        <v>90.706525675698842</v>
      </c>
      <c r="S52" s="101">
        <f t="shared" ca="1" si="27"/>
        <v>94.463217013150597</v>
      </c>
      <c r="T52" s="101">
        <f t="shared" ca="1" si="27"/>
        <v>98.329730836392812</v>
      </c>
      <c r="U52" s="54"/>
    </row>
    <row r="53" spans="1:21" x14ac:dyDescent="0.2">
      <c r="A53" s="4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U53" s="54"/>
    </row>
    <row r="54" spans="1:21" x14ac:dyDescent="0.2">
      <c r="A54" s="147" t="s">
        <v>852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U54" s="54"/>
    </row>
    <row r="55" spans="1:21" x14ac:dyDescent="0.2">
      <c r="A55" s="43" t="s">
        <v>853</v>
      </c>
      <c r="C55"/>
      <c r="D55" s="96">
        <f>SUM(Data!C$6,Data!C$8,Data!C$10)-D$57</f>
        <v>18.529999999999998</v>
      </c>
      <c r="E55" s="96">
        <f>SUM(Data!D$6,Data!D$8,Data!D$10)-E$57</f>
        <v>21.893000000000001</v>
      </c>
      <c r="F55" s="187">
        <f ca="1">SUM(Data!E$6,Data!E$8,Data!E$10)-F$57+IF($F$1="Yes",SUM(Data!E$106*OFFSET(ReadyReckoner!$A$45,0,F$260),SUM(Data!E$108,Data!E$110)*OFFSET(ReadyReckoner!$A$47,0,F$260)),0)</f>
        <v>22.772999999999996</v>
      </c>
      <c r="G55" s="187">
        <f ca="1">SUM(Data!F$6,Data!F$8,Data!F$10)-G$57+IF($F$1="Yes",SUM(Data!F$106*OFFSET(ReadyReckoner!$A$45,0,G$260),SUM(Data!F$108,Data!F$110)*OFFSET(ReadyReckoner!$A$47,0,G$260)),0)</f>
        <v>23.663</v>
      </c>
      <c r="H55" s="187">
        <f ca="1">SUM(Data!G$6,Data!G$8,Data!G$10)-H$57+IF($F$1="Yes",SUM(Data!G$106*OFFSET(ReadyReckoner!$A$45,0,H$260),SUM(Data!G$108,Data!G$110)*OFFSET(ReadyReckoner!$A$47,0,H$260)),0)</f>
        <v>24.88</v>
      </c>
      <c r="I55" s="187">
        <f ca="1">SUM(Data!H$6,Data!H$8,Data!H$10)-I$57+IF($F$1="Yes",SUM(Data!H$106*OFFSET(ReadyReckoner!$A$45,0,I$260),SUM(Data!H$108,Data!H$110)*OFFSET(ReadyReckoner!$A$47,0,I$260)),0)</f>
        <v>25.431999999999999</v>
      </c>
      <c r="J55" s="187">
        <f ca="1">SUM(Data!I$6,Data!I$8,Data!I$10)-J$57+IF($F$1="Yes",SUM(Data!I$106*OFFSET(ReadyReckoner!$A$45,0,J$260),SUM(Data!I$108,Data!I$110)*OFFSET(ReadyReckoner!$A$47,0,J$260)),0)</f>
        <v>26.466000000000001</v>
      </c>
      <c r="K55" s="101">
        <f ca="1">J$55*(1+K$215)</f>
        <v>27.68250308978909</v>
      </c>
      <c r="L55" s="101">
        <f t="shared" ref="L55:T55" ca="1" si="28">K$55*(1+L$215)</f>
        <v>28.960001059274774</v>
      </c>
      <c r="M55" s="101">
        <f t="shared" ca="1" si="28"/>
        <v>30.288628596233426</v>
      </c>
      <c r="N55" s="101">
        <f t="shared" ca="1" si="28"/>
        <v>31.645629728873224</v>
      </c>
      <c r="O55" s="101">
        <f t="shared" ca="1" si="28"/>
        <v>32.984624673162621</v>
      </c>
      <c r="P55" s="101">
        <f t="shared" ca="1" si="28"/>
        <v>34.370372855558429</v>
      </c>
      <c r="Q55" s="101">
        <f t="shared" ca="1" si="28"/>
        <v>35.806077103311864</v>
      </c>
      <c r="R55" s="101">
        <f t="shared" ca="1" si="28"/>
        <v>37.290195873119792</v>
      </c>
      <c r="S55" s="101">
        <f t="shared" ca="1" si="28"/>
        <v>38.834602460902474</v>
      </c>
      <c r="T55" s="101">
        <f t="shared" ca="1" si="28"/>
        <v>40.42415797238047</v>
      </c>
      <c r="U55" s="54"/>
    </row>
    <row r="56" spans="1:21" x14ac:dyDescent="0.2">
      <c r="A56" s="43" t="s">
        <v>854</v>
      </c>
      <c r="C56"/>
      <c r="D56" s="96">
        <f>SUM(Data!C$106,Data!C$108,Data!C$110)</f>
        <v>2.1539999999999999</v>
      </c>
      <c r="E56" s="96">
        <f>SUM(Data!D$106,Data!D$108,Data!D$110)</f>
        <v>2.7280000000000002</v>
      </c>
      <c r="F56" s="187">
        <f ca="1">SUM(Data!E$106,Data!E$108,Data!E$110)+IF($F$1="Yes",SUM(Data!E$106*OFFSET(ReadyReckoner!$A$45,0,F$260),SUM(Data!E$108,Data!E$110)*OFFSET(ReadyReckoner!$A$47,0,F$260)),0)</f>
        <v>2.7890000000000001</v>
      </c>
      <c r="G56" s="187">
        <f ca="1">SUM(Data!F$106,Data!F$108,Data!F$110)+IF($F$1="Yes",SUM(Data!F$106*OFFSET(ReadyReckoner!$A$45,0,G$260),SUM(Data!F$108,Data!F$110)*OFFSET(ReadyReckoner!$A$47,0,G$260)),0)</f>
        <v>2.5090000000000003</v>
      </c>
      <c r="H56" s="187">
        <f ca="1">SUM(Data!G$106,Data!G$108,Data!G$110)+IF($F$1="Yes",SUM(Data!G$106*OFFSET(ReadyReckoner!$A$45,0,H$260),SUM(Data!G$108,Data!G$110)*OFFSET(ReadyReckoner!$A$47,0,H$260)),0)</f>
        <v>2.444</v>
      </c>
      <c r="I56" s="187">
        <f ca="1">SUM(Data!H$106,Data!H$108,Data!H$110)+IF($F$1="Yes",SUM(Data!H$106*OFFSET(ReadyReckoner!$A$45,0,I$260),SUM(Data!H$108,Data!H$110)*OFFSET(ReadyReckoner!$A$47,0,I$260)),0)</f>
        <v>2.4819999999999998</v>
      </c>
      <c r="J56" s="187">
        <f ca="1">SUM(Data!I$106,Data!I$108,Data!I$110)+IF($F$1="Yes",SUM(Data!I$106*OFFSET(ReadyReckoner!$A$45,0,J$260),SUM(Data!I$108,Data!I$110)*OFFSET(ReadyReckoner!$A$47,0,J$260)),0)</f>
        <v>2.4729999999999999</v>
      </c>
      <c r="K56" s="101">
        <f ca="1">J$56*(1+K$218)</f>
        <v>2.5224599999999997</v>
      </c>
      <c r="L56" s="101">
        <f t="shared" ref="L56:T56" ca="1" si="29">K$56*(1+L$218)</f>
        <v>2.5729091999999998</v>
      </c>
      <c r="M56" s="101">
        <f t="shared" ca="1" si="29"/>
        <v>2.6243673839999997</v>
      </c>
      <c r="N56" s="101">
        <f t="shared" ca="1" si="29"/>
        <v>2.6768547316799998</v>
      </c>
      <c r="O56" s="101">
        <f t="shared" ca="1" si="29"/>
        <v>2.7303918263135998</v>
      </c>
      <c r="P56" s="101">
        <f t="shared" ca="1" si="29"/>
        <v>2.7849996628398719</v>
      </c>
      <c r="Q56" s="101">
        <f t="shared" ca="1" si="29"/>
        <v>2.8406996560966693</v>
      </c>
      <c r="R56" s="101">
        <f t="shared" ca="1" si="29"/>
        <v>2.8975136492186029</v>
      </c>
      <c r="S56" s="101">
        <f t="shared" ca="1" si="29"/>
        <v>2.9554639222029748</v>
      </c>
      <c r="T56" s="101">
        <f t="shared" ca="1" si="29"/>
        <v>3.0145732006470345</v>
      </c>
      <c r="U56" s="54"/>
    </row>
    <row r="57" spans="1:21" x14ac:dyDescent="0.2">
      <c r="A57" s="43" t="s">
        <v>108</v>
      </c>
      <c r="C57"/>
      <c r="D57" s="96">
        <f>Data!C$107</f>
        <v>0</v>
      </c>
      <c r="E57" s="96">
        <f>Data!D$107</f>
        <v>0</v>
      </c>
      <c r="F57" s="187">
        <f>Data!E$107</f>
        <v>8.7999999999999995E-2</v>
      </c>
      <c r="G57" s="187">
        <f>Data!F$107</f>
        <v>0.41399999999999998</v>
      </c>
      <c r="H57" s="187">
        <f>Data!G$107</f>
        <v>0.84599999999999997</v>
      </c>
      <c r="I57" s="187">
        <f>Data!H$107</f>
        <v>1.044</v>
      </c>
      <c r="J57" s="187">
        <f>Data!I$107</f>
        <v>1.577</v>
      </c>
      <c r="K57" s="101">
        <f>Tracks!H$114</f>
        <v>1.35</v>
      </c>
      <c r="L57" s="101">
        <f>Tracks!I$114</f>
        <v>1.35</v>
      </c>
      <c r="M57" s="101">
        <f>Tracks!J$114</f>
        <v>1.35</v>
      </c>
      <c r="N57" s="101">
        <f>Tracks!K$114</f>
        <v>1.35</v>
      </c>
      <c r="O57" s="101">
        <f>Tracks!L$114</f>
        <v>1.35</v>
      </c>
      <c r="P57" s="101">
        <f>Tracks!M$114</f>
        <v>1.2479166666666666</v>
      </c>
      <c r="Q57" s="101">
        <f>Tracks!N$114</f>
        <v>1.1458333333333335</v>
      </c>
      <c r="R57" s="101">
        <f>Tracks!O$114</f>
        <v>1.04375</v>
      </c>
      <c r="S57" s="101">
        <f>Tracks!P$114</f>
        <v>0.94166666666666665</v>
      </c>
      <c r="T57" s="101">
        <f>Tracks!Q$114</f>
        <v>0.83958333333333335</v>
      </c>
      <c r="U57" s="54"/>
    </row>
    <row r="58" spans="1:21" x14ac:dyDescent="0.2">
      <c r="A58" s="47"/>
      <c r="C58"/>
      <c r="D58" s="94"/>
      <c r="E58" s="94"/>
      <c r="F58" s="94"/>
      <c r="G58" s="94"/>
      <c r="H58" s="94"/>
      <c r="I58" s="94"/>
      <c r="J58" s="94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54"/>
    </row>
    <row r="59" spans="1:21" x14ac:dyDescent="0.2">
      <c r="A59" s="147" t="s">
        <v>855</v>
      </c>
      <c r="C59"/>
      <c r="D59" s="97"/>
      <c r="E59" s="97"/>
      <c r="F59" s="97"/>
      <c r="G59" s="97"/>
      <c r="H59" s="97"/>
      <c r="I59" s="97"/>
      <c r="J59" s="97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54"/>
    </row>
    <row r="60" spans="1:21" x14ac:dyDescent="0.2">
      <c r="A60" s="47" t="s">
        <v>642</v>
      </c>
      <c r="B60" s="103"/>
      <c r="C60"/>
      <c r="D60" s="281">
        <f>Data!C$109-SUM(D$61:D$63)</f>
        <v>1.4840000000000002</v>
      </c>
      <c r="E60" s="281">
        <f>Data!D$109-SUM(E$61:E$63)</f>
        <v>0.88899999999999979</v>
      </c>
      <c r="F60" s="253">
        <f ca="1">Data!E$109-SUM(F$61:F$63)+IF($F$1="Yes",AVERAGE(E$144,F$144)*OFFSET(ReadyReckoner!$A$50,0,F$260)/100,0)+IF($I$1="Yes",F$265,0)</f>
        <v>1.4559999999999997</v>
      </c>
      <c r="G60" s="253">
        <f ca="1">Data!F$109-SUM(G$61:G$63)+IF($F$1="Yes",AVERAGE(F$144,G$144)*OFFSET(ReadyReckoner!$A$50,0,G$260)/100,0)+IF($I$1="Yes",G$265,0)</f>
        <v>1.0589999999999999</v>
      </c>
      <c r="H60" s="253">
        <f ca="1">Data!G$109-SUM(H$61:H$63)+IF($F$1="Yes",AVERAGE(G$144,H$144)*OFFSET(ReadyReckoner!$A$50,0,H$260)/100,0)+IF($I$1="Yes",H$265,0)</f>
        <v>1.1659999999999997</v>
      </c>
      <c r="I60" s="253">
        <f ca="1">Data!H$109-SUM(I$61:I$63)+IF($F$1="Yes",AVERAGE(H$144,I$144)*OFFSET(ReadyReckoner!$A$50,0,I$260)/100,0)+IF($I$1="Yes",I$265,0)</f>
        <v>1.2270000000000001</v>
      </c>
      <c r="J60" s="253">
        <f ca="1">Data!I$109-SUM(J$61:J$63)+IF($F$1="Yes",AVERAGE(I$144,J$144)*OFFSET(ReadyReckoner!$A$50,0,J$260)/100,0)+IF($I$1="Yes",J$265,0)</f>
        <v>1.2570000000000003</v>
      </c>
      <c r="K60" s="99">
        <f ca="1">SUM(J$144,J$165)*K$219</f>
        <v>1.0338000000000003</v>
      </c>
      <c r="L60" s="99">
        <f t="shared" ref="L60:T60" ca="1" si="30">SUM(K$144,K$165)*L$219</f>
        <v>1.0338000000000003</v>
      </c>
      <c r="M60" s="99">
        <f t="shared" ca="1" si="30"/>
        <v>1.0338000000000003</v>
      </c>
      <c r="N60" s="99">
        <f t="shared" ca="1" si="30"/>
        <v>1.0338000000000003</v>
      </c>
      <c r="O60" s="99">
        <f t="shared" ca="1" si="30"/>
        <v>1.0338000000000003</v>
      </c>
      <c r="P60" s="99">
        <f t="shared" ca="1" si="30"/>
        <v>1.0338000000000003</v>
      </c>
      <c r="Q60" s="99">
        <f t="shared" ca="1" si="30"/>
        <v>1.0338000000000003</v>
      </c>
      <c r="R60" s="99">
        <f t="shared" ca="1" si="30"/>
        <v>1.0338000000000003</v>
      </c>
      <c r="S60" s="99">
        <f t="shared" ca="1" si="30"/>
        <v>1.0338000000000003</v>
      </c>
      <c r="T60" s="99">
        <f t="shared" ca="1" si="30"/>
        <v>1.0338000000000003</v>
      </c>
      <c r="U60" s="54"/>
    </row>
    <row r="61" spans="1:21" x14ac:dyDescent="0.2">
      <c r="A61" s="47" t="s">
        <v>641</v>
      </c>
      <c r="B61" s="103"/>
      <c r="C61"/>
      <c r="D61" s="94">
        <f t="shared" ref="D61:T61" si="31">D$116-D$124</f>
        <v>0.41899999999999998</v>
      </c>
      <c r="E61" s="94">
        <f t="shared" si="31"/>
        <v>0.34700000000000003</v>
      </c>
      <c r="F61" s="142">
        <f t="shared" si="31"/>
        <v>0.39600000000000002</v>
      </c>
      <c r="G61" s="142">
        <f t="shared" si="31"/>
        <v>0.44700000000000001</v>
      </c>
      <c r="H61" s="142">
        <f t="shared" si="31"/>
        <v>0.51800000000000002</v>
      </c>
      <c r="I61" s="142">
        <f t="shared" si="31"/>
        <v>0.59199999999999997</v>
      </c>
      <c r="J61" s="142">
        <f t="shared" si="31"/>
        <v>0.66699999999999993</v>
      </c>
      <c r="K61" s="99">
        <f t="shared" si="31"/>
        <v>0.68620896905139739</v>
      </c>
      <c r="L61" s="99">
        <f t="shared" si="31"/>
        <v>0.77575370096347029</v>
      </c>
      <c r="M61" s="99">
        <f t="shared" si="31"/>
        <v>0.87068743004474392</v>
      </c>
      <c r="N61" s="99">
        <f t="shared" si="31"/>
        <v>0.97131239650007895</v>
      </c>
      <c r="O61" s="99">
        <f t="shared" si="31"/>
        <v>1.0776439606302861</v>
      </c>
      <c r="P61" s="99">
        <f t="shared" si="31"/>
        <v>1.1896245053018355</v>
      </c>
      <c r="Q61" s="99">
        <f t="shared" si="31"/>
        <v>1.3072031245933065</v>
      </c>
      <c r="R61" s="99">
        <f t="shared" si="31"/>
        <v>1.4296756167675888</v>
      </c>
      <c r="S61" s="99">
        <f t="shared" si="31"/>
        <v>1.5561696109899965</v>
      </c>
      <c r="T61" s="99">
        <f t="shared" si="31"/>
        <v>1.6864315250136233</v>
      </c>
      <c r="U61" s="54"/>
    </row>
    <row r="62" spans="1:21" x14ac:dyDescent="0.2">
      <c r="A62" s="47" t="s">
        <v>645</v>
      </c>
      <c r="B62" s="103"/>
      <c r="C62"/>
      <c r="D62" s="94">
        <f t="shared" ref="D62:T62" si="32">D$158</f>
        <v>0.36</v>
      </c>
      <c r="E62" s="94">
        <f t="shared" si="32"/>
        <v>0.40699999999999997</v>
      </c>
      <c r="F62" s="142">
        <f t="shared" si="32"/>
        <v>0.45200000000000001</v>
      </c>
      <c r="G62" s="142">
        <f t="shared" si="32"/>
        <v>0.48299999999999998</v>
      </c>
      <c r="H62" s="142">
        <f t="shared" si="32"/>
        <v>0.51</v>
      </c>
      <c r="I62" s="142">
        <f t="shared" si="32"/>
        <v>0.53900000000000003</v>
      </c>
      <c r="J62" s="142">
        <f t="shared" si="32"/>
        <v>0.56799999999999995</v>
      </c>
      <c r="K62" s="99">
        <f t="shared" si="32"/>
        <v>0.59517865183274432</v>
      </c>
      <c r="L62" s="99">
        <f t="shared" si="32"/>
        <v>0.62161650163509619</v>
      </c>
      <c r="M62" s="99">
        <f t="shared" si="32"/>
        <v>0.64730979374220132</v>
      </c>
      <c r="N62" s="99">
        <f t="shared" si="32"/>
        <v>0.67226653533023317</v>
      </c>
      <c r="O62" s="99">
        <f t="shared" si="32"/>
        <v>0.69650431024576887</v>
      </c>
      <c r="P62" s="99">
        <f t="shared" si="32"/>
        <v>0.72004830747829385</v>
      </c>
      <c r="Q62" s="99">
        <f t="shared" si="32"/>
        <v>0.7429295778013747</v>
      </c>
      <c r="R62" s="99">
        <f t="shared" si="32"/>
        <v>0.7651835190413887</v>
      </c>
      <c r="S62" s="99">
        <f t="shared" si="32"/>
        <v>0.78684858126354429</v>
      </c>
      <c r="T62" s="99">
        <f t="shared" si="32"/>
        <v>0.80799788598620947</v>
      </c>
      <c r="U62" s="54"/>
    </row>
    <row r="63" spans="1:21" x14ac:dyDescent="0.2">
      <c r="A63" s="47" t="s">
        <v>419</v>
      </c>
      <c r="B63" s="103"/>
      <c r="C63"/>
      <c r="D63" s="280">
        <f>Data!C$198</f>
        <v>0.317</v>
      </c>
      <c r="E63" s="280">
        <f>Data!D$198</f>
        <v>0.70099999999999996</v>
      </c>
      <c r="F63" s="186">
        <f>Data!E$198</f>
        <v>0.22500000000000001</v>
      </c>
      <c r="G63" s="186">
        <f>Data!F$198</f>
        <v>0.51600000000000001</v>
      </c>
      <c r="H63" s="186">
        <f>Data!G$198</f>
        <v>0.43</v>
      </c>
      <c r="I63" s="186">
        <f>Data!H$198</f>
        <v>0.38700000000000001</v>
      </c>
      <c r="J63" s="186">
        <f>Data!I$198</f>
        <v>0.41399999999999998</v>
      </c>
      <c r="K63" s="107">
        <f ca="1">J$63*(1+K$215)</f>
        <v>0.4330294067548055</v>
      </c>
      <c r="L63" s="107">
        <f t="shared" ref="L63:T63" ca="1" si="33">K$63*(1+L$215)</f>
        <v>0.45301293880978444</v>
      </c>
      <c r="M63" s="107">
        <f t="shared" ca="1" si="33"/>
        <v>0.47379627593291912</v>
      </c>
      <c r="N63" s="107">
        <f t="shared" ca="1" si="33"/>
        <v>0.49502345302476813</v>
      </c>
      <c r="O63" s="107">
        <f t="shared" ca="1" si="33"/>
        <v>0.51596896450877827</v>
      </c>
      <c r="P63" s="107">
        <f t="shared" ca="1" si="33"/>
        <v>0.53764582340365719</v>
      </c>
      <c r="Q63" s="107">
        <f t="shared" ca="1" si="33"/>
        <v>0.56010413061177033</v>
      </c>
      <c r="R63" s="107">
        <f t="shared" ca="1" si="33"/>
        <v>0.58331977221611109</v>
      </c>
      <c r="S63" s="107">
        <f t="shared" ca="1" si="33"/>
        <v>0.60747847875816618</v>
      </c>
      <c r="T63" s="107">
        <f t="shared" ca="1" si="33"/>
        <v>0.63234343688375716</v>
      </c>
      <c r="U63" s="54"/>
    </row>
    <row r="64" spans="1:21" x14ac:dyDescent="0.2">
      <c r="A64" s="43" t="s">
        <v>651</v>
      </c>
      <c r="C64"/>
      <c r="D64" s="96">
        <f t="shared" ref="D64:T64" si="34">SUM(D$60:D$63)</f>
        <v>2.5800000000000005</v>
      </c>
      <c r="E64" s="96">
        <f t="shared" si="34"/>
        <v>2.3439999999999999</v>
      </c>
      <c r="F64" s="187">
        <f t="shared" ca="1" si="34"/>
        <v>2.5289999999999999</v>
      </c>
      <c r="G64" s="187">
        <f t="shared" ca="1" si="34"/>
        <v>2.5049999999999999</v>
      </c>
      <c r="H64" s="187">
        <f t="shared" ca="1" si="34"/>
        <v>2.6240000000000001</v>
      </c>
      <c r="I64" s="187">
        <f t="shared" ca="1" si="34"/>
        <v>2.7450000000000001</v>
      </c>
      <c r="J64" s="187">
        <f t="shared" ca="1" si="34"/>
        <v>2.9060000000000006</v>
      </c>
      <c r="K64" s="101">
        <f t="shared" ca="1" si="34"/>
        <v>2.7482170276389475</v>
      </c>
      <c r="L64" s="101">
        <f t="shared" ca="1" si="34"/>
        <v>2.884183141408351</v>
      </c>
      <c r="M64" s="101">
        <f t="shared" ca="1" si="34"/>
        <v>3.0255934997198648</v>
      </c>
      <c r="N64" s="101">
        <f t="shared" ca="1" si="34"/>
        <v>3.1724023848550806</v>
      </c>
      <c r="O64" s="101">
        <f t="shared" ca="1" si="34"/>
        <v>3.3239172353848336</v>
      </c>
      <c r="P64" s="101">
        <f t="shared" ca="1" si="34"/>
        <v>3.4811186361837865</v>
      </c>
      <c r="Q64" s="101">
        <f t="shared" ca="1" si="34"/>
        <v>3.6440368330064521</v>
      </c>
      <c r="R64" s="101">
        <f t="shared" ca="1" si="34"/>
        <v>3.8119789080250888</v>
      </c>
      <c r="S64" s="101">
        <f t="shared" ca="1" si="34"/>
        <v>3.9842966710117071</v>
      </c>
      <c r="T64" s="101">
        <f t="shared" ca="1" si="34"/>
        <v>4.1605728478835902</v>
      </c>
      <c r="U64" s="54"/>
    </row>
    <row r="65" spans="1:21" x14ac:dyDescent="0.2">
      <c r="A65" s="47" t="s">
        <v>752</v>
      </c>
      <c r="B65" s="103"/>
      <c r="C65"/>
      <c r="D65" s="94">
        <f t="shared" ref="D65:T65" si="35">SUM(D$131,D$140)</f>
        <v>0.50800000000000001</v>
      </c>
      <c r="E65" s="94">
        <f t="shared" si="35"/>
        <v>0.88300000000000001</v>
      </c>
      <c r="F65" s="180">
        <f t="shared" si="35"/>
        <v>0.84899999999999998</v>
      </c>
      <c r="G65" s="180">
        <f t="shared" si="35"/>
        <v>0.90599999999999992</v>
      </c>
      <c r="H65" s="180">
        <f t="shared" si="35"/>
        <v>0.96399999999999997</v>
      </c>
      <c r="I65" s="180">
        <f t="shared" si="35"/>
        <v>1.014</v>
      </c>
      <c r="J65" s="180">
        <f t="shared" si="35"/>
        <v>1.0509999999999999</v>
      </c>
      <c r="K65" s="99">
        <f t="shared" si="35"/>
        <v>1.0932977227594929</v>
      </c>
      <c r="L65" s="99">
        <f t="shared" si="35"/>
        <v>1.1638497133758055</v>
      </c>
      <c r="M65" s="99">
        <f t="shared" si="35"/>
        <v>1.2389784564981106</v>
      </c>
      <c r="N65" s="99">
        <f t="shared" si="35"/>
        <v>1.3189824606763474</v>
      </c>
      <c r="O65" s="99">
        <f t="shared" si="35"/>
        <v>1.4041798119722531</v>
      </c>
      <c r="P65" s="99">
        <f t="shared" si="35"/>
        <v>1.494909465130885</v>
      </c>
      <c r="Q65" s="99">
        <f t="shared" si="35"/>
        <v>1.5915326203836457</v>
      </c>
      <c r="R65" s="99">
        <f t="shared" si="35"/>
        <v>1.694434191593345</v>
      </c>
      <c r="S65" s="99">
        <f t="shared" si="35"/>
        <v>1.8040243718347209</v>
      </c>
      <c r="T65" s="99">
        <f t="shared" si="35"/>
        <v>1.920740302912511</v>
      </c>
      <c r="U65" s="54"/>
    </row>
    <row r="66" spans="1:21" x14ac:dyDescent="0.2">
      <c r="A66" s="251" t="s">
        <v>858</v>
      </c>
      <c r="B66" s="103"/>
      <c r="C66"/>
      <c r="D66" s="280">
        <f>SUM(D$64:D$65)-Data!C$9</f>
        <v>9.3000000000000416E-2</v>
      </c>
      <c r="E66" s="280">
        <f>SUM(E$64:E$65)-Data!D$9</f>
        <v>1.2999999999999901E-2</v>
      </c>
      <c r="F66" s="186">
        <f ca="1">SUM(F$64:F$65)-Data!E$9-IF($F$1="Yes",AVERAGE(E$144,F$144)*OFFSET(ReadyReckoner!$A$50,0,F$260)/100,0)-IF($I$1="Yes",F$265,0)</f>
        <v>-0.33199999999999985</v>
      </c>
      <c r="G66" s="186">
        <f ca="1">SUM(G$64:G$65)-Data!F$9-IF($F$1="Yes",AVERAGE(F$144,G$144)*OFFSET(ReadyReckoner!$A$50,0,G$260)/100,0)-IF($I$1="Yes",G$265,0)</f>
        <v>-0.31100000000000039</v>
      </c>
      <c r="H66" s="186">
        <f ca="1">SUM(H$64:H$65)-Data!G$9-IF($F$1="Yes",AVERAGE(G$144,H$144)*OFFSET(ReadyReckoner!$A$50,0,H$260)/100,0)-IF($I$1="Yes",H$265,0)</f>
        <v>-0.42799999999999994</v>
      </c>
      <c r="I66" s="186">
        <f ca="1">SUM(I$64:I$65)-Data!H$9-IF($F$1="Yes",AVERAGE(H$144,I$144)*OFFSET(ReadyReckoner!$A$50,0,I$260)/100,0)-IF($I$1="Yes",I$265,0)</f>
        <v>-0.45300000000000029</v>
      </c>
      <c r="J66" s="186">
        <f ca="1">SUM(J$64:J$65)-Data!I$9-IF($F$1="Yes",AVERAGE(I$144,J$144)*OFFSET(ReadyReckoner!$A$50,0,J$260)/100,0)-IF($I$1="Yes",J$265,0)</f>
        <v>-0.39299999999999891</v>
      </c>
      <c r="K66" s="107">
        <f ca="1">(J$66-SUM(J$132,J$141))*(1+K$215)+SUM(K$132,K$141)</f>
        <v>-0.4067062391493933</v>
      </c>
      <c r="L66" s="107">
        <f t="shared" ref="L66:T66" ca="1" si="36">(K$66-SUM(K$132,K$141))*(1+L$215)+SUM(L$132,L$141)</f>
        <v>-0.41523736602330963</v>
      </c>
      <c r="M66" s="107">
        <f t="shared" ca="1" si="36"/>
        <v>-0.42320923077151917</v>
      </c>
      <c r="N66" s="107">
        <f t="shared" ca="1" si="36"/>
        <v>-0.42975021861757945</v>
      </c>
      <c r="O66" s="107">
        <f t="shared" ca="1" si="36"/>
        <v>-0.43322865691547108</v>
      </c>
      <c r="P66" s="107">
        <f t="shared" ca="1" si="36"/>
        <v>-0.43552932831889424</v>
      </c>
      <c r="Q66" s="107">
        <f t="shared" ca="1" si="36"/>
        <v>-0.43657154986831248</v>
      </c>
      <c r="R66" s="107">
        <f t="shared" ca="1" si="36"/>
        <v>-0.43611151736042286</v>
      </c>
      <c r="S66" s="107">
        <f t="shared" ca="1" si="36"/>
        <v>-0.43431779188388364</v>
      </c>
      <c r="T66" s="107">
        <f t="shared" ca="1" si="36"/>
        <v>-0.43048726744252264</v>
      </c>
      <c r="U66" s="54"/>
    </row>
    <row r="67" spans="1:21" x14ac:dyDescent="0.2">
      <c r="A67" s="43" t="s">
        <v>537</v>
      </c>
      <c r="B67" s="103"/>
      <c r="C67"/>
      <c r="D67" s="96">
        <f t="shared" ref="D67:T67" si="37">SUM(D$64,D$65,-D$66)</f>
        <v>2.9950000000000001</v>
      </c>
      <c r="E67" s="96">
        <f t="shared" si="37"/>
        <v>3.214</v>
      </c>
      <c r="F67" s="187">
        <f t="shared" ca="1" si="37"/>
        <v>3.71</v>
      </c>
      <c r="G67" s="187">
        <f t="shared" ca="1" si="37"/>
        <v>3.722</v>
      </c>
      <c r="H67" s="187">
        <f t="shared" ca="1" si="37"/>
        <v>4.016</v>
      </c>
      <c r="I67" s="187">
        <f t="shared" ca="1" si="37"/>
        <v>4.2120000000000006</v>
      </c>
      <c r="J67" s="187">
        <f t="shared" ca="1" si="37"/>
        <v>4.3499999999999996</v>
      </c>
      <c r="K67" s="101">
        <f t="shared" ca="1" si="37"/>
        <v>4.2482209895478338</v>
      </c>
      <c r="L67" s="101">
        <f t="shared" ca="1" si="37"/>
        <v>4.4632702208074662</v>
      </c>
      <c r="M67" s="101">
        <f t="shared" ca="1" si="37"/>
        <v>4.6877811869894943</v>
      </c>
      <c r="N67" s="101">
        <f t="shared" ca="1" si="37"/>
        <v>4.9211350641490075</v>
      </c>
      <c r="O67" s="101">
        <f t="shared" ca="1" si="37"/>
        <v>5.1613257042725582</v>
      </c>
      <c r="P67" s="101">
        <f t="shared" ca="1" si="37"/>
        <v>5.4115574296335662</v>
      </c>
      <c r="Q67" s="101">
        <f t="shared" ca="1" si="37"/>
        <v>5.6721410032584103</v>
      </c>
      <c r="R67" s="101">
        <f t="shared" ca="1" si="37"/>
        <v>5.9425246169788561</v>
      </c>
      <c r="S67" s="101">
        <f t="shared" ca="1" si="37"/>
        <v>6.2226388347303123</v>
      </c>
      <c r="T67" s="101">
        <f t="shared" ca="1" si="37"/>
        <v>6.5118004182386233</v>
      </c>
      <c r="U67" s="54"/>
    </row>
    <row r="68" spans="1:21" x14ac:dyDescent="0.2">
      <c r="A68" s="46"/>
      <c r="C68"/>
      <c r="D68" s="94"/>
      <c r="E68" s="94"/>
      <c r="F68" s="94"/>
      <c r="G68" s="94"/>
      <c r="H68" s="94"/>
      <c r="I68" s="94"/>
      <c r="J68" s="94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54"/>
    </row>
    <row r="69" spans="1:21" x14ac:dyDescent="0.2">
      <c r="A69" s="147" t="s">
        <v>653</v>
      </c>
      <c r="B69" s="103"/>
      <c r="C69"/>
      <c r="D69" s="96">
        <f>D70</f>
        <v>0</v>
      </c>
      <c r="E69" s="96">
        <f ca="1">IF(OFFSET(Scenarios!$A$62,0,$C$1)="Yes",0,E$70-D$70)</f>
        <v>0</v>
      </c>
      <c r="F69" s="187">
        <f ca="1">IF(OFFSET(Scenarios!$A$62,0,$C$1)="Yes",0,F$70-E$70)</f>
        <v>0.17199999999999999</v>
      </c>
      <c r="G69" s="187">
        <f ca="1">IF(OFFSET(Scenarios!$A$62,0,$C$1)="Yes",0,G$70-F$70)</f>
        <v>1.4220000000000002</v>
      </c>
      <c r="H69" s="187">
        <f ca="1">IF(OFFSET(Scenarios!$A$62,0,$C$1)="Yes",0,H$70-G$70)</f>
        <v>1.8160000000000001</v>
      </c>
      <c r="I69" s="187">
        <f ca="1">IF(OFFSET(Scenarios!$A$62,0,$C$1)="Yes",0,I$70-H$70)</f>
        <v>1.7830000000000004</v>
      </c>
      <c r="J69" s="187">
        <f ca="1">IF(OFFSET(Scenarios!$A$62,0,$C$1)="Yes",0,J$70-I$70)</f>
        <v>1.8549999999999995</v>
      </c>
      <c r="K69" s="146">
        <f ca="1">IF(OFFSET(Scenarios!$A$62,0,$C$1)="Yes",0,IF(K$1="Proj Yr1",OFFSET(Scenarios!$A$31,0,$C$1),J$69*(1+IF(OFFSET(Scenarios!$A$35,0,$C$1)="GDP",K$215,IF(OFFSET(Scenarios!$A$35,0,$C$1)="CPI",K$218,0)))))</f>
        <v>1.544</v>
      </c>
      <c r="L69" s="146">
        <f ca="1">IF(OFFSET(Scenarios!$A$62,0,$C$1)="Yes",0,IF(L$1="Proj Yr1",OFFSET(Scenarios!$A$31,0,$C$1),K$69*(1+IF(OFFSET(Scenarios!$A$35,0,$C$1)="GDP",L$215,IF(OFFSET(Scenarios!$A$35,0,$C$1)="CPI",L$218,0)))))</f>
        <v>1.5748800000000001</v>
      </c>
      <c r="M69" s="146">
        <f ca="1">IF(OFFSET(Scenarios!$A$62,0,$C$1)="Yes",0,IF(M$1="Proj Yr1",OFFSET(Scenarios!$A$31,0,$C$1),L$69*(1+IF(OFFSET(Scenarios!$A$35,0,$C$1)="GDP",M$215,IF(OFFSET(Scenarios!$A$35,0,$C$1)="CPI",M$218,0)))))</f>
        <v>1.6063776000000001</v>
      </c>
      <c r="N69" s="146">
        <f ca="1">IF(OFFSET(Scenarios!$A$62,0,$C$1)="Yes",0,IF(N$1="Proj Yr1",OFFSET(Scenarios!$A$31,0,$C$1),M$69*(1+IF(OFFSET(Scenarios!$A$35,0,$C$1)="GDP",N$215,IF(OFFSET(Scenarios!$A$35,0,$C$1)="CPI",N$218,0)))))</f>
        <v>1.638505152</v>
      </c>
      <c r="O69" s="146">
        <f ca="1">IF(OFFSET(Scenarios!$A$62,0,$C$1)="Yes",0,IF(O$1="Proj Yr1",OFFSET(Scenarios!$A$31,0,$C$1),N$69*(1+IF(OFFSET(Scenarios!$A$35,0,$C$1)="GDP",O$215,IF(OFFSET(Scenarios!$A$35,0,$C$1)="CPI",O$218,0)))))</f>
        <v>1.6712752550400001</v>
      </c>
      <c r="P69" s="146">
        <f ca="1">IF(OFFSET(Scenarios!$A$62,0,$C$1)="Yes",0,IF(P$1="Proj Yr1",OFFSET(Scenarios!$A$31,0,$C$1),O$69*(1+IF(OFFSET(Scenarios!$A$35,0,$C$1)="GDP",P$215,IF(OFFSET(Scenarios!$A$35,0,$C$1)="CPI",P$218,0)))))</f>
        <v>1.7047007601408002</v>
      </c>
      <c r="Q69" s="146">
        <f ca="1">IF(OFFSET(Scenarios!$A$62,0,$C$1)="Yes",0,IF(Q$1="Proj Yr1",OFFSET(Scenarios!$A$31,0,$C$1),P$69*(1+IF(OFFSET(Scenarios!$A$35,0,$C$1)="GDP",Q$215,IF(OFFSET(Scenarios!$A$35,0,$C$1)="CPI",Q$218,0)))))</f>
        <v>1.7387947753436162</v>
      </c>
      <c r="R69" s="146">
        <f ca="1">IF(OFFSET(Scenarios!$A$62,0,$C$1)="Yes",0,IF(R$1="Proj Yr1",OFFSET(Scenarios!$A$31,0,$C$1),Q$69*(1+IF(OFFSET(Scenarios!$A$35,0,$C$1)="GDP",R$215,IF(OFFSET(Scenarios!$A$35,0,$C$1)="CPI",R$218,0)))))</f>
        <v>1.7735706708504886</v>
      </c>
      <c r="S69" s="146">
        <f ca="1">IF(OFFSET(Scenarios!$A$62,0,$C$1)="Yes",0,IF(S$1="Proj Yr1",OFFSET(Scenarios!$A$31,0,$C$1),R$69*(1+IF(OFFSET(Scenarios!$A$35,0,$C$1)="GDP",S$215,IF(OFFSET(Scenarios!$A$35,0,$C$1)="CPI",S$218,0)))))</f>
        <v>1.8090420842674984</v>
      </c>
      <c r="T69" s="146">
        <f ca="1">IF(OFFSET(Scenarios!$A$62,0,$C$1)="Yes",0,IF(T$1="Proj Yr1",OFFSET(Scenarios!$A$31,0,$C$1),S$69*(1+IF(OFFSET(Scenarios!$A$35,0,$C$1)="GDP",T$215,IF(OFFSET(Scenarios!$A$35,0,$C$1)="CPI",T$218,0)))))</f>
        <v>1.8452229259528483</v>
      </c>
      <c r="U69" s="54"/>
    </row>
    <row r="70" spans="1:21" x14ac:dyDescent="0.2">
      <c r="A70" s="47" t="s">
        <v>389</v>
      </c>
      <c r="B70" s="103"/>
      <c r="C70"/>
      <c r="D70" s="281">
        <f>Data!C$31</f>
        <v>0</v>
      </c>
      <c r="E70" s="281">
        <f>Data!D$31</f>
        <v>0</v>
      </c>
      <c r="F70" s="253">
        <f>Data!E$31+IF($I$1="Yes",F$267,0)</f>
        <v>0.17199999999999999</v>
      </c>
      <c r="G70" s="253">
        <f>Data!F$31+IF($I$1="Yes",G$267,0)</f>
        <v>1.5940000000000001</v>
      </c>
      <c r="H70" s="253">
        <f>Data!G$31+IF($I$1="Yes",H$267,0)</f>
        <v>3.41</v>
      </c>
      <c r="I70" s="253">
        <f>Data!H$31+IF($I$1="Yes",I$267,0)</f>
        <v>5.1930000000000005</v>
      </c>
      <c r="J70" s="253">
        <f>Data!I$31+IF($I$1="Yes",J$267,0)</f>
        <v>7.048</v>
      </c>
      <c r="K70" s="136">
        <f ca="1">J$70+IF(K$1="Proj Yr1",OFFSET(Scenarios!$A$31,0,$C$1),(J$70-I$70)*(1+IF(OFFSET(Scenarios!$A$35,0,$C$1)="GDP",K$215,IF(OFFSET(Scenarios!$A$35,0,$C$1)="CPI",K$218,0))))</f>
        <v>8.5920000000000005</v>
      </c>
      <c r="L70" s="136">
        <f ca="1">K$70+IF(L$1="Proj Yr1",OFFSET(Scenarios!$A$31,0,$C$1),(K$70-J$70)*(1+IF(OFFSET(Scenarios!$A$35,0,$C$1)="GDP",L$215,IF(OFFSET(Scenarios!$A$35,0,$C$1)="CPI",L$218,0))))</f>
        <v>10.166880000000001</v>
      </c>
      <c r="M70" s="136">
        <f ca="1">L$70+IF(M$1="Proj Yr1",OFFSET(Scenarios!$A$31,0,$C$1),(L$70-K$70)*(1+IF(OFFSET(Scenarios!$A$35,0,$C$1)="GDP",M$215,IF(OFFSET(Scenarios!$A$35,0,$C$1)="CPI",M$218,0))))</f>
        <v>11.773257600000001</v>
      </c>
      <c r="N70" s="136">
        <f ca="1">M$70+IF(N$1="Proj Yr1",OFFSET(Scenarios!$A$31,0,$C$1),(M$70-L$70)*(1+IF(OFFSET(Scenarios!$A$35,0,$C$1)="GDP",N$215,IF(OFFSET(Scenarios!$A$35,0,$C$1)="CPI",N$218,0))))</f>
        <v>13.411762752000001</v>
      </c>
      <c r="O70" s="136">
        <f ca="1">N$70+IF(O$1="Proj Yr1",OFFSET(Scenarios!$A$31,0,$C$1),(N$70-M$70)*(1+IF(OFFSET(Scenarios!$A$35,0,$C$1)="GDP",O$215,IF(OFFSET(Scenarios!$A$35,0,$C$1)="CPI",O$218,0))))</f>
        <v>15.083038007040003</v>
      </c>
      <c r="P70" s="136">
        <f ca="1">O$70+IF(P$1="Proj Yr1",OFFSET(Scenarios!$A$31,0,$C$1),(O$70-N$70)*(1+IF(OFFSET(Scenarios!$A$35,0,$C$1)="GDP",P$215,IF(OFFSET(Scenarios!$A$35,0,$C$1)="CPI",P$218,0))))</f>
        <v>16.787738767180805</v>
      </c>
      <c r="Q70" s="136">
        <f ca="1">P$70+IF(Q$1="Proj Yr1",OFFSET(Scenarios!$A$31,0,$C$1),(P$70-O$70)*(1+IF(OFFSET(Scenarios!$A$35,0,$C$1)="GDP",Q$215,IF(OFFSET(Scenarios!$A$35,0,$C$1)="CPI",Q$218,0))))</f>
        <v>18.526533542524422</v>
      </c>
      <c r="R70" s="136">
        <f ca="1">Q$70+IF(R$1="Proj Yr1",OFFSET(Scenarios!$A$31,0,$C$1),(Q$70-P$70)*(1+IF(OFFSET(Scenarios!$A$35,0,$C$1)="GDP",R$215,IF(OFFSET(Scenarios!$A$35,0,$C$1)="CPI",R$218,0))))</f>
        <v>20.300104213374912</v>
      </c>
      <c r="S70" s="136">
        <f ca="1">R$70+IF(S$1="Proj Yr1",OFFSET(Scenarios!$A$31,0,$C$1),(R$70-Q$70)*(1+IF(OFFSET(Scenarios!$A$35,0,$C$1)="GDP",S$215,IF(OFFSET(Scenarios!$A$35,0,$C$1)="CPI",S$218,0))))</f>
        <v>22.109146297642411</v>
      </c>
      <c r="T70" s="136">
        <f ca="1">S$70+IF(T$1="Proj Yr1",OFFSET(Scenarios!$A$31,0,$C$1),(S$70-R$70)*(1+IF(OFFSET(Scenarios!$A$35,0,$C$1)="GDP",T$215,IF(OFFSET(Scenarios!$A$35,0,$C$1)="CPI",T$218,0))))</f>
        <v>23.954369223595261</v>
      </c>
      <c r="U70" s="54"/>
    </row>
    <row r="71" spans="1:21" x14ac:dyDescent="0.2">
      <c r="A71" s="46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106"/>
      <c r="S71" s="106"/>
      <c r="T71" s="106"/>
      <c r="U71" s="54"/>
    </row>
    <row r="72" spans="1:21" x14ac:dyDescent="0.2">
      <c r="A72" s="147" t="s">
        <v>654</v>
      </c>
      <c r="C72" s="99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T72" s="99"/>
      <c r="U72" s="54"/>
    </row>
    <row r="73" spans="1:21" x14ac:dyDescent="0.2">
      <c r="A73" s="47" t="s">
        <v>352</v>
      </c>
      <c r="B73" s="54"/>
      <c r="C73" s="99"/>
      <c r="D73" s="94">
        <f>Data!C$140</f>
        <v>6.81</v>
      </c>
      <c r="E73" s="94">
        <f>Data!D$140</f>
        <v>7.3479999999999999</v>
      </c>
      <c r="F73" s="180">
        <f ca="1">Data!E$140*IF($F$1="Yes",PRODUCT(OFFSET(ReadyReckoner!$A$49,0,2,1,F$260-1)),1)</f>
        <v>7.7519999999999998</v>
      </c>
      <c r="G73" s="180">
        <f ca="1">Data!F$140*IF($F$1="Yes",PRODUCT(OFFSET(ReadyReckoner!$A$49,0,2,1,G$260-1)),1)</f>
        <v>8.3070000000000004</v>
      </c>
      <c r="H73" s="180">
        <f ca="1">Data!G$140*IF($F$1="Yes",PRODUCT(OFFSET(ReadyReckoner!$A$49,0,2,1,H$260-1)),1)</f>
        <v>8.9150000000000009</v>
      </c>
      <c r="I73" s="180">
        <f ca="1">Data!H$140*IF($F$1="Yes",PRODUCT(OFFSET(ReadyReckoner!$A$49,0,2,1,I$260-1)),1)</f>
        <v>9.625</v>
      </c>
      <c r="J73" s="180">
        <f ca="1">Data!I$140*IF($F$1="Yes",PRODUCT(OFFSET(ReadyReckoner!$A$49,0,2,1,J$260-1)),1)</f>
        <v>10.257</v>
      </c>
      <c r="K73" s="99">
        <f ca="1">J$73*(K$84/J$84)*(1+Popn!K$201)</f>
        <v>10.957309270394893</v>
      </c>
      <c r="L73" s="99">
        <f ca="1">K$73*(L$84/K$84)*(1+Popn!L$201)</f>
        <v>11.700032661689965</v>
      </c>
      <c r="M73" s="99">
        <f ca="1">L$73*(M$84/L$84)*(1+Popn!M$201)</f>
        <v>12.464613543211835</v>
      </c>
      <c r="N73" s="99">
        <f ca="1">M$73*(N$84/M$84)*(1+Popn!N$201)</f>
        <v>13.271933074652106</v>
      </c>
      <c r="O73" s="99">
        <f ca="1">N$73*(O$84/N$84)*(1+Popn!O$201)</f>
        <v>14.117602655751611</v>
      </c>
      <c r="P73" s="99">
        <f ca="1">O$73*(P$84/O$84)*(1+Popn!P$201)</f>
        <v>15.023903649369961</v>
      </c>
      <c r="Q73" s="99">
        <f ca="1">P$73*(Q$84/P$84)*(1+Popn!Q$201)</f>
        <v>15.987327883484665</v>
      </c>
      <c r="R73" s="99">
        <f ca="1">Q$73*(R$84/Q$84)*(1+Popn!R$201)</f>
        <v>17.084917689143182</v>
      </c>
      <c r="S73" s="99">
        <f ca="1">R$73*(S$84/R$84)*(1+Popn!S$201)</f>
        <v>18.250467410895027</v>
      </c>
      <c r="T73" s="99">
        <f ca="1">S$73*(T$84/S$84)*(1+Popn!T$201)</f>
        <v>19.480601782291384</v>
      </c>
      <c r="U73" s="54"/>
    </row>
    <row r="74" spans="1:21" x14ac:dyDescent="0.2">
      <c r="A74" s="47" t="s">
        <v>313</v>
      </c>
      <c r="B74" s="54"/>
      <c r="C74" s="99"/>
      <c r="D74" s="94">
        <f>Data!C$143</f>
        <v>0.61299999999999999</v>
      </c>
      <c r="E74" s="94">
        <f>Data!D$143</f>
        <v>0.45800000000000002</v>
      </c>
      <c r="F74" s="180">
        <f ca="1">Data!E$143*IF($F$1="Yes",PRODUCT(OFFSET(ReadyReckoner!$A$49,0,2,1,F$260-1))+OFFSET(ReadyReckoner!$A$46,0,F$260),1)</f>
        <v>0.54400000000000004</v>
      </c>
      <c r="G74" s="180">
        <f ca="1">Data!F$143*IF($F$1="Yes",PRODUCT(OFFSET(ReadyReckoner!$A$49,0,2,1,G$260-1))+OFFSET(ReadyReckoner!$A$46,0,G$260),1)</f>
        <v>0.7669999999999999</v>
      </c>
      <c r="H74" s="180">
        <f ca="1">Data!G$143*IF($F$1="Yes",PRODUCT(OFFSET(ReadyReckoner!$A$49,0,2,1,H$260-1))+OFFSET(ReadyReckoner!$A$46,0,H$260),1)</f>
        <v>0.82499999999999996</v>
      </c>
      <c r="I74" s="180">
        <f ca="1">Data!H$143*IF($F$1="Yes",PRODUCT(OFFSET(ReadyReckoner!$A$49,0,2,1,I$260-1))+OFFSET(ReadyReckoner!$A$46,0,I$260),1)</f>
        <v>0.77100000000000002</v>
      </c>
      <c r="J74" s="180">
        <f ca="1">Data!I$143*IF($F$1="Yes",PRODUCT(OFFSET(ReadyReckoner!$A$49,0,2,1,J$260-1))+OFFSET(ReadyReckoner!$A$46,0,J$260),1)</f>
        <v>0.68100000000000005</v>
      </c>
      <c r="K74" s="99">
        <f ca="1">J$74*(K$86/J$86)*(1+K$218)</f>
        <v>0.6860922838975928</v>
      </c>
      <c r="L74" s="99">
        <f t="shared" ref="L74:T74" ca="1" si="38">K$74*(L$86/K$86)*(1+L$218)</f>
        <v>0.69101649667280196</v>
      </c>
      <c r="M74" s="99">
        <f t="shared" ca="1" si="38"/>
        <v>0.69545192846230541</v>
      </c>
      <c r="N74" s="99">
        <f t="shared" ca="1" si="38"/>
        <v>0.70053610231747065</v>
      </c>
      <c r="O74" s="99">
        <f t="shared" ca="1" si="38"/>
        <v>0.71938650036823137</v>
      </c>
      <c r="P74" s="99">
        <f t="shared" ca="1" si="38"/>
        <v>0.73853135492722843</v>
      </c>
      <c r="Q74" s="99">
        <f t="shared" ca="1" si="38"/>
        <v>0.7580108030335867</v>
      </c>
      <c r="R74" s="99">
        <f t="shared" ca="1" si="38"/>
        <v>0.77776299294966778</v>
      </c>
      <c r="S74" s="99">
        <f t="shared" ca="1" si="38"/>
        <v>0.79800466818381599</v>
      </c>
      <c r="T74" s="99">
        <f t="shared" ca="1" si="38"/>
        <v>0.81839225046270836</v>
      </c>
      <c r="U74" s="54"/>
    </row>
    <row r="75" spans="1:21" x14ac:dyDescent="0.2">
      <c r="A75" s="47" t="s">
        <v>344</v>
      </c>
      <c r="B75" s="54"/>
      <c r="C75" s="99"/>
      <c r="D75" s="94">
        <f>SUM(Data!C$141,Data!C$144,Data!C$145)</f>
        <v>3.1729999999999996</v>
      </c>
      <c r="E75" s="94">
        <f>SUM(Data!D$141,Data!D$144,Data!D$145)</f>
        <v>3.2759999999999998</v>
      </c>
      <c r="F75" s="180">
        <f ca="1">SUM(Data!E$141,Data!E$144,Data!E$145)*IF($F$1="Yes",PRODUCT(OFFSET(ReadyReckoner!$A$49,0,2,1,F$260-1)),1)</f>
        <v>3.3679999999999999</v>
      </c>
      <c r="G75" s="180">
        <f ca="1">SUM(Data!F$141,Data!F$144,Data!F$145)*IF($F$1="Yes",PRODUCT(OFFSET(ReadyReckoner!$A$49,0,2,1,G$260-1)),1)</f>
        <v>3.4669999999999996</v>
      </c>
      <c r="H75" s="180">
        <f ca="1">SUM(Data!G$141,Data!G$144,Data!G$145)*IF($F$1="Yes",PRODUCT(OFFSET(ReadyReckoner!$A$49,0,2,1,H$260-1)),1)</f>
        <v>3.5350000000000001</v>
      </c>
      <c r="I75" s="180">
        <f ca="1">SUM(Data!H$141,Data!H$144,Data!H$145)*IF($F$1="Yes",PRODUCT(OFFSET(ReadyReckoner!$A$49,0,2,1,I$260-1)),1)</f>
        <v>3.6109999999999998</v>
      </c>
      <c r="J75" s="180">
        <f ca="1">SUM(Data!I$141,Data!I$144,Data!I$145)*IF($F$1="Yes",PRODUCT(OFFSET(ReadyReckoner!$A$49,0,2,1,J$260-1)),1)</f>
        <v>3.6639999999999997</v>
      </c>
      <c r="K75" s="99">
        <f ca="1">J$75*(1+K$218)*(1+SUMPRODUCT(Popn!K$204:K$214,Tracks!$H$91:$H$101)+SUMPRODUCT(Popn!K$215:K$225,Tracks!$I$91:$I$101))</f>
        <v>3.7551765824540979</v>
      </c>
      <c r="L75" s="99">
        <f ca="1">K$75*(1+L$218)*(1+SUMPRODUCT(Popn!L$204:L$214,Tracks!$H$91:$H$101)+SUMPRODUCT(Popn!L$215:L$225,Tracks!$I$91:$I$101))</f>
        <v>3.8478410573361446</v>
      </c>
      <c r="M75" s="99">
        <f ca="1">L$75*(1+M$218)*(1+SUMPRODUCT(Popn!M$204:M$214,Tracks!$H$91:$H$101)+SUMPRODUCT(Popn!M$215:M$225,Tracks!$I$91:$I$101))</f>
        <v>3.9431754481611119</v>
      </c>
      <c r="N75" s="99">
        <f ca="1">M$75*(1+N$218)*(1+SUMPRODUCT(Popn!N$204:N$214,Tracks!$H$91:$H$101)+SUMPRODUCT(Popn!N$215:N$225,Tracks!$I$91:$I$101))</f>
        <v>4.0374177762179295</v>
      </c>
      <c r="O75" s="99">
        <f ca="1">N$75*(1+O$218)*(1+SUMPRODUCT(Popn!O$204:O$214,Tracks!$H$91:$H$101)+SUMPRODUCT(Popn!O$215:O$225,Tracks!$I$91:$I$101))</f>
        <v>4.1363983686095436</v>
      </c>
      <c r="P75" s="99">
        <f ca="1">O$75*(1+P$218)*(1+SUMPRODUCT(Popn!P$204:P$214,Tracks!$H$91:$H$101)+SUMPRODUCT(Popn!P$215:P$225,Tracks!$I$91:$I$101))</f>
        <v>4.2344100036564738</v>
      </c>
      <c r="Q75" s="99">
        <f ca="1">P$75*(1+Q$218)*(1+SUMPRODUCT(Popn!Q$204:Q$214,Tracks!$H$91:$H$101)+SUMPRODUCT(Popn!Q$215:Q$225,Tracks!$I$91:$I$101))</f>
        <v>4.3332001633225312</v>
      </c>
      <c r="R75" s="99">
        <f ca="1">Q$75*(1+R$218)*(1+SUMPRODUCT(Popn!R$204:R$214,Tracks!$H$91:$H$101)+SUMPRODUCT(Popn!R$215:R$225,Tracks!$I$91:$I$101))</f>
        <v>4.4324194348157091</v>
      </c>
      <c r="S75" s="99">
        <f ca="1">R$75*(1+S$218)*(1+SUMPRODUCT(Popn!S$204:S$214,Tracks!$H$91:$H$101)+SUMPRODUCT(Popn!S$215:S$225,Tracks!$I$91:$I$101))</f>
        <v>4.5328677553697929</v>
      </c>
      <c r="T75" s="99">
        <f ca="1">S$75*(1+T$218)*(1+SUMPRODUCT(Popn!T$204:T$214,Tracks!$H$91:$H$101)+SUMPRODUCT(Popn!T$215:T$225,Tracks!$I$91:$I$101))</f>
        <v>4.6345991447585222</v>
      </c>
      <c r="U75" s="54"/>
    </row>
    <row r="76" spans="1:21" x14ac:dyDescent="0.2">
      <c r="A76" s="258" t="s">
        <v>346</v>
      </c>
      <c r="B76" s="54"/>
      <c r="C76" s="99"/>
      <c r="D76" s="280">
        <f>Data!C$40-SUM(D$73:D$75)</f>
        <v>6.1720000000000006</v>
      </c>
      <c r="E76" s="280">
        <f>Data!D$40-SUM(E$73:E$75)</f>
        <v>6.7949999999999982</v>
      </c>
      <c r="F76" s="186">
        <f ca="1">Data!E$40-SUM(F$73:F$75)+SUM(Data!E$140:E$141,Data!E$143:E$145)*IF($F$1="Yes",PRODUCT(OFFSET(ReadyReckoner!$A$49,0,2,1,F$260-1))-1,0)+Data!E$143*IF($F$1="Yes",OFFSET(ReadyReckoner!$A$46,0,F$260),0)</f>
        <v>7.5489999999999977</v>
      </c>
      <c r="G76" s="186">
        <f ca="1">Data!F$40-SUM(G$73:G$75)+SUM(Data!F$140:F$141,Data!F$143:F$145)*IF($F$1="Yes",PRODUCT(OFFSET(ReadyReckoner!$A$49,0,2,1,G$260-1))-1,0)+Data!F$143*IF($F$1="Yes",OFFSET(ReadyReckoner!$A$46,0,G$260),0)</f>
        <v>7.7689999999999984</v>
      </c>
      <c r="H76" s="186">
        <f ca="1">Data!G$40-SUM(H$73:H$75)+SUM(Data!G$140:G$141,Data!G$143:G$145)*IF($F$1="Yes",PRODUCT(OFFSET(ReadyReckoner!$A$49,0,2,1,H$260-1))-1,0)+Data!G$143*IF($F$1="Yes",OFFSET(ReadyReckoner!$A$46,0,H$260),0)</f>
        <v>7.9210000000000012</v>
      </c>
      <c r="I76" s="186">
        <f ca="1">Data!H$40-SUM(I$73:I$75)+SUM(Data!H$140:H$141,Data!H$143:H$145)*IF($F$1="Yes",PRODUCT(OFFSET(ReadyReckoner!$A$49,0,2,1,I$260-1))-1,0)+Data!H$143*IF($F$1="Yes",OFFSET(ReadyReckoner!$A$46,0,I$260),0)</f>
        <v>8.0859999999999985</v>
      </c>
      <c r="J76" s="186">
        <f ca="1">Data!I$40-SUM(J$73:J$75)+SUM(Data!I$140:I$141,Data!I$143:I$145)*IF($F$1="Yes",PRODUCT(OFFSET(ReadyReckoner!$A$49,0,2,1,J$260-1))-1,0)+Data!I$143*IF($F$1="Yes",OFFSET(ReadyReckoner!$A$46,0,J$260),0)</f>
        <v>8.2910000000000021</v>
      </c>
      <c r="K76" s="107">
        <f ca="1">J$76*(1+K$218)*(1+AVERAGE(Popn!K$197,Popn!K$202))</f>
        <v>8.4938029033537319</v>
      </c>
      <c r="L76" s="107">
        <f ca="1">K$76*(1+L$218)*(1+AVERAGE(Popn!L$197,Popn!L$202))</f>
        <v>8.6997711864672276</v>
      </c>
      <c r="M76" s="107">
        <f ca="1">L$76*(1+M$218)*(1+AVERAGE(Popn!M$197,Popn!M$202))</f>
        <v>8.9130303308407566</v>
      </c>
      <c r="N76" s="107">
        <f ca="1">M$76*(1+N$218)*(1+AVERAGE(Popn!N$197,Popn!N$202))</f>
        <v>9.1364034669429053</v>
      </c>
      <c r="O76" s="107">
        <f ca="1">N$76*(1+O$218)*(1+AVERAGE(Popn!O$197,Popn!O$202))</f>
        <v>9.3634834900883064</v>
      </c>
      <c r="P76" s="107">
        <f ca="1">O$76*(1+P$218)*(1+AVERAGE(Popn!P$197,Popn!P$202))</f>
        <v>9.5989148223534588</v>
      </c>
      <c r="Q76" s="107">
        <f ca="1">P$76*(1+Q$218)*(1+AVERAGE(Popn!Q$197,Popn!Q$202))</f>
        <v>9.8320522263478516</v>
      </c>
      <c r="R76" s="107">
        <f ca="1">Q$76*(1+R$218)*(1+AVERAGE(Popn!R$197,Popn!R$202))</f>
        <v>10.073835206507214</v>
      </c>
      <c r="S76" s="107">
        <f ca="1">R$76*(1+S$218)*(1+AVERAGE(Popn!S$197,Popn!S$202))</f>
        <v>10.329629591262954</v>
      </c>
      <c r="T76" s="107">
        <f ca="1">S$76*(1+T$218)*(1+AVERAGE(Popn!T$197,Popn!T$202))</f>
        <v>10.588592065839711</v>
      </c>
      <c r="U76" s="54"/>
    </row>
    <row r="77" spans="1:21" x14ac:dyDescent="0.2">
      <c r="A77" s="43" t="s">
        <v>689</v>
      </c>
      <c r="B77" s="54"/>
      <c r="C77" s="99"/>
      <c r="D77" s="96">
        <f t="shared" ref="D77:T77" si="39">SUM(D$73:D$76)</f>
        <v>16.768000000000001</v>
      </c>
      <c r="E77" s="96">
        <f t="shared" si="39"/>
        <v>17.876999999999999</v>
      </c>
      <c r="F77" s="187">
        <f ca="1">SUM(F$73:F$76)+IF($I$1="Yes",F$266,0)</f>
        <v>19.212999999999997</v>
      </c>
      <c r="G77" s="187">
        <f ca="1">SUM(G$73:G$76)+IF($I$1="Yes",G$266,0)</f>
        <v>20.309999999999999</v>
      </c>
      <c r="H77" s="187">
        <f ca="1">SUM(H$73:H$76)+IF($I$1="Yes",H$266,0)</f>
        <v>21.196000000000002</v>
      </c>
      <c r="I77" s="187">
        <f ca="1">SUM(I$73:I$76)+IF($I$1="Yes",I$266,0)</f>
        <v>22.093</v>
      </c>
      <c r="J77" s="187">
        <f ca="1">SUM(J$73:J$76)+IF($I$1="Yes",J$266,0)</f>
        <v>22.893000000000001</v>
      </c>
      <c r="K77" s="101">
        <f t="shared" ca="1" si="39"/>
        <v>23.892381040100314</v>
      </c>
      <c r="L77" s="101">
        <f t="shared" ca="1" si="39"/>
        <v>24.93866140216614</v>
      </c>
      <c r="M77" s="101">
        <f t="shared" ca="1" si="39"/>
        <v>26.016271250676006</v>
      </c>
      <c r="N77" s="101">
        <f t="shared" ca="1" si="39"/>
        <v>27.146290420130413</v>
      </c>
      <c r="O77" s="101">
        <f t="shared" ca="1" si="39"/>
        <v>28.336871014817692</v>
      </c>
      <c r="P77" s="101">
        <f t="shared" ca="1" si="39"/>
        <v>29.595759830307124</v>
      </c>
      <c r="Q77" s="101">
        <f t="shared" ca="1" si="39"/>
        <v>30.910591076188634</v>
      </c>
      <c r="R77" s="101">
        <f t="shared" ca="1" si="39"/>
        <v>32.368935323415776</v>
      </c>
      <c r="S77" s="101">
        <f t="shared" ca="1" si="39"/>
        <v>33.910969425711585</v>
      </c>
      <c r="T77" s="101">
        <f t="shared" ca="1" si="39"/>
        <v>35.522185243352325</v>
      </c>
      <c r="U77" s="54"/>
    </row>
    <row r="78" spans="1:21" x14ac:dyDescent="0.2">
      <c r="A78" s="47" t="s">
        <v>347</v>
      </c>
      <c r="B78" s="135"/>
      <c r="C78" s="99"/>
      <c r="D78" s="94">
        <f>Data!C$112</f>
        <v>3.665</v>
      </c>
      <c r="E78" s="94">
        <f>Data!D$112</f>
        <v>4.3070000000000004</v>
      </c>
      <c r="F78" s="142">
        <f>Data!E$112</f>
        <v>4.9420000000000002</v>
      </c>
      <c r="G78" s="142">
        <f>Data!F$112</f>
        <v>5.1340000000000003</v>
      </c>
      <c r="H78" s="142">
        <f>Data!G$112</f>
        <v>5.4729999999999999</v>
      </c>
      <c r="I78" s="142">
        <f>Data!H$112</f>
        <v>5.8490000000000002</v>
      </c>
      <c r="J78" s="142">
        <f>Data!I$112</f>
        <v>6.218</v>
      </c>
      <c r="K78" s="99">
        <f t="shared" ref="K78:T78" ca="1" si="40">J$78+SUM(K$128-J$128,K$133,K$134)-SUM(J$128-I$128,J$133,J$134)</f>
        <v>6.5099680959094801</v>
      </c>
      <c r="L78" s="99">
        <f t="shared" ca="1" si="40"/>
        <v>6.8165753316902187</v>
      </c>
      <c r="M78" s="99">
        <f t="shared" ca="1" si="40"/>
        <v>7.1354539727678779</v>
      </c>
      <c r="N78" s="99">
        <f t="shared" ca="1" si="40"/>
        <v>7.4611424483413673</v>
      </c>
      <c r="O78" s="99">
        <f t="shared" ca="1" si="40"/>
        <v>7.7825093298544878</v>
      </c>
      <c r="P78" s="99">
        <f t="shared" ca="1" si="40"/>
        <v>8.1150972711594882</v>
      </c>
      <c r="Q78" s="99">
        <f t="shared" ca="1" si="40"/>
        <v>8.4596749701593303</v>
      </c>
      <c r="R78" s="99">
        <f t="shared" ca="1" si="40"/>
        <v>8.8158724471418743</v>
      </c>
      <c r="S78" s="99">
        <f t="shared" ca="1" si="40"/>
        <v>9.186539364907901</v>
      </c>
      <c r="T78" s="99">
        <f t="shared" ca="1" si="40"/>
        <v>9.5680422973082724</v>
      </c>
      <c r="U78" s="54"/>
    </row>
    <row r="79" spans="1:21" x14ac:dyDescent="0.2">
      <c r="A79" s="259" t="s">
        <v>850</v>
      </c>
      <c r="B79" s="135"/>
      <c r="C79" s="99"/>
      <c r="D79" s="280">
        <f>Data!C$113</f>
        <v>0.60399999999999998</v>
      </c>
      <c r="E79" s="280">
        <f>Data!D$113</f>
        <v>0.67500000000000004</v>
      </c>
      <c r="F79" s="186">
        <f>Data!E$113</f>
        <v>0.71599999999999997</v>
      </c>
      <c r="G79" s="186">
        <f>Data!F$113</f>
        <v>0.74099999999999999</v>
      </c>
      <c r="H79" s="186">
        <f>Data!G$113</f>
        <v>0.78</v>
      </c>
      <c r="I79" s="186">
        <f>Data!H$113</f>
        <v>0.82199999999999995</v>
      </c>
      <c r="J79" s="186">
        <f>Data!I$113</f>
        <v>0.86099999999999999</v>
      </c>
      <c r="K79" s="107">
        <f ca="1">J$79*K$78/J$78</f>
        <v>0.90142851890930564</v>
      </c>
      <c r="L79" s="107">
        <f t="shared" ref="L79:T79" ca="1" si="41">K$79*L$78/K$78</f>
        <v>0.94388410430769998</v>
      </c>
      <c r="M79" s="107">
        <f t="shared" ca="1" si="41"/>
        <v>0.98803889844855952</v>
      </c>
      <c r="N79" s="107">
        <f t="shared" ca="1" si="41"/>
        <v>1.0331366432971885</v>
      </c>
      <c r="O79" s="107">
        <f t="shared" ca="1" si="41"/>
        <v>1.0776359815060654</v>
      </c>
      <c r="P79" s="107">
        <f t="shared" ca="1" si="41"/>
        <v>1.1236890882065487</v>
      </c>
      <c r="Q79" s="107">
        <f t="shared" ca="1" si="41"/>
        <v>1.1714024041986464</v>
      </c>
      <c r="R79" s="107">
        <f t="shared" ca="1" si="41"/>
        <v>1.2207246987759977</v>
      </c>
      <c r="S79" s="107">
        <f t="shared" ca="1" si="41"/>
        <v>1.2720505617860569</v>
      </c>
      <c r="T79" s="107">
        <f t="shared" ca="1" si="41"/>
        <v>1.3248768764847896</v>
      </c>
      <c r="U79" s="54"/>
    </row>
    <row r="80" spans="1:21" x14ac:dyDescent="0.2">
      <c r="A80" s="43" t="s">
        <v>646</v>
      </c>
      <c r="B80" s="54"/>
      <c r="C80" s="99"/>
      <c r="D80" s="96">
        <f t="shared" ref="D80:T80" si="42">SUM(D$77,D$78,-D$79)</f>
        <v>19.829000000000001</v>
      </c>
      <c r="E80" s="96">
        <f t="shared" si="42"/>
        <v>21.508999999999997</v>
      </c>
      <c r="F80" s="187">
        <f t="shared" ca="1" si="42"/>
        <v>23.438999999999997</v>
      </c>
      <c r="G80" s="187">
        <f t="shared" ca="1" si="42"/>
        <v>24.702999999999999</v>
      </c>
      <c r="H80" s="187">
        <f t="shared" ca="1" si="42"/>
        <v>25.888999999999999</v>
      </c>
      <c r="I80" s="187">
        <f t="shared" ca="1" si="42"/>
        <v>27.12</v>
      </c>
      <c r="J80" s="187">
        <f t="shared" ca="1" si="42"/>
        <v>28.25</v>
      </c>
      <c r="K80" s="101">
        <f t="shared" ca="1" si="42"/>
        <v>29.500920617100491</v>
      </c>
      <c r="L80" s="101">
        <f t="shared" ca="1" si="42"/>
        <v>30.811352629548658</v>
      </c>
      <c r="M80" s="101">
        <f t="shared" ca="1" si="42"/>
        <v>32.163686324995325</v>
      </c>
      <c r="N80" s="101">
        <f t="shared" ca="1" si="42"/>
        <v>33.574296225174592</v>
      </c>
      <c r="O80" s="101">
        <f t="shared" ca="1" si="42"/>
        <v>35.041744363166117</v>
      </c>
      <c r="P80" s="101">
        <f t="shared" ca="1" si="42"/>
        <v>36.587168013260069</v>
      </c>
      <c r="Q80" s="101">
        <f t="shared" ca="1" si="42"/>
        <v>38.19886364214932</v>
      </c>
      <c r="R80" s="101">
        <f t="shared" ca="1" si="42"/>
        <v>39.964083071781658</v>
      </c>
      <c r="S80" s="101">
        <f t="shared" ca="1" si="42"/>
        <v>41.825458228833426</v>
      </c>
      <c r="T80" s="101">
        <f t="shared" ca="1" si="42"/>
        <v>43.765350664175813</v>
      </c>
      <c r="U80" s="54"/>
    </row>
    <row r="81" spans="1:21" x14ac:dyDescent="0.2">
      <c r="A81" s="147" t="s">
        <v>655</v>
      </c>
      <c r="C81" s="99"/>
      <c r="D81" s="94"/>
      <c r="E81" s="94"/>
      <c r="F81" s="94"/>
      <c r="G81" s="94"/>
      <c r="H81" s="94"/>
      <c r="I81" s="94"/>
      <c r="J81" s="94"/>
      <c r="T81" s="99"/>
      <c r="U81" s="54"/>
    </row>
    <row r="82" spans="1:21" x14ac:dyDescent="0.2">
      <c r="A82" s="47" t="s">
        <v>235</v>
      </c>
      <c r="C82" s="99"/>
      <c r="D82" s="282">
        <f>Data!C$212</f>
        <v>832.54</v>
      </c>
      <c r="E82" s="282">
        <f>Data!D$212</f>
        <v>861.55</v>
      </c>
      <c r="F82" s="275">
        <f ca="1">Data!E$212+IF($F$1="Yes",Data!D$212*(OFFSET(ReadyReckoner!$A$38,0,F$260)-OFFSET(ReadyReckoner!$A$28,0,F$260)),0)</f>
        <v>906.02</v>
      </c>
      <c r="G82" s="275">
        <f ca="1">Data!F$212+IF($F$1="Yes",Data!E$212*(OFFSET(ReadyReckoner!$A$38,0,G$260)-OFFSET(ReadyReckoner!$A$28,0,G$260)),0)</f>
        <v>944</v>
      </c>
      <c r="H82" s="275">
        <f ca="1">Data!G$212+IF($F$1="Yes",Data!F$212*(OFFSET(ReadyReckoner!$A$38,0,H$260)-OFFSET(ReadyReckoner!$A$28,0,H$260)),0)</f>
        <v>978.23</v>
      </c>
      <c r="I82" s="275">
        <f ca="1">Data!H$212+IF($F$1="Yes",Data!G$212*(OFFSET(ReadyReckoner!$A$38,0,I$260)-OFFSET(ReadyReckoner!$A$28,0,I$260)),0)</f>
        <v>1007.55</v>
      </c>
      <c r="J82" s="275">
        <f ca="1">Data!I$212+IF($F$1="Yes",Data!H$212*(OFFSET(ReadyReckoner!$A$38,0,J$260)-OFFSET(ReadyReckoner!$A$28,0,J$260)),0)</f>
        <v>1037.4100000000001</v>
      </c>
      <c r="K82" s="276">
        <f ca="1">J$82*(1+K$231)*(1+K$218)</f>
        <v>1074.030573</v>
      </c>
      <c r="L82" s="276">
        <f t="shared" ref="L82:T82" ca="1" si="43">K$82*(1+L$231)*(1+L$218)</f>
        <v>1111.9438522268999</v>
      </c>
      <c r="M82" s="276">
        <f t="shared" ca="1" si="43"/>
        <v>1151.1954702105093</v>
      </c>
      <c r="N82" s="276">
        <f t="shared" ca="1" si="43"/>
        <v>1191.8326703089401</v>
      </c>
      <c r="O82" s="276">
        <f t="shared" ca="1" si="43"/>
        <v>1233.9043635708456</v>
      </c>
      <c r="P82" s="276">
        <f t="shared" ca="1" si="43"/>
        <v>1277.4611876048964</v>
      </c>
      <c r="Q82" s="276">
        <f t="shared" ca="1" si="43"/>
        <v>1322.5555675273492</v>
      </c>
      <c r="R82" s="276">
        <f t="shared" ca="1" si="43"/>
        <v>1369.2417790610646</v>
      </c>
      <c r="S82" s="276">
        <f t="shared" ca="1" si="43"/>
        <v>1417.57601386192</v>
      </c>
      <c r="T82" s="276">
        <f t="shared" ca="1" si="43"/>
        <v>1467.6164471512457</v>
      </c>
      <c r="U82" s="54"/>
    </row>
    <row r="83" spans="1:21" x14ac:dyDescent="0.2">
      <c r="A83" s="47" t="s">
        <v>236</v>
      </c>
      <c r="C83" s="99"/>
      <c r="D83" s="282">
        <f>Data!C$212-Data!C$185</f>
        <v>186.71999999999991</v>
      </c>
      <c r="E83" s="282">
        <f>Data!D$212-Data!D$185</f>
        <v>197.52999999999997</v>
      </c>
      <c r="F83" s="275">
        <f ca="1">Data!E$212-Data!E$185+IF($F$1="Yes",(Data!D$212-Data!D$185)*(OFFSET(ReadyReckoner!$A$38,0,F$260)-OFFSET(ReadyReckoner!$A$28,0,F$260)),0)</f>
        <v>180.05999999999995</v>
      </c>
      <c r="G83" s="275">
        <f ca="1">Data!F$212-Data!F$185+IF($F$1="Yes",(Data!E$212-Data!E$185)*(OFFSET(ReadyReckoner!$A$38,0,G$260)-OFFSET(ReadyReckoner!$A$28,0,G$260)),0)</f>
        <v>188.57000000000005</v>
      </c>
      <c r="H83" s="275">
        <f ca="1">Data!G$212-Data!G$185+IF($F$1="Yes",(Data!F$212-Data!F$185)*(OFFSET(ReadyReckoner!$A$38,0,H$260)-OFFSET(ReadyReckoner!$A$28,0,H$260)),0)</f>
        <v>191.24</v>
      </c>
      <c r="I83" s="275">
        <f ca="1">Data!H$212-Data!H$185+IF($F$1="Yes",(Data!G$212-Data!G$185)*(OFFSET(ReadyReckoner!$A$38,0,I$260)-OFFSET(ReadyReckoner!$A$28,0,I$260)),0)</f>
        <v>201.21999999999991</v>
      </c>
      <c r="J83" s="275">
        <f ca="1">Data!I$212-Data!I$185+IF($F$1="Yes",(Data!H$212-Data!H$185)*(OFFSET(ReadyReckoner!$A$38,0,J$260)-OFFSET(ReadyReckoner!$A$28,0,J$260)),0)</f>
        <v>211.54000000000008</v>
      </c>
      <c r="K83" s="276">
        <f ca="1">J$83*(1+IF(AND(OFFSET(Scenarios!$A$24,0,$C$1)="YES",MID(OFFSET(Scenarios!$A$26,0,$C$1),6,2)&gt;=MID(K$3,4,2)),IF(OFFSET(Scenarios!$A$29,0,$C$1)="Inflation",1,OFFSET(Scenarios!$A$25,0,$C$1)),1)*K$231)*(1+IF(AND(OFFSET(Scenarios!$A$24,0,$C$1)="YES",MID(OFFSET(Scenarios!$A$26,0,$C$1),6,2)&gt;=MID(K$3,4,2)),IF(OFFSET(Scenarios!$A$29,0,$C$1)="Wage",1,OFFSET(Scenarios!$A$25,0,$C$1)),1)*K$218)</f>
        <v>221.65092449500008</v>
      </c>
      <c r="L83" s="276">
        <f ca="1">K$83*(1+IF(AND(OFFSET(Scenarios!$A$24,0,$C$1)="YES",MID(OFFSET(Scenarios!$A$26,0,$C$1),6,2)&gt;=MID(L$3,4,2)),IF(OFFSET(Scenarios!$A$29,0,$C$1)="Inflation",1,OFFSET(Scenarios!$A$25,0,$C$1)),1)*L$231)*(1+IF(AND(OFFSET(Scenarios!$A$24,0,$C$1)="YES",MID(OFFSET(Scenarios!$A$26,0,$C$1),6,2)&gt;=MID(L$3,4,2)),IF(OFFSET(Scenarios!$A$29,0,$C$1)="Wage",1,OFFSET(Scenarios!$A$25,0,$C$1)),1)*L$218)</f>
        <v>232.24511832035648</v>
      </c>
      <c r="M83" s="276">
        <f ca="1">L$83*(1+IF(AND(OFFSET(Scenarios!$A$24,0,$C$1)="YES",MID(OFFSET(Scenarios!$A$26,0,$C$1),6,2)&gt;=MID(M$3,4,2)),IF(OFFSET(Scenarios!$A$29,0,$C$1)="Inflation",1,OFFSET(Scenarios!$A$25,0,$C$1)),1)*M$231)*(1+IF(AND(OFFSET(Scenarios!$A$24,0,$C$1)="YES",MID(OFFSET(Scenarios!$A$26,0,$C$1),6,2)&gt;=MID(M$3,4,2)),IF(OFFSET(Scenarios!$A$29,0,$C$1)="Wage",1,OFFSET(Scenarios!$A$25,0,$C$1)),1)*M$218)</f>
        <v>243.34568017943499</v>
      </c>
      <c r="N83" s="276">
        <f ca="1">M$83*(1+IF(AND(OFFSET(Scenarios!$A$24,0,$C$1)="YES",MID(OFFSET(Scenarios!$A$26,0,$C$1),6,2)&gt;=MID(N$3,4,2)),IF(OFFSET(Scenarios!$A$29,0,$C$1)="Inflation",1,OFFSET(Scenarios!$A$25,0,$C$1)),1)*N$231)*(1+IF(AND(OFFSET(Scenarios!$A$24,0,$C$1)="YES",MID(OFFSET(Scenarios!$A$26,0,$C$1),6,2)&gt;=MID(N$3,4,2)),IF(OFFSET(Scenarios!$A$29,0,$C$1)="Wage",1,OFFSET(Scenarios!$A$25,0,$C$1)),1)*N$218)</f>
        <v>254.97681281855142</v>
      </c>
      <c r="O83" s="276">
        <f ca="1">N$83*(1+IF(AND(OFFSET(Scenarios!$A$24,0,$C$1)="YES",MID(OFFSET(Scenarios!$A$26,0,$C$1),6,2)&gt;=MID(O$3,4,2)),IF(OFFSET(Scenarios!$A$29,0,$C$1)="Inflation",1,OFFSET(Scenarios!$A$25,0,$C$1)),1)*O$231)*(1+IF(AND(OFFSET(Scenarios!$A$24,0,$C$1)="YES",MID(OFFSET(Scenarios!$A$26,0,$C$1),6,2)&gt;=MID(O$3,4,2)),IF(OFFSET(Scenarios!$A$29,0,$C$1)="Wage",1,OFFSET(Scenarios!$A$25,0,$C$1)),1)*O$218)</f>
        <v>267.16387579663649</v>
      </c>
      <c r="P83" s="276">
        <f ca="1">O$83*(1+IF(AND(OFFSET(Scenarios!$A$24,0,$C$1)="YES",MID(OFFSET(Scenarios!$A$26,0,$C$1),6,2)&gt;=MID(P$3,4,2)),IF(OFFSET(Scenarios!$A$29,0,$C$1)="Inflation",1,OFFSET(Scenarios!$A$25,0,$C$1)),1)*P$231)*(1+IF(AND(OFFSET(Scenarios!$A$24,0,$C$1)="YES",MID(OFFSET(Scenarios!$A$26,0,$C$1),6,2)&gt;=MID(P$3,4,2)),IF(OFFSET(Scenarios!$A$29,0,$C$1)="Wage",1,OFFSET(Scenarios!$A$25,0,$C$1)),1)*P$218)</f>
        <v>279.93344077711936</v>
      </c>
      <c r="Q83" s="276">
        <f ca="1">P$83*(1+IF(AND(OFFSET(Scenarios!$A$24,0,$C$1)="YES",MID(OFFSET(Scenarios!$A$26,0,$C$1),6,2)&gt;=MID(Q$3,4,2)),IF(OFFSET(Scenarios!$A$29,0,$C$1)="Inflation",1,OFFSET(Scenarios!$A$25,0,$C$1)),1)*Q$231)*(1+IF(AND(OFFSET(Scenarios!$A$24,0,$C$1)="YES",MID(OFFSET(Scenarios!$A$26,0,$C$1),6,2)&gt;=MID(Q$3,4,2)),IF(OFFSET(Scenarios!$A$29,0,$C$1)="Wage",1,OFFSET(Scenarios!$A$25,0,$C$1)),1)*Q$218)</f>
        <v>293.31334946258312</v>
      </c>
      <c r="R83" s="276">
        <f ca="1">Q$83*(1+IF(AND(OFFSET(Scenarios!$A$24,0,$C$1)="YES",MID(OFFSET(Scenarios!$A$26,0,$C$1),6,2)&gt;=MID(R$3,4,2)),IF(OFFSET(Scenarios!$A$29,0,$C$1)="Inflation",1,OFFSET(Scenarios!$A$25,0,$C$1)),1)*R$231)*(1+IF(AND(OFFSET(Scenarios!$A$24,0,$C$1)="YES",MID(OFFSET(Scenarios!$A$26,0,$C$1),6,2)&gt;=MID(R$3,4,2)),IF(OFFSET(Scenarios!$A$29,0,$C$1)="Wage",1,OFFSET(Scenarios!$A$25,0,$C$1)),1)*R$218)</f>
        <v>303.66731069861225</v>
      </c>
      <c r="S83" s="276">
        <f ca="1">R$83*(1+IF(AND(OFFSET(Scenarios!$A$24,0,$C$1)="YES",MID(OFFSET(Scenarios!$A$26,0,$C$1),6,2)&gt;=MID(S$3,4,2)),IF(OFFSET(Scenarios!$A$29,0,$C$1)="Inflation",1,OFFSET(Scenarios!$A$25,0,$C$1)),1)*S$231)*(1+IF(AND(OFFSET(Scenarios!$A$24,0,$C$1)="YES",MID(OFFSET(Scenarios!$A$26,0,$C$1),6,2)&gt;=MID(S$3,4,2)),IF(OFFSET(Scenarios!$A$29,0,$C$1)="Wage",1,OFFSET(Scenarios!$A$25,0,$C$1)),1)*S$218)</f>
        <v>314.38676676627324</v>
      </c>
      <c r="T83" s="276">
        <f ca="1">S$83*(1+IF(AND(OFFSET(Scenarios!$A$24,0,$C$1)="YES",MID(OFFSET(Scenarios!$A$26,0,$C$1),6,2)&gt;=MID(T$3,4,2)),IF(OFFSET(Scenarios!$A$29,0,$C$1)="Inflation",1,OFFSET(Scenarios!$A$25,0,$C$1)),1)*T$231)*(1+IF(AND(OFFSET(Scenarios!$A$24,0,$C$1)="YES",MID(OFFSET(Scenarios!$A$26,0,$C$1),6,2)&gt;=MID(T$3,4,2)),IF(OFFSET(Scenarios!$A$29,0,$C$1)="Wage",1,OFFSET(Scenarios!$A$25,0,$C$1)),1)*T$218)</f>
        <v>325.48461963312263</v>
      </c>
      <c r="U83" s="54"/>
    </row>
    <row r="84" spans="1:21" x14ac:dyDescent="0.2">
      <c r="A84" s="47" t="s">
        <v>166</v>
      </c>
      <c r="B84" s="62"/>
      <c r="C84" s="99"/>
      <c r="D84" s="282">
        <f>Data!C$186</f>
        <v>213.12</v>
      </c>
      <c r="E84" s="282">
        <f>Data!D$186</f>
        <v>219.9</v>
      </c>
      <c r="F84" s="275">
        <f ca="1">Data!E$186+IF($F$1="Yes",Data!D$186*(OFFSET(ReadyReckoner!$A$38,0,F$260)-OFFSET(ReadyReckoner!$A$28,0,F$260)),0)</f>
        <v>239.75</v>
      </c>
      <c r="G84" s="275">
        <f ca="1">Data!F$186+IF($F$1="Yes",Data!E$186*(OFFSET(ReadyReckoner!$A$38,0,G$260)-OFFSET(ReadyReckoner!$A$28,0,G$260)),0)</f>
        <v>249.29</v>
      </c>
      <c r="H84" s="275">
        <f ca="1">Data!G$186+IF($F$1="Yes",Data!F$186*(OFFSET(ReadyReckoner!$A$38,0,H$260)-OFFSET(ReadyReckoner!$A$28,0,H$260)),0)</f>
        <v>259.70999999999998</v>
      </c>
      <c r="I84" s="275">
        <f ca="1">Data!H$186+IF($F$1="Yes",Data!G$186*(OFFSET(ReadyReckoner!$A$38,0,I$260)-OFFSET(ReadyReckoner!$A$28,0,I$260)),0)</f>
        <v>266.08999999999997</v>
      </c>
      <c r="J84" s="275">
        <f ca="1">Data!I$186+IF($F$1="Yes",Data!H$186*(OFFSET(ReadyReckoner!$A$38,0,J$260)-OFFSET(ReadyReckoner!$A$28,0,J$260)),0)</f>
        <v>272.54000000000002</v>
      </c>
      <c r="K84" s="276">
        <f ca="1">IF(OFFSET(Scenarios!$A$40,0,$C$1)="Yes", IF((2*J$84*(1+K$218))/(K$82-K$83) &gt; OFFSET(Scenarios!$A$41,0,$C$1), J$84*(1+K$218), 0.5*(K$82-K$83)*OFFSET(Scenarios!$A$41,0,$C$1)), J$84*(1+K$218))</f>
        <v>281.28528400664999</v>
      </c>
      <c r="L84" s="276">
        <f ca="1">IF(OFFSET(Scenarios!$A$40,0,$C$1)="Yes", IF((2*K$84*(1+L$218))/(L$82-L$83) &gt; OFFSET(Scenarios!$A$41,0,$C$1), K$84*(1+L$218), 0.5*(L$82-L$83)*OFFSET(Scenarios!$A$41,0,$C$1)), K$84*(1+L$218))</f>
        <v>290.30058218915934</v>
      </c>
      <c r="M84" s="276">
        <f ca="1">IF(OFFSET(Scenarios!$A$40,0,$C$1)="Yes", IF((2*L$84*(1+M$218))/(M$82-M$83) &gt; OFFSET(Scenarios!$A$41,0,$C$1), L$84*(1+M$218), 0.5*(M$82-M$83)*OFFSET(Scenarios!$A$41,0,$C$1)), L$84*(1+M$218))</f>
        <v>299.59043071025451</v>
      </c>
      <c r="N84" s="276">
        <f ca="1">IF(OFFSET(Scenarios!$A$40,0,$C$1)="Yes", IF((2*M$84*(1+N$218))/(N$82-N$83) &gt; OFFSET(Scenarios!$A$41,0,$C$1), M$84*(1+N$218), 0.5*(N$82-N$83)*OFFSET(Scenarios!$A$41,0,$C$1)), M$84*(1+N$218))</f>
        <v>309.16243297182825</v>
      </c>
      <c r="O84" s="276">
        <f ca="1">IF(OFFSET(Scenarios!$A$40,0,$C$1)="Yes", IF((2*N$84*(1+O$218))/(O$82-O$83) &gt; OFFSET(Scenarios!$A$41,0,$C$1), N$84*(1+O$218), 0.5*(O$82-O$83)*OFFSET(Scenarios!$A$41,0,$C$1)), N$84*(1+O$218))</f>
        <v>319.024360965489</v>
      </c>
      <c r="P84" s="276">
        <f ca="1">IF(OFFSET(Scenarios!$A$40,0,$C$1)="Yes", IF((2*O$84*(1+P$218))/(P$82-P$83) &gt; OFFSET(Scenarios!$A$41,0,$C$1), O$84*(1+P$218), 0.5*(P$82-P$83)*OFFSET(Scenarios!$A$41,0,$C$1)), O$84*(1+P$218))</f>
        <v>329.18415645316645</v>
      </c>
      <c r="Q84" s="276">
        <f ca="1">IF(OFFSET(Scenarios!$A$40,0,$C$1)="Yes", IF((2*P$84*(1+Q$218))/(Q$82-Q$83) &gt; OFFSET(Scenarios!$A$41,0,$C$1), P$84*(1+Q$218), 0.5*(Q$82-Q$83)*OFFSET(Scenarios!$A$41,0,$C$1)), P$84*(1+Q$218))</f>
        <v>339.64993196137283</v>
      </c>
      <c r="R84" s="276">
        <f ca="1">IF(OFFSET(Scenarios!$A$40,0,$C$1)="Yes", IF((2*Q$84*(1+R$218))/(R$82-R$83) &gt; OFFSET(Scenarios!$A$41,0,$C$1), Q$84*(1+R$218), 0.5*(R$82-R$83)*OFFSET(Scenarios!$A$41,0,$C$1)), Q$84*(1+R$218))</f>
        <v>351.63957455960929</v>
      </c>
      <c r="S84" s="276">
        <f ca="1">IF(OFFSET(Scenarios!$A$40,0,$C$1)="Yes", IF((2*R$84*(1+S$218))/(S$82-S$83) &gt; OFFSET(Scenarios!$A$41,0,$C$1), R$84*(1+S$218), 0.5*(S$82-S$83)*OFFSET(Scenarios!$A$41,0,$C$1)), R$84*(1+S$218))</f>
        <v>364.05245154156347</v>
      </c>
      <c r="T84" s="276">
        <f ca="1">IF(OFFSET(Scenarios!$A$40,0,$C$1)="Yes", IF((2*S$84*(1+T$218))/(T$82-T$83) &gt; OFFSET(Scenarios!$A$41,0,$C$1), S$84*(1+T$218), 0.5*(T$82-T$83)*OFFSET(Scenarios!$A$41,0,$C$1)), S$84*(1+T$218))</f>
        <v>376.90350308098056</v>
      </c>
      <c r="U84" s="54"/>
    </row>
    <row r="85" spans="1:21" x14ac:dyDescent="0.2">
      <c r="A85" s="47" t="s">
        <v>260</v>
      </c>
      <c r="B85" s="62"/>
      <c r="C85" s="99"/>
      <c r="D85" s="94">
        <f>Data!C$187</f>
        <v>1.268</v>
      </c>
      <c r="E85" s="94">
        <f>Data!D$187</f>
        <v>1.3819999999999999</v>
      </c>
      <c r="F85" s="180">
        <f>Data!E$187</f>
        <v>1.292</v>
      </c>
      <c r="G85" s="180">
        <f>Data!F$187</f>
        <v>1.3420000000000001</v>
      </c>
      <c r="H85" s="180">
        <f>Data!G$187</f>
        <v>1.4590000000000001</v>
      </c>
      <c r="I85" s="180">
        <f>Data!H$187</f>
        <v>1.5840000000000001</v>
      </c>
      <c r="J85" s="180">
        <f>Data!I$187</f>
        <v>1.7</v>
      </c>
      <c r="K85" s="99">
        <f ca="1">J$85*K$73/J$73</f>
        <v>1.8160695875666686</v>
      </c>
      <c r="L85" s="99">
        <f t="shared" ref="L85:T85" ca="1" si="44">K$85*L$73/K$73</f>
        <v>1.9391689114627029</v>
      </c>
      <c r="M85" s="99">
        <f t="shared" ca="1" si="44"/>
        <v>2.0658909060602633</v>
      </c>
      <c r="N85" s="99">
        <f t="shared" ca="1" si="44"/>
        <v>2.1996964245791735</v>
      </c>
      <c r="O85" s="99">
        <f t="shared" ca="1" si="44"/>
        <v>2.3398580983501747</v>
      </c>
      <c r="P85" s="99">
        <f t="shared" ca="1" si="44"/>
        <v>2.4900688509241435</v>
      </c>
      <c r="Q85" s="99">
        <f t="shared" ca="1" si="44"/>
        <v>2.6497472362215011</v>
      </c>
      <c r="R85" s="99">
        <f t="shared" ca="1" si="44"/>
        <v>2.8316622863940153</v>
      </c>
      <c r="S85" s="99">
        <f t="shared" ca="1" si="44"/>
        <v>3.0248410449957639</v>
      </c>
      <c r="T85" s="99">
        <f t="shared" ca="1" si="44"/>
        <v>3.2287240937794053</v>
      </c>
      <c r="U85" s="54"/>
    </row>
    <row r="86" spans="1:21" x14ac:dyDescent="0.2">
      <c r="A86" s="147" t="s">
        <v>656</v>
      </c>
      <c r="B86" s="54"/>
      <c r="C86" s="99"/>
      <c r="D86" s="94">
        <f>Data!C$184</f>
        <v>52</v>
      </c>
      <c r="E86" s="94">
        <f>Data!D$184</f>
        <v>37</v>
      </c>
      <c r="F86" s="180">
        <f ca="1">Data!E$184*(1+IF($F$1="Yes",OFFSET(ReadyReckoner!$A$46,0,F$260),0))</f>
        <v>44</v>
      </c>
      <c r="G86" s="180">
        <f ca="1">Data!F$184*(1+IF($F$1="Yes",OFFSET(ReadyReckoner!$A$46,0,G$260),0))</f>
        <v>60</v>
      </c>
      <c r="H86" s="180">
        <f ca="1">Data!G$184*(1+IF($F$1="Yes",OFFSET(ReadyReckoner!$A$46,0,H$260),0))</f>
        <v>63</v>
      </c>
      <c r="I86" s="180">
        <f ca="1">Data!H$184*(1+IF($F$1="Yes",OFFSET(ReadyReckoner!$A$46,0,I$260),0))</f>
        <v>57</v>
      </c>
      <c r="J86" s="180">
        <f ca="1">Data!I$184*(1+IF($F$1="Yes",OFFSET(ReadyReckoner!$A$46,0,J$260),0))</f>
        <v>50</v>
      </c>
      <c r="K86" s="99">
        <f ca="1">J$86*(K$223*K$226)/(J$223*J$226)</f>
        <v>49.386159619474874</v>
      </c>
      <c r="L86" s="99">
        <f t="shared" ref="L86:T86" ca="1" si="45">K$86*(L$223*L$226)/(K$223*K$226)</f>
        <v>48.765307189599071</v>
      </c>
      <c r="M86" s="99">
        <f t="shared" ca="1" si="45"/>
        <v>48.115997415113348</v>
      </c>
      <c r="N86" s="99">
        <f t="shared" ca="1" si="45"/>
        <v>47.517406306346359</v>
      </c>
      <c r="O86" s="99">
        <f t="shared" ca="1" si="45"/>
        <v>47.839245048401409</v>
      </c>
      <c r="P86" s="99">
        <f t="shared" ca="1" si="45"/>
        <v>48.149391191084597</v>
      </c>
      <c r="Q86" s="99">
        <f t="shared" ca="1" si="45"/>
        <v>48.450368581512151</v>
      </c>
      <c r="R86" s="99">
        <f t="shared" ca="1" si="45"/>
        <v>48.738122287117768</v>
      </c>
      <c r="S86" s="99">
        <f t="shared" ca="1" si="45"/>
        <v>49.026035851231377</v>
      </c>
      <c r="T86" s="99">
        <f t="shared" ca="1" si="45"/>
        <v>49.29270861219419</v>
      </c>
      <c r="U86" s="54"/>
    </row>
    <row r="87" spans="1:21" x14ac:dyDescent="0.2">
      <c r="A87" s="44"/>
      <c r="B87" s="58"/>
      <c r="C87" s="99"/>
      <c r="D87" s="94"/>
      <c r="E87" s="9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</row>
    <row r="88" spans="1:21" x14ac:dyDescent="0.2">
      <c r="A88" s="147" t="s">
        <v>657</v>
      </c>
      <c r="B88" s="103"/>
      <c r="C88" s="99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54"/>
    </row>
    <row r="89" spans="1:21" x14ac:dyDescent="0.2">
      <c r="A89" s="43" t="s">
        <v>175</v>
      </c>
      <c r="B89" s="103"/>
      <c r="C89" s="99"/>
      <c r="D89" s="96">
        <f ca="1">Data!C$42+IF(OFFSET(Scenarios!$A$62,0,$C$1)="Yes",OFFSET(Scenarios!$A$63,0,$C$1)*D$70,0)</f>
        <v>10.355</v>
      </c>
      <c r="E89" s="96">
        <f ca="1">Data!D$42+IF(OFFSET(Scenarios!$A$62,0,$C$1)="Yes",OFFSET(Scenarios!$A$63,0,$C$1)*E$70,0)</f>
        <v>11.297000000000001</v>
      </c>
      <c r="F89" s="187">
        <f ca="1">Data!E$42+IF(OFFSET(Scenarios!$A$62,0,$C$1)="Yes",OFFSET(Scenarios!$A$63,0,$C$1)*F$70,0)+IF($F$1="Yes",Data!E$42*OFFSET(ReadyReckoner!$A$51,0,F$260),0)</f>
        <v>12.674000000000001</v>
      </c>
      <c r="G89" s="187">
        <f ca="1">Data!F$42+IF(OFFSET(Scenarios!$A$62,0,$C$1)="Yes",OFFSET(Scenarios!$A$63,0,$C$1)*G$70,0)+IF($F$1="Yes",Data!F$42*OFFSET(ReadyReckoner!$A$51,0,G$260),0)</f>
        <v>12.744</v>
      </c>
      <c r="H89" s="187">
        <f ca="1">Data!G$42+IF(OFFSET(Scenarios!$A$62,0,$C$1)="Yes",OFFSET(Scenarios!$A$63,0,$C$1)*H$70,0)+IF($F$1="Yes",Data!G$42*OFFSET(ReadyReckoner!$A$51,0,H$260),0)</f>
        <v>12.717000000000001</v>
      </c>
      <c r="I89" s="187">
        <f ca="1">Data!H$42+IF(OFFSET(Scenarios!$A$62,0,$C$1)="Yes",OFFSET(Scenarios!$A$63,0,$C$1)*I$70,0)+IF($F$1="Yes",Data!H$42*OFFSET(ReadyReckoner!$A$51,0,I$260),0)</f>
        <v>12.712</v>
      </c>
      <c r="J89" s="187">
        <f ca="1">Data!I$42+IF(OFFSET(Scenarios!$A$62,0,$C$1)="Yes",OFFSET(Scenarios!$A$63,0,$C$1)*J$70,0)+IF($F$1="Yes",Data!I$42*OFFSET(ReadyReckoner!$A$51,0,J$260),0)</f>
        <v>12.766999999999999</v>
      </c>
      <c r="K89" s="101">
        <f ca="1">J$89*SUM(K$91,K$92)/SUM(J$91,J$92)+IF(OFFSET(Scenarios!$A$62,0,$C$1)="Yes",(K$70-J$70*SUM(K$91,K$92)/SUM(J$91,J$92))*OFFSET(Scenarios!$A$63,0,$C$1),0)</f>
        <v>12.973794841627337</v>
      </c>
      <c r="L89" s="101">
        <f ca="1">K$89*SUM(L$91,L$92)/SUM(K$91,K$92)+IF(OFFSET(Scenarios!$A$62,0,$C$1)="Yes",(L$70-K$70*SUM(L$91,L$92)/SUM(K$91,K$92))*OFFSET(Scenarios!$A$63,0,$C$1),0)</f>
        <v>13.190356478792619</v>
      </c>
      <c r="M89" s="101">
        <f ca="1">L$89*SUM(M$91,M$92)/SUM(L$91,L$92)+IF(OFFSET(Scenarios!$A$62,0,$C$1)="Yes",(M$70-L$70*SUM(M$91,M$92)/SUM(L$91,L$92))*OFFSET(Scenarios!$A$63,0,$C$1),0)</f>
        <v>13.415823962632103</v>
      </c>
      <c r="N89" s="101">
        <f ca="1">M$89*SUM(N$91,N$92)/SUM(M$91,M$92)+IF(OFFSET(Scenarios!$A$62,0,$C$1)="Yes",(N$70-M$70*SUM(N$91,N$92)/SUM(M$91,M$92))*OFFSET(Scenarios!$A$63,0,$C$1),0)</f>
        <v>13.649692698515917</v>
      </c>
      <c r="O89" s="101">
        <f ca="1">N$89*SUM(O$91,O$92)/SUM(N$91,N$92)+IF(OFFSET(Scenarios!$A$62,0,$C$1)="Yes",(O$70-N$70*SUM(O$91,O$92)/SUM(N$91,N$92))*OFFSET(Scenarios!$A$63,0,$C$1),0)</f>
        <v>13.875169204323477</v>
      </c>
      <c r="P89" s="101">
        <f ca="1">O$89*SUM(P$91,P$92)/SUM(O$91,O$92)+IF(OFFSET(Scenarios!$A$62,0,$C$1)="Yes",(P$70-O$70*SUM(P$91,P$92)/SUM(O$91,O$92))*OFFSET(Scenarios!$A$63,0,$C$1),0)</f>
        <v>14.107508747008351</v>
      </c>
      <c r="Q89" s="101">
        <f ca="1">P$89*SUM(Q$91,Q$92)/SUM(P$91,P$92)+IF(OFFSET(Scenarios!$A$62,0,$C$1)="Yes",(Q$70-P$70*SUM(Q$91,Q$92)/SUM(P$91,P$92))*OFFSET(Scenarios!$A$63,0,$C$1),0)</f>
        <v>14.348714634110888</v>
      </c>
      <c r="R89" s="101">
        <f ca="1">Q$89*SUM(R$91,R$92)/SUM(Q$91,Q$92)+IF(OFFSET(Scenarios!$A$62,0,$C$1)="Yes",(R$70-Q$70*SUM(R$91,R$92)/SUM(Q$91,Q$92))*OFFSET(Scenarios!$A$63,0,$C$1),0)</f>
        <v>14.602612194667568</v>
      </c>
      <c r="S89" s="101">
        <f ca="1">R$89*SUM(S$91,S$92)/SUM(R$91,R$92)+IF(OFFSET(Scenarios!$A$62,0,$C$1)="Yes",(S$70-R$70*SUM(S$91,S$92)/SUM(R$91,R$92))*OFFSET(Scenarios!$A$63,0,$C$1),0)</f>
        <v>14.872224673984233</v>
      </c>
      <c r="T89" s="101">
        <f ca="1">S$89*SUM(T$91,T$92)/SUM(S$91,S$92)+IF(OFFSET(Scenarios!$A$62,0,$C$1)="Yes",(T$70-S$70*SUM(T$91,T$92)/SUM(S$91,S$92))*OFFSET(Scenarios!$A$63,0,$C$1),0)</f>
        <v>15.127621069035266</v>
      </c>
      <c r="U89" s="54"/>
    </row>
    <row r="90" spans="1:21" x14ac:dyDescent="0.2">
      <c r="A90" s="43" t="s">
        <v>176</v>
      </c>
      <c r="B90" s="103"/>
      <c r="C90" s="99"/>
      <c r="D90" s="96">
        <f ca="1">Data!C$16-Data!C$42+D$89</f>
        <v>10.661</v>
      </c>
      <c r="E90" s="96">
        <f ca="1">Data!D$16-Data!D$42+E$89</f>
        <v>10.808999999999999</v>
      </c>
      <c r="F90" s="187">
        <f ca="1">Data!E$16-Data!E$42+F$89</f>
        <v>11.884</v>
      </c>
      <c r="G90" s="187">
        <f ca="1">Data!F$16-Data!F$42+G$89</f>
        <v>11.874000000000001</v>
      </c>
      <c r="H90" s="187">
        <f ca="1">Data!G$16-Data!G$42+H$89</f>
        <v>11.864000000000001</v>
      </c>
      <c r="I90" s="187">
        <f ca="1">Data!H$16-Data!H$42+I$89</f>
        <v>11.861000000000001</v>
      </c>
      <c r="J90" s="187">
        <f ca="1">Data!I$16-Data!I$42+J$89</f>
        <v>11.917</v>
      </c>
      <c r="K90" s="101">
        <f ca="1">(J$90-J$89)*SUM(K$91,K$92)/SUM(J$91,J$92)+K$89</f>
        <v>12.110026876139498</v>
      </c>
      <c r="L90" s="101">
        <f t="shared" ref="L90:T90" ca="1" si="46">(K$90-K$89)*SUM(L$91,L$92)/SUM(K$91,K$92)+L$89</f>
        <v>12.312170295118012</v>
      </c>
      <c r="M90" s="101">
        <f t="shared" ca="1" si="46"/>
        <v>12.522626628235827</v>
      </c>
      <c r="N90" s="101">
        <f t="shared" ca="1" si="46"/>
        <v>12.740924875711929</v>
      </c>
      <c r="O90" s="101">
        <f t="shared" ca="1" si="46"/>
        <v>12.951389630134166</v>
      </c>
      <c r="P90" s="101">
        <f t="shared" ca="1" si="46"/>
        <v>13.168260494877304</v>
      </c>
      <c r="Q90" s="101">
        <f t="shared" ca="1" si="46"/>
        <v>13.393407401480337</v>
      </c>
      <c r="R90" s="101">
        <f t="shared" ca="1" si="46"/>
        <v>13.630400996620461</v>
      </c>
      <c r="S90" s="101">
        <f t="shared" ca="1" si="46"/>
        <v>13.882063244291542</v>
      </c>
      <c r="T90" s="101">
        <f t="shared" ca="1" si="46"/>
        <v>14.120455884678725</v>
      </c>
      <c r="U90" s="54"/>
    </row>
    <row r="91" spans="1:21" x14ac:dyDescent="0.2">
      <c r="A91" s="147" t="s">
        <v>102</v>
      </c>
      <c r="B91" s="103"/>
      <c r="C91" s="99"/>
      <c r="D91" s="94">
        <f>SUM(SUM(Popn!D$9:D$13)*Tracks!$M$50,SUM(Popn!D$14:D$18)*Tracks!$M$51,SUM(Popn!D$19:D$23)*Tracks!$M$52,SUM(Popn!D$24:D$28)*Tracks!$M$53,SUM(Popn!D$29:D$33)*Tracks!$M$54,SUM(Popn!D$34:D$38)*Tracks!$M$55,SUM(Popn!D$39:D$43)*Tracks!$M$56,SUM(Popn!D$44:D$48)*Tracks!$M$57,SUM(Popn!D$49:D$53)*Tracks!$M$58,SUM(Popn!D$54:D$58)*Tracks!$M$59,SUM(Popn!D$59:D$63)*Tracks!$M$60,SUM(Popn!D$64:D$68)*Tracks!$M$61,SUM(Popn!D$69:D$73)*Tracks!$M$62,SUM(Popn!D$74:D$78)*Tracks!$M$63,SUM(Popn!D$79:D$83)*Tracks!$M$64,SUM(Popn!D$84:D$88)*Tracks!$M$65,SUM(Popn!D$89:D$93)*Tracks!$M$66,SUM(Popn!D$94:D$99)*Tracks!$M$67)/1000000000</f>
        <v>4.3046136455913269</v>
      </c>
      <c r="E91" s="94">
        <f>SUM(SUM(Popn!E$9:E$13)*Tracks!$M$50,SUM(Popn!E$14:E$18)*Tracks!$M$51,SUM(Popn!E$19:E$23)*Tracks!$M$52,SUM(Popn!E$24:E$28)*Tracks!$M$53,SUM(Popn!E$29:E$33)*Tracks!$M$54,SUM(Popn!E$34:E$38)*Tracks!$M$55,SUM(Popn!E$39:E$43)*Tracks!$M$56,SUM(Popn!E$44:E$48)*Tracks!$M$57,SUM(Popn!E$49:E$53)*Tracks!$M$58,SUM(Popn!E$54:E$58)*Tracks!$M$59,SUM(Popn!E$59:E$63)*Tracks!$M$60,SUM(Popn!E$64:E$68)*Tracks!$M$61,SUM(Popn!E$69:E$73)*Tracks!$M$62,SUM(Popn!E$74:E$78)*Tracks!$M$63,SUM(Popn!E$79:E$83)*Tracks!$M$64,SUM(Popn!E$84:E$88)*Tracks!$M$65,SUM(Popn!E$89:E$93)*Tracks!$M$66,SUM(Popn!E$94:E$99)*Tracks!$M$67)/1000000000</f>
        <v>4.3896674057440048</v>
      </c>
      <c r="F91" s="180">
        <f>SUM(SUM(Popn!F$9:F$13)*Tracks!$M$50,SUM(Popn!F$14:F$18)*Tracks!$M$51,SUM(Popn!F$19:F$23)*Tracks!$M$52,SUM(Popn!F$24:F$28)*Tracks!$M$53,SUM(Popn!F$29:F$33)*Tracks!$M$54,SUM(Popn!F$34:F$38)*Tracks!$M$55,SUM(Popn!F$39:F$43)*Tracks!$M$56,SUM(Popn!F$44:F$48)*Tracks!$M$57,SUM(Popn!F$49:F$53)*Tracks!$M$58,SUM(Popn!F$54:F$58)*Tracks!$M$59,SUM(Popn!F$59:F$63)*Tracks!$M$60,SUM(Popn!F$64:F$68)*Tracks!$M$61,SUM(Popn!F$69:F$73)*Tracks!$M$62,SUM(Popn!F$74:F$78)*Tracks!$M$63,SUM(Popn!F$79:F$83)*Tracks!$M$64,SUM(Popn!F$84:F$88)*Tracks!$M$65,SUM(Popn!F$89:F$93)*Tracks!$M$66,SUM(Popn!F$94:F$99)*Tracks!$M$67)/1000000000</f>
        <v>4.4743556837192511</v>
      </c>
      <c r="G91" s="180">
        <f>SUM(SUM(Popn!G$9:G$13)*Tracks!$M$50,SUM(Popn!G$14:G$18)*Tracks!$M$51,SUM(Popn!G$19:G$23)*Tracks!$M$52,SUM(Popn!G$24:G$28)*Tracks!$M$53,SUM(Popn!G$29:G$33)*Tracks!$M$54,SUM(Popn!G$34:G$38)*Tracks!$M$55,SUM(Popn!G$39:G$43)*Tracks!$M$56,SUM(Popn!G$44:G$48)*Tracks!$M$57,SUM(Popn!G$49:G$53)*Tracks!$M$58,SUM(Popn!G$54:G$58)*Tracks!$M$59,SUM(Popn!G$59:G$63)*Tracks!$M$60,SUM(Popn!G$64:G$68)*Tracks!$M$61,SUM(Popn!G$69:G$73)*Tracks!$M$62,SUM(Popn!G$74:G$78)*Tracks!$M$63,SUM(Popn!G$79:G$83)*Tracks!$M$64,SUM(Popn!G$84:G$88)*Tracks!$M$65,SUM(Popn!G$89:G$93)*Tracks!$M$66,SUM(Popn!G$94:G$99)*Tracks!$M$67)/1000000000</f>
        <v>4.5619841972691129</v>
      </c>
      <c r="H91" s="180">
        <f>SUM(SUM(Popn!H$9:H$13)*Tracks!$M$50,SUM(Popn!H$14:H$18)*Tracks!$M$51,SUM(Popn!H$19:H$23)*Tracks!$M$52,SUM(Popn!H$24:H$28)*Tracks!$M$53,SUM(Popn!H$29:H$33)*Tracks!$M$54,SUM(Popn!H$34:H$38)*Tracks!$M$55,SUM(Popn!H$39:H$43)*Tracks!$M$56,SUM(Popn!H$44:H$48)*Tracks!$M$57,SUM(Popn!H$49:H$53)*Tracks!$M$58,SUM(Popn!H$54:H$58)*Tracks!$M$59,SUM(Popn!H$59:H$63)*Tracks!$M$60,SUM(Popn!H$64:H$68)*Tracks!$M$61,SUM(Popn!H$69:H$73)*Tracks!$M$62,SUM(Popn!H$74:H$78)*Tracks!$M$63,SUM(Popn!H$79:H$83)*Tracks!$M$64,SUM(Popn!H$84:H$88)*Tracks!$M$65,SUM(Popn!H$89:H$93)*Tracks!$M$66,SUM(Popn!H$94:H$99)*Tracks!$M$67)/1000000000</f>
        <v>4.6501545240352264</v>
      </c>
      <c r="I91" s="180">
        <f>SUM(SUM(Popn!I$9:I$13)*Tracks!$M$50,SUM(Popn!I$14:I$18)*Tracks!$M$51,SUM(Popn!I$19:I$23)*Tracks!$M$52,SUM(Popn!I$24:I$28)*Tracks!$M$53,SUM(Popn!I$29:I$33)*Tracks!$M$54,SUM(Popn!I$34:I$38)*Tracks!$M$55,SUM(Popn!I$39:I$43)*Tracks!$M$56,SUM(Popn!I$44:I$48)*Tracks!$M$57,SUM(Popn!I$49:I$53)*Tracks!$M$58,SUM(Popn!I$54:I$58)*Tracks!$M$59,SUM(Popn!I$59:I$63)*Tracks!$M$60,SUM(Popn!I$64:I$68)*Tracks!$M$61,SUM(Popn!I$69:I$73)*Tracks!$M$62,SUM(Popn!I$74:I$78)*Tracks!$M$63,SUM(Popn!I$79:I$83)*Tracks!$M$64,SUM(Popn!I$84:I$88)*Tracks!$M$65,SUM(Popn!I$89:I$93)*Tracks!$M$66,SUM(Popn!I$94:I$99)*Tracks!$M$67)/1000000000</f>
        <v>4.7371239169524326</v>
      </c>
      <c r="J91" s="180">
        <f>SUM(SUM(Popn!J$9:J$13)*Tracks!$M$50,SUM(Popn!J$14:J$18)*Tracks!$M$51,SUM(Popn!J$19:J$23)*Tracks!$M$52,SUM(Popn!J$24:J$28)*Tracks!$M$53,SUM(Popn!J$29:J$33)*Tracks!$M$54,SUM(Popn!J$34:J$38)*Tracks!$M$55,SUM(Popn!J$39:J$43)*Tracks!$M$56,SUM(Popn!J$44:J$48)*Tracks!$M$57,SUM(Popn!J$49:J$53)*Tracks!$M$58,SUM(Popn!J$54:J$58)*Tracks!$M$59,SUM(Popn!J$59:J$63)*Tracks!$M$60,SUM(Popn!J$64:J$68)*Tracks!$M$61,SUM(Popn!J$69:J$73)*Tracks!$M$62,SUM(Popn!J$74:J$78)*Tracks!$M$63,SUM(Popn!J$79:J$83)*Tracks!$M$64,SUM(Popn!J$84:J$88)*Tracks!$M$65,SUM(Popn!J$89:J$93)*Tracks!$M$66,SUM(Popn!J$94:J$99)*Tracks!$M$67)/1000000000</f>
        <v>4.8196656302436729</v>
      </c>
      <c r="K91" s="99">
        <f>SUM(SUM(Popn!K$9:K$13)*Tracks!$M$50,SUM(Popn!K$14:K$18)*Tracks!$M$51,SUM(Popn!K$19:K$23)*Tracks!$M$52,SUM(Popn!K$24:K$28)*Tracks!$M$53,SUM(Popn!K$29:K$33)*Tracks!$M$54,SUM(Popn!K$34:K$38)*Tracks!$M$55,SUM(Popn!K$39:K$43)*Tracks!$M$56,SUM(Popn!K$44:K$48)*Tracks!$M$57,SUM(Popn!K$49:K$53)*Tracks!$M$58,SUM(Popn!K$54:K$58)*Tracks!$M$59,SUM(Popn!K$59:K$63)*Tracks!$M$60,SUM(Popn!K$64:K$68)*Tracks!$M$61,SUM(Popn!K$69:K$73)*Tracks!$M$62,SUM(Popn!K$74:K$78)*Tracks!$M$63,SUM(Popn!K$79:K$83)*Tracks!$M$64,SUM(Popn!K$84:K$88)*Tracks!$M$65,SUM(Popn!K$89:K$93)*Tracks!$M$66,SUM(Popn!K$94:K$99)*Tracks!$M$67)/1000000000</f>
        <v>4.9043321606753372</v>
      </c>
      <c r="L91" s="99">
        <f>SUM(SUM(Popn!L$9:L$13)*Tracks!$M$50,SUM(Popn!L$14:L$18)*Tracks!$M$51,SUM(Popn!L$19:L$23)*Tracks!$M$52,SUM(Popn!L$24:L$28)*Tracks!$M$53,SUM(Popn!L$29:L$33)*Tracks!$M$54,SUM(Popn!L$34:L$38)*Tracks!$M$55,SUM(Popn!L$39:L$43)*Tracks!$M$56,SUM(Popn!L$44:L$48)*Tracks!$M$57,SUM(Popn!L$49:L$53)*Tracks!$M$58,SUM(Popn!L$54:L$58)*Tracks!$M$59,SUM(Popn!L$59:L$63)*Tracks!$M$60,SUM(Popn!L$64:L$68)*Tracks!$M$61,SUM(Popn!L$69:L$73)*Tracks!$M$62,SUM(Popn!L$74:L$78)*Tracks!$M$63,SUM(Popn!L$79:L$83)*Tracks!$M$64,SUM(Popn!L$84:L$88)*Tracks!$M$65,SUM(Popn!L$89:L$93)*Tracks!$M$66,SUM(Popn!L$94:L$99)*Tracks!$M$67)/1000000000</f>
        <v>4.9916146107634818</v>
      </c>
      <c r="M91" s="99">
        <f>SUM(SUM(Popn!M$9:M$13)*Tracks!$M$50,SUM(Popn!M$14:M$18)*Tracks!$M$51,SUM(Popn!M$19:M$23)*Tracks!$M$52,SUM(Popn!M$24:M$28)*Tracks!$M$53,SUM(Popn!M$29:M$33)*Tracks!$M$54,SUM(Popn!M$34:M$38)*Tracks!$M$55,SUM(Popn!M$39:M$43)*Tracks!$M$56,SUM(Popn!M$44:M$48)*Tracks!$M$57,SUM(Popn!M$49:M$53)*Tracks!$M$58,SUM(Popn!M$54:M$58)*Tracks!$M$59,SUM(Popn!M$59:M$63)*Tracks!$M$60,SUM(Popn!M$64:M$68)*Tracks!$M$61,SUM(Popn!M$69:M$73)*Tracks!$M$62,SUM(Popn!M$74:M$78)*Tracks!$M$63,SUM(Popn!M$79:M$83)*Tracks!$M$64,SUM(Popn!M$84:M$88)*Tracks!$M$65,SUM(Popn!M$89:M$93)*Tracks!$M$66,SUM(Popn!M$94:M$99)*Tracks!$M$67)/1000000000</f>
        <v>5.0818345229101674</v>
      </c>
      <c r="N91" s="99">
        <f>SUM(SUM(Popn!N$9:N$13)*Tracks!$M$50,SUM(Popn!N$14:N$18)*Tracks!$M$51,SUM(Popn!N$19:N$23)*Tracks!$M$52,SUM(Popn!N$24:N$28)*Tracks!$M$53,SUM(Popn!N$29:N$33)*Tracks!$M$54,SUM(Popn!N$34:N$38)*Tracks!$M$55,SUM(Popn!N$39:N$43)*Tracks!$M$56,SUM(Popn!N$44:N$48)*Tracks!$M$57,SUM(Popn!N$49:N$53)*Tracks!$M$58,SUM(Popn!N$54:N$58)*Tracks!$M$59,SUM(Popn!N$59:N$63)*Tracks!$M$60,SUM(Popn!N$64:N$68)*Tracks!$M$61,SUM(Popn!N$69:N$73)*Tracks!$M$62,SUM(Popn!N$74:N$78)*Tracks!$M$63,SUM(Popn!N$79:N$83)*Tracks!$M$64,SUM(Popn!N$84:N$88)*Tracks!$M$65,SUM(Popn!N$89:N$93)*Tracks!$M$66,SUM(Popn!N$94:N$99)*Tracks!$M$67)/1000000000</f>
        <v>5.1761882493434852</v>
      </c>
      <c r="O91" s="99">
        <f>SUM(SUM(Popn!O$9:O$13)*Tracks!$M$50,SUM(Popn!O$14:O$18)*Tracks!$M$51,SUM(Popn!O$19:O$23)*Tracks!$M$52,SUM(Popn!O$24:O$28)*Tracks!$M$53,SUM(Popn!O$29:O$33)*Tracks!$M$54,SUM(Popn!O$34:O$38)*Tracks!$M$55,SUM(Popn!O$39:O$43)*Tracks!$M$56,SUM(Popn!O$44:O$48)*Tracks!$M$57,SUM(Popn!O$49:O$53)*Tracks!$M$58,SUM(Popn!O$54:O$58)*Tracks!$M$59,SUM(Popn!O$59:O$63)*Tracks!$M$60,SUM(Popn!O$64:O$68)*Tracks!$M$61,SUM(Popn!O$69:O$73)*Tracks!$M$62,SUM(Popn!O$74:O$78)*Tracks!$M$63,SUM(Popn!O$79:O$83)*Tracks!$M$64,SUM(Popn!O$84:O$88)*Tracks!$M$65,SUM(Popn!O$89:O$93)*Tracks!$M$66,SUM(Popn!O$94:O$99)*Tracks!$M$67)/1000000000</f>
        <v>5.2660622383500924</v>
      </c>
      <c r="P91" s="99">
        <f>SUM(SUM(Popn!P$9:P$13)*Tracks!$M$50,SUM(Popn!P$14:P$18)*Tracks!$M$51,SUM(Popn!P$19:P$23)*Tracks!$M$52,SUM(Popn!P$24:P$28)*Tracks!$M$53,SUM(Popn!P$29:P$33)*Tracks!$M$54,SUM(Popn!P$34:P$38)*Tracks!$M$55,SUM(Popn!P$39:P$43)*Tracks!$M$56,SUM(Popn!P$44:P$48)*Tracks!$M$57,SUM(Popn!P$49:P$53)*Tracks!$M$58,SUM(Popn!P$54:P$58)*Tracks!$M$59,SUM(Popn!P$59:P$63)*Tracks!$M$60,SUM(Popn!P$64:P$68)*Tracks!$M$61,SUM(Popn!P$69:P$73)*Tracks!$M$62,SUM(Popn!P$74:P$78)*Tracks!$M$63,SUM(Popn!P$79:P$83)*Tracks!$M$64,SUM(Popn!P$84:P$88)*Tracks!$M$65,SUM(Popn!P$89:P$93)*Tracks!$M$66,SUM(Popn!P$94:P$99)*Tracks!$M$67)/1000000000</f>
        <v>5.3585246853833546</v>
      </c>
      <c r="Q91" s="99">
        <f>SUM(SUM(Popn!Q$9:Q$13)*Tracks!$M$50,SUM(Popn!Q$14:Q$18)*Tracks!$M$51,SUM(Popn!Q$19:Q$23)*Tracks!$M$52,SUM(Popn!Q$24:Q$28)*Tracks!$M$53,SUM(Popn!Q$29:Q$33)*Tracks!$M$54,SUM(Popn!Q$34:Q$38)*Tracks!$M$55,SUM(Popn!Q$39:Q$43)*Tracks!$M$56,SUM(Popn!Q$44:Q$48)*Tracks!$M$57,SUM(Popn!Q$49:Q$53)*Tracks!$M$58,SUM(Popn!Q$54:Q$58)*Tracks!$M$59,SUM(Popn!Q$59:Q$63)*Tracks!$M$60,SUM(Popn!Q$64:Q$68)*Tracks!$M$61,SUM(Popn!Q$69:Q$73)*Tracks!$M$62,SUM(Popn!Q$74:Q$78)*Tracks!$M$63,SUM(Popn!Q$79:Q$83)*Tracks!$M$64,SUM(Popn!Q$84:Q$88)*Tracks!$M$65,SUM(Popn!Q$89:Q$93)*Tracks!$M$66,SUM(Popn!Q$94:Q$99)*Tracks!$M$67)/1000000000</f>
        <v>5.4539179263044248</v>
      </c>
      <c r="R91" s="99">
        <f>SUM(SUM(Popn!R$9:R$13)*Tracks!$M$50,SUM(Popn!R$14:R$18)*Tracks!$M$51,SUM(Popn!R$19:R$23)*Tracks!$M$52,SUM(Popn!R$24:R$28)*Tracks!$M$53,SUM(Popn!R$29:R$33)*Tracks!$M$54,SUM(Popn!R$34:R$38)*Tracks!$M$55,SUM(Popn!R$39:R$43)*Tracks!$M$56,SUM(Popn!R$44:R$48)*Tracks!$M$57,SUM(Popn!R$49:R$53)*Tracks!$M$58,SUM(Popn!R$54:R$58)*Tracks!$M$59,SUM(Popn!R$59:R$63)*Tracks!$M$60,SUM(Popn!R$64:R$68)*Tracks!$M$61,SUM(Popn!R$69:R$73)*Tracks!$M$62,SUM(Popn!R$74:R$78)*Tracks!$M$63,SUM(Popn!R$79:R$83)*Tracks!$M$64,SUM(Popn!R$84:R$88)*Tracks!$M$65,SUM(Popn!R$89:R$93)*Tracks!$M$66,SUM(Popn!R$94:R$99)*Tracks!$M$67)/1000000000</f>
        <v>5.5521705558361987</v>
      </c>
      <c r="S91" s="99">
        <f>SUM(SUM(Popn!S$9:S$13)*Tracks!$M$50,SUM(Popn!S$14:S$18)*Tracks!$M$51,SUM(Popn!S$19:S$23)*Tracks!$M$52,SUM(Popn!S$24:S$28)*Tracks!$M$53,SUM(Popn!S$29:S$33)*Tracks!$M$54,SUM(Popn!S$34:S$38)*Tracks!$M$55,SUM(Popn!S$39:S$43)*Tracks!$M$56,SUM(Popn!S$44:S$48)*Tracks!$M$57,SUM(Popn!S$49:S$53)*Tracks!$M$58,SUM(Popn!S$54:S$58)*Tracks!$M$59,SUM(Popn!S$59:S$63)*Tracks!$M$60,SUM(Popn!S$64:S$68)*Tracks!$M$61,SUM(Popn!S$69:S$73)*Tracks!$M$62,SUM(Popn!S$74:S$78)*Tracks!$M$63,SUM(Popn!S$79:S$83)*Tracks!$M$64,SUM(Popn!S$84:S$88)*Tracks!$M$65,SUM(Popn!S$89:S$93)*Tracks!$M$66,SUM(Popn!S$94:S$99)*Tracks!$M$67)/1000000000</f>
        <v>5.6557683088026698</v>
      </c>
      <c r="T91" s="99">
        <f>SUM(SUM(Popn!T$9:T$13)*Tracks!$M$50,SUM(Popn!T$14:T$18)*Tracks!$M$51,SUM(Popn!T$19:T$23)*Tracks!$M$52,SUM(Popn!T$24:T$28)*Tracks!$M$53,SUM(Popn!T$29:T$33)*Tracks!$M$54,SUM(Popn!T$34:T$38)*Tracks!$M$55,SUM(Popn!T$39:T$43)*Tracks!$M$56,SUM(Popn!T$44:T$48)*Tracks!$M$57,SUM(Popn!T$49:T$53)*Tracks!$M$58,SUM(Popn!T$54:T$58)*Tracks!$M$59,SUM(Popn!T$59:T$63)*Tracks!$M$60,SUM(Popn!T$64:T$68)*Tracks!$M$61,SUM(Popn!T$69:T$73)*Tracks!$M$62,SUM(Popn!T$74:T$78)*Tracks!$M$63,SUM(Popn!T$79:T$83)*Tracks!$M$64,SUM(Popn!T$84:T$88)*Tracks!$M$65,SUM(Popn!T$89:T$93)*Tracks!$M$66,SUM(Popn!T$94:T$99)*Tracks!$M$67)/1000000000</f>
        <v>5.7537636017446907</v>
      </c>
      <c r="U91" s="54"/>
    </row>
    <row r="92" spans="1:21" x14ac:dyDescent="0.2">
      <c r="A92" s="147" t="s">
        <v>103</v>
      </c>
      <c r="B92" s="103"/>
      <c r="C92" s="99"/>
      <c r="D92" s="117">
        <f>SUM(SUM(Popn!D$103:D$107)*Tracks!$L$50,SUM(Popn!D$108:D$112)*Tracks!$L$51,SUM(Popn!D$113:D$117)*Tracks!$L$52,SUM(Popn!D$118:D$122)*Tracks!$L$53,SUM(Popn!D$123:D$127)*Tracks!$L$54,SUM(Popn!D$128:D$132)*Tracks!$L$55,SUM(Popn!D$133:D$137)*Tracks!$L$56,SUM(Popn!D$138:D$142)*Tracks!$L$57,SUM(Popn!D$143:D$147)*Tracks!$L$58,SUM(Popn!D$148:D$152)*Tracks!$L$59,SUM(Popn!D$153:D$157)*Tracks!$L$60,SUM(Popn!D$158:D$162)*Tracks!$L$61,SUM(Popn!D$163:D$167)*Tracks!$L$62,SUM(Popn!D$168:D$172)*Tracks!$L$63,SUM(Popn!D$173:D$177)*Tracks!$L$64,SUM(Popn!D$178:D$182)*Tracks!$L$65,SUM(Popn!D$183:D$187)*Tracks!$L$66,SUM(Popn!D$188:D$193)*Tracks!$L$67)/1000000000</f>
        <v>5.0262368690498418</v>
      </c>
      <c r="E92" s="117">
        <f>SUM(SUM(Popn!E$103:E$107)*Tracks!$L$50,SUM(Popn!E$108:E$112)*Tracks!$L$51,SUM(Popn!E$113:E$117)*Tracks!$L$52,SUM(Popn!E$118:E$122)*Tracks!$L$53,SUM(Popn!E$123:E$127)*Tracks!$L$54,SUM(Popn!E$128:E$132)*Tracks!$L$55,SUM(Popn!E$133:E$137)*Tracks!$L$56,SUM(Popn!E$138:E$142)*Tracks!$L$57,SUM(Popn!E$143:E$147)*Tracks!$L$58,SUM(Popn!E$148:E$152)*Tracks!$L$59,SUM(Popn!E$153:E$157)*Tracks!$L$60,SUM(Popn!E$158:E$162)*Tracks!$L$61,SUM(Popn!E$163:E$167)*Tracks!$L$62,SUM(Popn!E$168:E$172)*Tracks!$L$63,SUM(Popn!E$173:E$177)*Tracks!$L$64,SUM(Popn!E$178:E$182)*Tracks!$L$65,SUM(Popn!E$183:E$187)*Tracks!$L$66,SUM(Popn!E$188:E$193)*Tracks!$L$67)/1000000000</f>
        <v>5.1015756866571271</v>
      </c>
      <c r="F92" s="185">
        <f>SUM(SUM(Popn!F$103:F$107)*Tracks!$L$50,SUM(Popn!F$108:F$112)*Tracks!$L$51,SUM(Popn!F$113:F$117)*Tracks!$L$52,SUM(Popn!F$118:F$122)*Tracks!$L$53,SUM(Popn!F$123:F$127)*Tracks!$L$54,SUM(Popn!F$128:F$132)*Tracks!$L$55,SUM(Popn!F$133:F$137)*Tracks!$L$56,SUM(Popn!F$138:F$142)*Tracks!$L$57,SUM(Popn!F$143:F$147)*Tracks!$L$58,SUM(Popn!F$148:F$152)*Tracks!$L$59,SUM(Popn!F$153:F$157)*Tracks!$L$60,SUM(Popn!F$158:F$162)*Tracks!$L$61,SUM(Popn!F$163:F$167)*Tracks!$L$62,SUM(Popn!F$168:F$172)*Tracks!$L$63,SUM(Popn!F$173:F$177)*Tracks!$L$64,SUM(Popn!F$178:F$182)*Tracks!$L$65,SUM(Popn!F$183:F$187)*Tracks!$L$66,SUM(Popn!F$188:F$193)*Tracks!$L$67)/1000000000</f>
        <v>5.1793406947113052</v>
      </c>
      <c r="G92" s="185">
        <f>SUM(SUM(Popn!G$103:G$107)*Tracks!$L$50,SUM(Popn!G$108:G$112)*Tracks!$L$51,SUM(Popn!G$113:G$117)*Tracks!$L$52,SUM(Popn!G$118:G$122)*Tracks!$L$53,SUM(Popn!G$123:G$127)*Tracks!$L$54,SUM(Popn!G$128:G$132)*Tracks!$L$55,SUM(Popn!G$133:G$137)*Tracks!$L$56,SUM(Popn!G$138:G$142)*Tracks!$L$57,SUM(Popn!G$143:G$147)*Tracks!$L$58,SUM(Popn!G$148:G$152)*Tracks!$L$59,SUM(Popn!G$153:G$157)*Tracks!$L$60,SUM(Popn!G$158:G$162)*Tracks!$L$61,SUM(Popn!G$163:G$167)*Tracks!$L$62,SUM(Popn!G$168:G$172)*Tracks!$L$63,SUM(Popn!G$173:G$177)*Tracks!$L$64,SUM(Popn!G$178:G$182)*Tracks!$L$65,SUM(Popn!G$183:G$187)*Tracks!$L$66,SUM(Popn!G$188:G$193)*Tracks!$L$67)/1000000000</f>
        <v>5.2627540184003436</v>
      </c>
      <c r="H92" s="185">
        <f>SUM(SUM(Popn!H$103:H$107)*Tracks!$L$50,SUM(Popn!H$108:H$112)*Tracks!$L$51,SUM(Popn!H$113:H$117)*Tracks!$L$52,SUM(Popn!H$118:H$122)*Tracks!$L$53,SUM(Popn!H$123:H$127)*Tracks!$L$54,SUM(Popn!H$128:H$132)*Tracks!$L$55,SUM(Popn!H$133:H$137)*Tracks!$L$56,SUM(Popn!H$138:H$142)*Tracks!$L$57,SUM(Popn!H$143:H$147)*Tracks!$L$58,SUM(Popn!H$148:H$152)*Tracks!$L$59,SUM(Popn!H$153:H$157)*Tracks!$L$60,SUM(Popn!H$158:H$162)*Tracks!$L$61,SUM(Popn!H$163:H$167)*Tracks!$L$62,SUM(Popn!H$168:H$172)*Tracks!$L$63,SUM(Popn!H$173:H$177)*Tracks!$L$64,SUM(Popn!H$178:H$182)*Tracks!$L$65,SUM(Popn!H$183:H$187)*Tracks!$L$66,SUM(Popn!H$188:H$193)*Tracks!$L$67)/1000000000</f>
        <v>5.346709763980142</v>
      </c>
      <c r="I92" s="185">
        <f>SUM(SUM(Popn!I$103:I$107)*Tracks!$L$50,SUM(Popn!I$108:I$112)*Tracks!$L$51,SUM(Popn!I$113:I$117)*Tracks!$L$52,SUM(Popn!I$118:I$122)*Tracks!$L$53,SUM(Popn!I$123:I$127)*Tracks!$L$54,SUM(Popn!I$128:I$132)*Tracks!$L$55,SUM(Popn!I$133:I$137)*Tracks!$L$56,SUM(Popn!I$138:I$142)*Tracks!$L$57,SUM(Popn!I$143:I$147)*Tracks!$L$58,SUM(Popn!I$148:I$152)*Tracks!$L$59,SUM(Popn!I$153:I$157)*Tracks!$L$60,SUM(Popn!I$158:I$162)*Tracks!$L$61,SUM(Popn!I$163:I$167)*Tracks!$L$62,SUM(Popn!I$168:I$172)*Tracks!$L$63,SUM(Popn!I$173:I$177)*Tracks!$L$64,SUM(Popn!I$178:I$182)*Tracks!$L$65,SUM(Popn!I$183:I$187)*Tracks!$L$66,SUM(Popn!I$188:I$193)*Tracks!$L$67)/1000000000</f>
        <v>5.4294250339880312</v>
      </c>
      <c r="J92" s="185">
        <f>SUM(SUM(Popn!J$103:J$107)*Tracks!$L$50,SUM(Popn!J$108:J$112)*Tracks!$L$51,SUM(Popn!J$113:J$117)*Tracks!$L$52,SUM(Popn!J$118:J$122)*Tracks!$L$53,SUM(Popn!J$123:J$127)*Tracks!$L$54,SUM(Popn!J$128:J$132)*Tracks!$L$55,SUM(Popn!J$133:J$137)*Tracks!$L$56,SUM(Popn!J$138:J$142)*Tracks!$L$57,SUM(Popn!J$143:J$147)*Tracks!$L$58,SUM(Popn!J$148:J$152)*Tracks!$L$59,SUM(Popn!J$153:J$157)*Tracks!$L$60,SUM(Popn!J$158:J$162)*Tracks!$L$61,SUM(Popn!J$163:J$167)*Tracks!$L$62,SUM(Popn!J$168:J$172)*Tracks!$L$63,SUM(Popn!J$173:J$177)*Tracks!$L$64,SUM(Popn!J$178:J$182)*Tracks!$L$65,SUM(Popn!J$183:J$187)*Tracks!$L$66,SUM(Popn!J$188:J$193)*Tracks!$L$67)/1000000000</f>
        <v>5.5107833300205069</v>
      </c>
      <c r="K92" s="136">
        <f>SUM(SUM(Popn!K$103:K$107)*Tracks!$L$50,SUM(Popn!K$108:K$112)*Tracks!$L$51,SUM(Popn!K$113:K$117)*Tracks!$L$52,SUM(Popn!K$118:K$122)*Tracks!$L$53,SUM(Popn!K$123:K$127)*Tracks!$L$54,SUM(Popn!K$128:K$132)*Tracks!$L$55,SUM(Popn!K$133:K$137)*Tracks!$L$56,SUM(Popn!K$138:K$142)*Tracks!$L$57,SUM(Popn!K$143:K$147)*Tracks!$L$58,SUM(Popn!K$148:K$152)*Tracks!$L$59,SUM(Popn!K$153:K$157)*Tracks!$L$60,SUM(Popn!K$158:K$162)*Tracks!$L$61,SUM(Popn!K$163:K$167)*Tracks!$L$62,SUM(Popn!K$168:K$172)*Tracks!$L$63,SUM(Popn!K$173:K$177)*Tracks!$L$64,SUM(Popn!K$178:K$182)*Tracks!$L$65,SUM(Popn!K$183:K$187)*Tracks!$L$66,SUM(Popn!K$188:K$193)*Tracks!$L$67)/1000000000</f>
        <v>5.5934453463638976</v>
      </c>
      <c r="L92" s="136">
        <f>SUM(SUM(Popn!L$103:L$107)*Tracks!$L$50,SUM(Popn!L$108:L$112)*Tracks!$L$51,SUM(Popn!L$113:L$117)*Tracks!$L$52,SUM(Popn!L$118:L$122)*Tracks!$L$53,SUM(Popn!L$123:L$127)*Tracks!$L$54,SUM(Popn!L$128:L$132)*Tracks!$L$55,SUM(Popn!L$133:L$137)*Tracks!$L$56,SUM(Popn!L$138:L$142)*Tracks!$L$57,SUM(Popn!L$143:L$147)*Tracks!$L$58,SUM(Popn!L$148:L$152)*Tracks!$L$59,SUM(Popn!L$153:L$157)*Tracks!$L$60,SUM(Popn!L$158:L$162)*Tracks!$L$61,SUM(Popn!L$163:L$167)*Tracks!$L$62,SUM(Popn!L$168:L$172)*Tracks!$L$63,SUM(Popn!L$173:L$177)*Tracks!$L$64,SUM(Popn!L$178:L$182)*Tracks!$L$65,SUM(Popn!L$183:L$187)*Tracks!$L$66,SUM(Popn!L$188:L$193)*Tracks!$L$67)/1000000000</f>
        <v>5.6813942693067858</v>
      </c>
      <c r="M92" s="136">
        <f>SUM(SUM(Popn!M$103:M$107)*Tracks!$L$50,SUM(Popn!M$108:M$112)*Tracks!$L$51,SUM(Popn!M$113:M$117)*Tracks!$L$52,SUM(Popn!M$118:M$122)*Tracks!$L$53,SUM(Popn!M$123:M$127)*Tracks!$L$54,SUM(Popn!M$128:M$132)*Tracks!$L$55,SUM(Popn!M$133:M$137)*Tracks!$L$56,SUM(Popn!M$138:M$142)*Tracks!$L$57,SUM(Popn!M$143:M$147)*Tracks!$L$58,SUM(Popn!M$148:M$152)*Tracks!$L$59,SUM(Popn!M$153:M$157)*Tracks!$L$60,SUM(Popn!M$158:M$162)*Tracks!$L$61,SUM(Popn!M$163:M$167)*Tracks!$L$62,SUM(Popn!M$168:M$172)*Tracks!$L$63,SUM(Popn!M$173:M$177)*Tracks!$L$64,SUM(Popn!M$178:M$182)*Tracks!$L$65,SUM(Popn!M$183:M$187)*Tracks!$L$66,SUM(Popn!M$188:M$193)*Tracks!$L$67)/1000000000</f>
        <v>5.7736119175895642</v>
      </c>
      <c r="N92" s="136">
        <f>SUM(SUM(Popn!N$103:N$107)*Tracks!$L$50,SUM(Popn!N$108:N$112)*Tracks!$L$51,SUM(Popn!N$113:N$117)*Tracks!$L$52,SUM(Popn!N$118:N$122)*Tracks!$L$53,SUM(Popn!N$123:N$127)*Tracks!$L$54,SUM(Popn!N$128:N$132)*Tracks!$L$55,SUM(Popn!N$133:N$137)*Tracks!$L$56,SUM(Popn!N$138:N$142)*Tracks!$L$57,SUM(Popn!N$143:N$147)*Tracks!$L$58,SUM(Popn!N$148:N$152)*Tracks!$L$59,SUM(Popn!N$153:N$157)*Tracks!$L$60,SUM(Popn!N$158:N$162)*Tracks!$L$61,SUM(Popn!N$163:N$167)*Tracks!$L$62,SUM(Popn!N$168:N$172)*Tracks!$L$63,SUM(Popn!N$173:N$177)*Tracks!$L$64,SUM(Popn!N$178:N$182)*Tracks!$L$65,SUM(Popn!N$183:N$187)*Tracks!$L$66,SUM(Popn!N$188:N$193)*Tracks!$L$67)/1000000000</f>
        <v>5.8684936450177059</v>
      </c>
      <c r="O92" s="136">
        <f>SUM(SUM(Popn!O$103:O$107)*Tracks!$L$50,SUM(Popn!O$108:O$112)*Tracks!$L$51,SUM(Popn!O$113:O$117)*Tracks!$L$52,SUM(Popn!O$118:O$122)*Tracks!$L$53,SUM(Popn!O$123:O$127)*Tracks!$L$54,SUM(Popn!O$128:O$132)*Tracks!$L$55,SUM(Popn!O$133:O$137)*Tracks!$L$56,SUM(Popn!O$138:O$142)*Tracks!$L$57,SUM(Popn!O$143:O$147)*Tracks!$L$58,SUM(Popn!O$148:O$152)*Tracks!$L$59,SUM(Popn!O$153:O$157)*Tracks!$L$60,SUM(Popn!O$158:O$162)*Tracks!$L$61,SUM(Popn!O$163:O$167)*Tracks!$L$62,SUM(Popn!O$168:O$172)*Tracks!$L$63,SUM(Popn!O$173:O$177)*Tracks!$L$64,SUM(Popn!O$178:O$182)*Tracks!$L$65,SUM(Popn!O$183:O$187)*Tracks!$L$66,SUM(Popn!O$188:O$193)*Tracks!$L$67)/1000000000</f>
        <v>5.9610645165878751</v>
      </c>
      <c r="P92" s="136">
        <f>SUM(SUM(Popn!P$103:P$107)*Tracks!$L$50,SUM(Popn!P$108:P$112)*Tracks!$L$51,SUM(Popn!P$113:P$117)*Tracks!$L$52,SUM(Popn!P$118:P$122)*Tracks!$L$53,SUM(Popn!P$123:P$127)*Tracks!$L$54,SUM(Popn!P$128:P$132)*Tracks!$L$55,SUM(Popn!P$133:P$137)*Tracks!$L$56,SUM(Popn!P$138:P$142)*Tracks!$L$57,SUM(Popn!P$143:P$147)*Tracks!$L$58,SUM(Popn!P$148:P$152)*Tracks!$L$59,SUM(Popn!P$153:P$157)*Tracks!$L$60,SUM(Popn!P$158:P$162)*Tracks!$L$61,SUM(Popn!P$163:P$167)*Tracks!$L$62,SUM(Popn!P$168:P$172)*Tracks!$L$63,SUM(Popn!P$173:P$177)*Tracks!$L$64,SUM(Popn!P$178:P$182)*Tracks!$L$65,SUM(Popn!P$183:P$187)*Tracks!$L$66,SUM(Popn!P$188:P$193)*Tracks!$L$67)/1000000000</f>
        <v>6.0566001730368084</v>
      </c>
      <c r="Q92" s="136">
        <f>SUM(SUM(Popn!Q$103:Q$107)*Tracks!$L$50,SUM(Popn!Q$108:Q$112)*Tracks!$L$51,SUM(Popn!Q$113:Q$117)*Tracks!$L$52,SUM(Popn!Q$118:Q$122)*Tracks!$L$53,SUM(Popn!Q$123:Q$127)*Tracks!$L$54,SUM(Popn!Q$128:Q$132)*Tracks!$L$55,SUM(Popn!Q$133:Q$137)*Tracks!$L$56,SUM(Popn!Q$138:Q$142)*Tracks!$L$57,SUM(Popn!Q$143:Q$147)*Tracks!$L$58,SUM(Popn!Q$148:Q$152)*Tracks!$L$59,SUM(Popn!Q$153:Q$157)*Tracks!$L$60,SUM(Popn!Q$158:Q$162)*Tracks!$L$61,SUM(Popn!Q$163:Q$167)*Tracks!$L$62,SUM(Popn!Q$168:Q$172)*Tracks!$L$63,SUM(Popn!Q$173:Q$177)*Tracks!$L$64,SUM(Popn!Q$178:Q$182)*Tracks!$L$65,SUM(Popn!Q$183:Q$187)*Tracks!$L$66,SUM(Popn!Q$188:Q$193)*Tracks!$L$67)/1000000000</f>
        <v>6.1563792596498486</v>
      </c>
      <c r="R92" s="136">
        <f>SUM(SUM(Popn!R$103:R$107)*Tracks!$L$50,SUM(Popn!R$108:R$112)*Tracks!$L$51,SUM(Popn!R$113:R$117)*Tracks!$L$52,SUM(Popn!R$118:R$122)*Tracks!$L$53,SUM(Popn!R$123:R$127)*Tracks!$L$54,SUM(Popn!R$128:R$132)*Tracks!$L$55,SUM(Popn!R$133:R$137)*Tracks!$L$56,SUM(Popn!R$138:R$142)*Tracks!$L$57,SUM(Popn!R$143:R$147)*Tracks!$L$58,SUM(Popn!R$148:R$152)*Tracks!$L$59,SUM(Popn!R$153:R$157)*Tracks!$L$60,SUM(Popn!R$158:R$162)*Tracks!$L$61,SUM(Popn!R$163:R$167)*Tracks!$L$62,SUM(Popn!R$168:R$172)*Tracks!$L$63,SUM(Popn!R$173:R$177)*Tracks!$L$64,SUM(Popn!R$178:R$182)*Tracks!$L$65,SUM(Popn!R$183:R$187)*Tracks!$L$66,SUM(Popn!R$188:R$193)*Tracks!$L$67)/1000000000</f>
        <v>6.2635684559554967</v>
      </c>
      <c r="S92" s="136">
        <f>SUM(SUM(Popn!S$103:S$107)*Tracks!$L$50,SUM(Popn!S$108:S$112)*Tracks!$L$51,SUM(Popn!S$113:S$117)*Tracks!$L$52,SUM(Popn!S$118:S$122)*Tracks!$L$53,SUM(Popn!S$123:S$127)*Tracks!$L$54,SUM(Popn!S$128:S$132)*Tracks!$L$55,SUM(Popn!S$133:S$137)*Tracks!$L$56,SUM(Popn!S$138:S$142)*Tracks!$L$57,SUM(Popn!S$143:S$147)*Tracks!$L$58,SUM(Popn!S$148:S$152)*Tracks!$L$59,SUM(Popn!S$153:S$157)*Tracks!$L$60,SUM(Popn!S$158:S$162)*Tracks!$L$61,SUM(Popn!S$163:S$167)*Tracks!$L$62,SUM(Popn!S$168:S$172)*Tracks!$L$63,SUM(Popn!S$173:S$177)*Tracks!$L$64,SUM(Popn!S$178:S$182)*Tracks!$L$65,SUM(Popn!S$183:S$187)*Tracks!$L$66,SUM(Popn!S$188:S$193)*Tracks!$L$67)/1000000000</f>
        <v>6.3781282933885795</v>
      </c>
      <c r="T92" s="136">
        <f>SUM(SUM(Popn!T$103:T$107)*Tracks!$L$50,SUM(Popn!T$108:T$112)*Tracks!$L$51,SUM(Popn!T$113:T$117)*Tracks!$L$52,SUM(Popn!T$118:T$122)*Tracks!$L$53,SUM(Popn!T$123:T$127)*Tracks!$L$54,SUM(Popn!T$128:T$132)*Tracks!$L$55,SUM(Popn!T$133:T$137)*Tracks!$L$56,SUM(Popn!T$138:T$142)*Tracks!$L$57,SUM(Popn!T$143:T$147)*Tracks!$L$58,SUM(Popn!T$148:T$152)*Tracks!$L$59,SUM(Popn!T$153:T$157)*Tracks!$L$60,SUM(Popn!T$158:T$162)*Tracks!$L$61,SUM(Popn!T$163:T$167)*Tracks!$L$62,SUM(Popn!T$168:T$172)*Tracks!$L$63,SUM(Popn!T$173:T$177)*Tracks!$L$64,SUM(Popn!T$178:T$182)*Tracks!$L$65,SUM(Popn!T$183:T$187)*Tracks!$L$66,SUM(Popn!T$188:T$193)*Tracks!$L$67)/1000000000</f>
        <v>6.4867876118439236</v>
      </c>
      <c r="U92" s="54"/>
    </row>
    <row r="93" spans="1:21" x14ac:dyDescent="0.2">
      <c r="A93" s="147"/>
      <c r="B93" s="103"/>
      <c r="C93" s="99"/>
      <c r="D93" s="94"/>
      <c r="E93" s="94"/>
      <c r="F93" s="99"/>
      <c r="G93" s="99"/>
      <c r="H93" s="99"/>
      <c r="I93" s="99"/>
      <c r="J93" s="99"/>
      <c r="T93" s="99"/>
      <c r="U93" s="54"/>
    </row>
    <row r="94" spans="1:21" x14ac:dyDescent="0.2">
      <c r="A94" s="147" t="s">
        <v>658</v>
      </c>
      <c r="B94" s="103"/>
      <c r="C94" s="99"/>
      <c r="D94" s="94"/>
      <c r="E94" s="94"/>
      <c r="F94" s="99"/>
      <c r="G94" s="99"/>
      <c r="H94" s="99"/>
      <c r="I94" s="99"/>
      <c r="J94" s="99"/>
      <c r="T94" s="99"/>
      <c r="U94" s="54"/>
    </row>
    <row r="95" spans="1:21" x14ac:dyDescent="0.2">
      <c r="A95" s="43" t="s">
        <v>177</v>
      </c>
      <c r="B95" s="103"/>
      <c r="C95" s="99"/>
      <c r="D95" s="96">
        <f ca="1">Data!C$43+IF(OFFSET(Scenarios!$A$62,0,$C$1)="Yes",OFFSET(Scenarios!$A$64,0,$C$1)*D$70,0)</f>
        <v>9.2690000000000001</v>
      </c>
      <c r="E95" s="96">
        <f ca="1">Data!D$43+IF(OFFSET(Scenarios!$A$62,0,$C$1)="Yes",OFFSET(Scenarios!$A$64,0,$C$1)*E$70,0)</f>
        <v>9.5510000000000002</v>
      </c>
      <c r="F95" s="187">
        <f ca="1">Data!E$43+IF(OFFSET(Scenarios!$A$62,0,$C$1)="Yes",OFFSET(Scenarios!$A$64,0,$C$1)*F$70,0)+IF($F$1="Yes",Data!E$43*OFFSET(ReadyReckoner!$A$51,0,F$260),0)</f>
        <v>10.739000000000001</v>
      </c>
      <c r="G95" s="187">
        <f ca="1">Data!F$43+IF(OFFSET(Scenarios!$A$62,0,$C$1)="Yes",OFFSET(Scenarios!$A$64,0,$C$1)*G$70,0)+IF($F$1="Yes",Data!F$43*OFFSET(ReadyReckoner!$A$51,0,G$260),0)</f>
        <v>11.117000000000001</v>
      </c>
      <c r="H95" s="187">
        <f ca="1">Data!G$43+IF(OFFSET(Scenarios!$A$62,0,$C$1)="Yes",OFFSET(Scenarios!$A$64,0,$C$1)*H$70,0)+IF($F$1="Yes",Data!G$43*OFFSET(ReadyReckoner!$A$51,0,H$260),0)</f>
        <v>11.302</v>
      </c>
      <c r="I95" s="187">
        <f ca="1">Data!H$43+IF(OFFSET(Scenarios!$A$62,0,$C$1)="Yes",OFFSET(Scenarios!$A$64,0,$C$1)*I$70,0)+IF($F$1="Yes",Data!H$43*OFFSET(ReadyReckoner!$A$51,0,I$260),0)</f>
        <v>11.419</v>
      </c>
      <c r="J95" s="187">
        <f ca="1">Data!I$43+IF(OFFSET(Scenarios!$A$62,0,$C$1)="Yes",OFFSET(Scenarios!$A$64,0,$C$1)*J$70,0)+IF($F$1="Yes",Data!I$43*OFFSET(ReadyReckoner!$A$51,0,J$260),0)</f>
        <v>11.488</v>
      </c>
      <c r="K95" s="101">
        <f ca="1">J$95*(1+AVERAGE(Popn!K$198:K$200))+IF(OFFSET(Scenarios!$A$62,0,$C$1)="Yes",(K$70-J$70*(1+AVERAGE(Popn!K$198:K$200)))*OFFSET(Scenarios!$A$64,0,$C$1),0)</f>
        <v>11.471767549586461</v>
      </c>
      <c r="L95" s="101">
        <f ca="1">K$95*(1+AVERAGE(Popn!L$198:L$200))+IF(OFFSET(Scenarios!$A$62,0,$C$1)="Yes",(L$70-K$70*(1+AVERAGE(Popn!L$198:L$200)))*OFFSET(Scenarios!$A$64,0,$C$1),0)</f>
        <v>11.43196244402291</v>
      </c>
      <c r="M95" s="101">
        <f ca="1">L$95*(1+AVERAGE(Popn!M$198:M$200))+IF(OFFSET(Scenarios!$A$62,0,$C$1)="Yes",(M$70-L$70*(1+AVERAGE(Popn!M$198:M$200)))*OFFSET(Scenarios!$A$64,0,$C$1),0)</f>
        <v>11.382420291373462</v>
      </c>
      <c r="N95" s="101">
        <f ca="1">M$95*(1+AVERAGE(Popn!N$198:N$200))+IF(OFFSET(Scenarios!$A$62,0,$C$1)="Yes",(N$70-M$70*(1+AVERAGE(Popn!N$198:N$200)))*OFFSET(Scenarios!$A$64,0,$C$1),0)</f>
        <v>11.344864902189894</v>
      </c>
      <c r="O95" s="101">
        <f ca="1">N$95*(1+AVERAGE(Popn!O$198:O$200))+IF(OFFSET(Scenarios!$A$62,0,$C$1)="Yes",(O$70-N$70*(1+AVERAGE(Popn!O$198:O$200)))*OFFSET(Scenarios!$A$64,0,$C$1),0)</f>
        <v>11.319317955497072</v>
      </c>
      <c r="P95" s="101">
        <f ca="1">O$95*(1+AVERAGE(Popn!P$198:P$200))+IF(OFFSET(Scenarios!$A$62,0,$C$1)="Yes",(P$70-O$70*(1+AVERAGE(Popn!P$198:P$200)))*OFFSET(Scenarios!$A$64,0,$C$1),0)</f>
        <v>11.303750741248301</v>
      </c>
      <c r="Q95" s="101">
        <f ca="1">P$95*(1+AVERAGE(Popn!Q$198:Q$200))+IF(OFFSET(Scenarios!$A$62,0,$C$1)="Yes",(Q$70-P$70*(1+AVERAGE(Popn!Q$198:Q$200)))*OFFSET(Scenarios!$A$64,0,$C$1),0)</f>
        <v>11.280645690988926</v>
      </c>
      <c r="R95" s="101">
        <f ca="1">Q$95*(1+AVERAGE(Popn!R$198:R$200))+IF(OFFSET(Scenarios!$A$62,0,$C$1)="Yes",(R$70-Q$70*(1+AVERAGE(Popn!R$198:R$200)))*OFFSET(Scenarios!$A$64,0,$C$1),0)</f>
        <v>11.269142774650531</v>
      </c>
      <c r="S95" s="101">
        <f ca="1">R$95*(1+AVERAGE(Popn!S$198:S$200))+IF(OFFSET(Scenarios!$A$62,0,$C$1)="Yes",(S$70-R$70*(1+AVERAGE(Popn!S$198:S$200)))*OFFSET(Scenarios!$A$64,0,$C$1),0)</f>
        <v>11.279817015832647</v>
      </c>
      <c r="T95" s="101">
        <f ca="1">S$95*(1+AVERAGE(Popn!T$198:T$200))+IF(OFFSET(Scenarios!$A$62,0,$C$1)="Yes",(T$70-S$70*(1+AVERAGE(Popn!T$198:T$200)))*OFFSET(Scenarios!$A$64,0,$C$1),0)</f>
        <v>11.288567320229438</v>
      </c>
      <c r="U95" s="54"/>
    </row>
    <row r="96" spans="1:21" x14ac:dyDescent="0.2">
      <c r="A96" s="43" t="s">
        <v>178</v>
      </c>
      <c r="B96" s="103"/>
      <c r="C96" s="99"/>
      <c r="D96" s="96">
        <f ca="1">Data!C$17-Data!C$43+D$95</f>
        <v>9.8529999999999998</v>
      </c>
      <c r="E96" s="96">
        <f ca="1">Data!D$17-Data!D$43+E$95</f>
        <v>10.397</v>
      </c>
      <c r="F96" s="187">
        <f ca="1">Data!E$17-Data!E$43+F$95</f>
        <v>11.643000000000001</v>
      </c>
      <c r="G96" s="187">
        <f ca="1">Data!F$17-Data!F$43+G$95</f>
        <v>11.946999999999999</v>
      </c>
      <c r="H96" s="187">
        <f ca="1">Data!G$17-Data!G$43+H$95</f>
        <v>12.167</v>
      </c>
      <c r="I96" s="187">
        <f ca="1">Data!H$17-Data!H$43+I$95</f>
        <v>12.452999999999999</v>
      </c>
      <c r="J96" s="187">
        <f ca="1">Data!I$17-Data!I$43+J$95</f>
        <v>12.657999999999999</v>
      </c>
      <c r="K96" s="101">
        <f ca="1">(J$96-J$95)*(1+AVERAGE(Popn!K$198:K$200))+K$95</f>
        <v>12.640114349117813</v>
      </c>
      <c r="L96" s="101">
        <f ca="1">(K$96-K$95)*(1+AVERAGE(Popn!L$198:L$200))+L$95</f>
        <v>12.59625527650087</v>
      </c>
      <c r="M96" s="101">
        <f ca="1">(L$96-L$95)*(1+AVERAGE(Popn!M$198:M$200))+M$95</f>
        <v>12.541667483304778</v>
      </c>
      <c r="N96" s="101">
        <f ca="1">(M$96-M$95)*(1+AVERAGE(Popn!N$198:N$200))+N$95</f>
        <v>12.500287250341199</v>
      </c>
      <c r="O96" s="101">
        <f ca="1">(N$96-N$95)*(1+AVERAGE(Popn!O$198:O$200))+O$95</f>
        <v>12.472138464544042</v>
      </c>
      <c r="P96" s="101">
        <f ca="1">(O$96-O$95)*(1+AVERAGE(Popn!P$198:P$200))+P$95</f>
        <v>12.454985801072512</v>
      </c>
      <c r="Q96" s="101">
        <f ca="1">(P$96-P$95)*(1+AVERAGE(Popn!Q$198:Q$200))+Q$95</f>
        <v>12.429527607637349</v>
      </c>
      <c r="R96" s="101">
        <f ca="1">(Q$96-Q$95)*(1+AVERAGE(Popn!R$198:R$200))+R$95</f>
        <v>12.416853172138445</v>
      </c>
      <c r="S96" s="101">
        <f ca="1">(R$96-R$95)*(1+AVERAGE(Popn!S$198:S$200))+S$95</f>
        <v>12.428614535725076</v>
      </c>
      <c r="T96" s="101">
        <f ca="1">(S$96-S$95)*(1+AVERAGE(Popn!T$198:T$200))+T$95</f>
        <v>12.438256018407404</v>
      </c>
      <c r="U96" s="54"/>
    </row>
    <row r="97" spans="1:21" x14ac:dyDescent="0.2">
      <c r="A97" s="43"/>
      <c r="B97" s="138"/>
      <c r="C97" s="143"/>
      <c r="D97" s="137"/>
      <c r="E97" s="137"/>
      <c r="F97" s="143"/>
      <c r="G97" s="143"/>
      <c r="H97" s="143"/>
      <c r="I97" s="143"/>
      <c r="J97" s="143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54"/>
    </row>
    <row r="98" spans="1:21" x14ac:dyDescent="0.2">
      <c r="A98" s="147" t="s">
        <v>392</v>
      </c>
      <c r="C98" s="94"/>
      <c r="D98" s="94"/>
      <c r="E98" s="94"/>
      <c r="F98" s="94"/>
      <c r="G98" s="94"/>
      <c r="H98" s="94"/>
      <c r="I98" s="94"/>
      <c r="J98" s="94"/>
      <c r="T98" s="99"/>
      <c r="U98" s="54"/>
    </row>
    <row r="99" spans="1:21" x14ac:dyDescent="0.2">
      <c r="A99" s="47" t="s">
        <v>533</v>
      </c>
      <c r="B99" s="54"/>
      <c r="C99" s="94"/>
      <c r="D99" s="94">
        <f>Data!C$41</f>
        <v>0.64500000000000002</v>
      </c>
      <c r="E99" s="94">
        <f>Data!D$41</f>
        <v>0.69</v>
      </c>
      <c r="F99" s="180">
        <f>Data!E$41</f>
        <v>0.65400000000000003</v>
      </c>
      <c r="G99" s="180">
        <f>Data!F$41</f>
        <v>0.55500000000000005</v>
      </c>
      <c r="H99" s="180">
        <f>Data!G$41</f>
        <v>0.54500000000000004</v>
      </c>
      <c r="I99" s="180">
        <f>Data!H$41</f>
        <v>0.54800000000000004</v>
      </c>
      <c r="J99" s="180">
        <f>Data!I$41</f>
        <v>0.54900000000000004</v>
      </c>
      <c r="K99" s="99">
        <f>J$99*Tracks!N$15/Tracks!M$15</f>
        <v>0.54919879948618766</v>
      </c>
      <c r="L99" s="99">
        <f>K$99*Tracks!O$15/Tracks!N$15</f>
        <v>0.55186840178859653</v>
      </c>
      <c r="M99" s="99">
        <f>L$99*Tracks!P$15/Tracks!O$15</f>
        <v>0.55641457728701771</v>
      </c>
      <c r="N99" s="99">
        <f>M$99*Tracks!Q$15/Tracks!P$15</f>
        <v>0.5607143390001228</v>
      </c>
      <c r="O99" s="99">
        <f>N$99*Tracks!R$15/Tracks!Q$15</f>
        <v>0.56359995486873737</v>
      </c>
      <c r="P99" s="99">
        <f>O$99*Tracks!S$15/Tracks!R$15</f>
        <v>0.56679317987123268</v>
      </c>
      <c r="Q99" s="99">
        <f>P$99*Tracks!T$15/Tracks!S$15</f>
        <v>0.56882603860873904</v>
      </c>
      <c r="R99" s="99">
        <f>Q$99*Tracks!U$15/Tracks!T$15</f>
        <v>0.56882150549949051</v>
      </c>
      <c r="S99" s="99">
        <f>R$99*Tracks!V$15/Tracks!U$15</f>
        <v>0.56719075174178057</v>
      </c>
      <c r="T99" s="99">
        <f>S$99*Tracks!W$15/Tracks!V$15</f>
        <v>0.5646221252562027</v>
      </c>
      <c r="U99" s="54"/>
    </row>
    <row r="100" spans="1:21" x14ac:dyDescent="0.2">
      <c r="A100" s="47" t="s">
        <v>218</v>
      </c>
      <c r="B100" s="54"/>
      <c r="C100" s="94"/>
      <c r="D100" s="94">
        <f>Data!C$49</f>
        <v>0</v>
      </c>
      <c r="E100" s="94">
        <f>Data!D$49</f>
        <v>1.101</v>
      </c>
      <c r="F100" s="180">
        <f>Data!E$49</f>
        <v>1.3484</v>
      </c>
      <c r="G100" s="180">
        <f>Data!F$49</f>
        <v>0.88178999999999996</v>
      </c>
      <c r="H100" s="180">
        <f>Data!G$49</f>
        <v>0.90664000000000011</v>
      </c>
      <c r="I100" s="180">
        <f>Data!H$49</f>
        <v>0.91719000000000006</v>
      </c>
      <c r="J100" s="180">
        <f>Data!I$49</f>
        <v>0.94981999999999989</v>
      </c>
      <c r="K100" s="99">
        <f>Tracks!H$107/1000</f>
        <v>0.96916329163779924</v>
      </c>
      <c r="L100" s="99">
        <f>Tracks!I$107/1000</f>
        <v>0.98151486803044119</v>
      </c>
      <c r="M100" s="99">
        <f>Tracks!J$107/1000</f>
        <v>0.99677589228536034</v>
      </c>
      <c r="N100" s="99">
        <f>Tracks!K$107/1000</f>
        <v>1.0170199601204142</v>
      </c>
      <c r="O100" s="99">
        <f>Tracks!L$107/1000</f>
        <v>1.0367822031177616</v>
      </c>
      <c r="P100" s="99">
        <f>Tracks!M$107/1000</f>
        <v>1.0559440976578072</v>
      </c>
      <c r="Q100" s="382">
        <f>P$100*(1+Popn!Q$197)</f>
        <v>1.0640242764374679</v>
      </c>
      <c r="R100" s="99">
        <f>Q$100*(1+Popn!R$197)</f>
        <v>1.0719965996605594</v>
      </c>
      <c r="S100" s="99">
        <f>R$100*(1+Popn!S$197)</f>
        <v>1.0798430914009864</v>
      </c>
      <c r="T100" s="99">
        <f>S$100*(1+Popn!T$197)</f>
        <v>1.0875615046679874</v>
      </c>
      <c r="U100" s="54"/>
    </row>
    <row r="101" spans="1:21" x14ac:dyDescent="0.2">
      <c r="A101" s="93" t="s">
        <v>575</v>
      </c>
      <c r="B101" s="54"/>
      <c r="C101" s="94"/>
      <c r="D101" s="94">
        <f ca="1">Data!C$45+IF(OFFSET(Scenarios!$A$62,0,$C$1)="Yes",OFFSET(Scenarios!$A$65,0,$C$1)*D$70,0)</f>
        <v>2.6989999999999998</v>
      </c>
      <c r="E101" s="94">
        <f ca="1">Data!D$45+IF(OFFSET(Scenarios!$A$62,0,$C$1)="Yes",OFFSET(Scenarios!$A$65,0,$C$1)*E$70,0)</f>
        <v>2.8940000000000001</v>
      </c>
      <c r="F101" s="180">
        <f ca="1">Data!E$45+IF(OFFSET(Scenarios!$A$62,0,$C$1)="Yes",OFFSET(Scenarios!$A$65,0,$C$1)*F$70,0)+IF($F$1="Yes",Data!E$45*OFFSET(ReadyReckoner!$A$51,0,F$260),0)</f>
        <v>3.1389999999999998</v>
      </c>
      <c r="G101" s="180">
        <f ca="1">Data!F$45+IF(OFFSET(Scenarios!$A$62,0,$C$1)="Yes",OFFSET(Scenarios!$A$65,0,$C$1)*G$70,0)+IF($F$1="Yes",Data!F$45*OFFSET(ReadyReckoner!$A$51,0,G$260),0)</f>
        <v>3.13</v>
      </c>
      <c r="H101" s="180">
        <f ca="1">Data!G$45+IF(OFFSET(Scenarios!$A$62,0,$C$1)="Yes",OFFSET(Scenarios!$A$65,0,$C$1)*H$70,0)+IF($F$1="Yes",Data!G$45*OFFSET(ReadyReckoner!$A$51,0,H$260),0)</f>
        <v>3.13</v>
      </c>
      <c r="I101" s="180">
        <f ca="1">Data!H$45+IF(OFFSET(Scenarios!$A$62,0,$C$1)="Yes",OFFSET(Scenarios!$A$65,0,$C$1)*I$70,0)+IF($F$1="Yes",Data!H$45*OFFSET(ReadyReckoner!$A$51,0,I$260),0)</f>
        <v>3.1280000000000001</v>
      </c>
      <c r="J101" s="180">
        <f ca="1">Data!I$45+IF(OFFSET(Scenarios!$A$62,0,$C$1)="Yes",OFFSET(Scenarios!$A$65,0,$C$1)*J$70,0)+IF($F$1="Yes",Data!I$45*OFFSET(ReadyReckoner!$A$51,0,J$260),0)</f>
        <v>3.1429999999999998</v>
      </c>
      <c r="K101" s="99">
        <f ca="1">J$101*(1+K$222)+IF(OFFSET(Scenarios!$A$62,0,$C$1)="Yes",(K$70-J$70*(1+K$222))*SUM(OFFSET(Scenarios!$A$65,0,$C$1)),0)</f>
        <v>3.1745006367251891</v>
      </c>
      <c r="L101" s="99">
        <f ca="1">K$101*(1+L$222)+IF(OFFSET(Scenarios!$A$62,0,$C$1)="Yes",(L$70-K$70*(1+L$222))*SUM(OFFSET(Scenarios!$A$65,0,$C$1)),0)</f>
        <v>3.2073119673548898</v>
      </c>
      <c r="M101" s="99">
        <f ca="1">L$101*(1+M$222)+IF(OFFSET(Scenarios!$A$62,0,$C$1)="Yes",(M$70-L$70*(1+M$222))*SUM(OFFSET(Scenarios!$A$65,0,$C$1)),0)</f>
        <v>3.2389445531308687</v>
      </c>
      <c r="N101" s="99">
        <f ca="1">M$101*(1+N$222)+IF(OFFSET(Scenarios!$A$62,0,$C$1)="Yes",(N$70-M$70*(1+N$222))*SUM(OFFSET(Scenarios!$A$65,0,$C$1)),0)</f>
        <v>3.2683252084400372</v>
      </c>
      <c r="O101" s="99">
        <f ca="1">N$101*(1+O$222)+IF(OFFSET(Scenarios!$A$62,0,$C$1)="Yes",(O$70-N$70*(1+O$222))*SUM(OFFSET(Scenarios!$A$65,0,$C$1)),0)</f>
        <v>3.2978202195932234</v>
      </c>
      <c r="P101" s="99">
        <f ca="1">O$101*(1+P$222)+IF(OFFSET(Scenarios!$A$62,0,$C$1)="Yes",(P$70-O$70*(1+P$222))*SUM(OFFSET(Scenarios!$A$65,0,$C$1)),0)</f>
        <v>3.3283004503256395</v>
      </c>
      <c r="Q101" s="99">
        <f ca="1">P$101*(1+Q$222)+IF(OFFSET(Scenarios!$A$62,0,$C$1)="Yes",(Q$70-P$70*(1+Q$222))*SUM(OFFSET(Scenarios!$A$65,0,$C$1)),0)</f>
        <v>3.3583144610785989</v>
      </c>
      <c r="R101" s="99">
        <f ca="1">Q$101*(1+R$222)+IF(OFFSET(Scenarios!$A$62,0,$C$1)="Yes",(R$70-Q$70*(1+R$222))*SUM(OFFSET(Scenarios!$A$65,0,$C$1)),0)</f>
        <v>3.3895336064954367</v>
      </c>
      <c r="S101" s="99">
        <f ca="1">R$101*(1+S$222)+IF(OFFSET(Scenarios!$A$62,0,$C$1)="Yes",(S$70-R$70*(1+S$222))*SUM(OFFSET(Scenarios!$A$65,0,$C$1)),0)</f>
        <v>3.4224592929691551</v>
      </c>
      <c r="T101" s="99">
        <f ca="1">S$101*(1+T$222)+IF(OFFSET(Scenarios!$A$62,0,$C$1)="Yes",(T$70-S$70*(1+T$222))*SUM(OFFSET(Scenarios!$A$65,0,$C$1)),0)</f>
        <v>3.4551826575649955</v>
      </c>
      <c r="U101" s="54"/>
    </row>
    <row r="102" spans="1:21" x14ac:dyDescent="0.2">
      <c r="A102" s="93" t="s">
        <v>766</v>
      </c>
      <c r="B102" s="54"/>
      <c r="C102" s="94"/>
      <c r="D102" s="94">
        <f ca="1">Data!C$46+IF(OFFSET(Scenarios!$A$62,0,$C$1)="Yes",OFFSET(Scenarios!$A$66,0,$C$1)*D$70,0)</f>
        <v>1.5169999999999999</v>
      </c>
      <c r="E102" s="94">
        <f ca="1">Data!D$46+IF(OFFSET(Scenarios!$A$62,0,$C$1)="Yes",OFFSET(Scenarios!$A$66,0,$C$1)*E$70,0)</f>
        <v>1.5620000000000001</v>
      </c>
      <c r="F102" s="180">
        <f ca="1">Data!E$46+IF(OFFSET(Scenarios!$A$62,0,$C$1)="Yes",OFFSET(Scenarios!$A$66,0,$C$1)*F$70,0)+IF($F$1="Yes",Data!E$46*OFFSET(ReadyReckoner!$A$51,0,F$260),0)</f>
        <v>1.756</v>
      </c>
      <c r="G102" s="180">
        <f ca="1">Data!F$46+IF(OFFSET(Scenarios!$A$62,0,$C$1)="Yes",OFFSET(Scenarios!$A$66,0,$C$1)*G$70,0)+IF($F$1="Yes",Data!F$46*OFFSET(ReadyReckoner!$A$51,0,G$260),0)</f>
        <v>1.7310000000000001</v>
      </c>
      <c r="H102" s="180">
        <f ca="1">Data!G$46+IF(OFFSET(Scenarios!$A$62,0,$C$1)="Yes",OFFSET(Scenarios!$A$66,0,$C$1)*H$70,0)+IF($F$1="Yes",Data!G$46*OFFSET(ReadyReckoner!$A$51,0,H$260),0)</f>
        <v>1.718</v>
      </c>
      <c r="I102" s="180">
        <f ca="1">Data!H$46+IF(OFFSET(Scenarios!$A$62,0,$C$1)="Yes",OFFSET(Scenarios!$A$66,0,$C$1)*I$70,0)+IF($F$1="Yes",Data!H$46*OFFSET(ReadyReckoner!$A$51,0,I$260),0)</f>
        <v>1.7090000000000001</v>
      </c>
      <c r="J102" s="180">
        <f ca="1">Data!I$46+IF(OFFSET(Scenarios!$A$62,0,$C$1)="Yes",OFFSET(Scenarios!$A$66,0,$C$1)*J$70,0)+IF($F$1="Yes",Data!I$46*OFFSET(ReadyReckoner!$A$51,0,J$260),0)</f>
        <v>1.708</v>
      </c>
      <c r="K102" s="99">
        <f ca="1">J$102*(1+K$224)+IF(OFFSET(Scenarios!$A$62,0,$C$1)="Yes",(K$70-J$70*(1+K$224))*SUM(OFFSET(Scenarios!$A$66,0,$C$1)),0)</f>
        <v>1.7237857052505268</v>
      </c>
      <c r="L102" s="99">
        <f ca="1">K$102*(1+L$224)+IF(OFFSET(Scenarios!$A$62,0,$C$1)="Yes",(L$70-K$70*(1+L$224))*SUM(OFFSET(Scenarios!$A$66,0,$C$1)),0)</f>
        <v>1.7400243587903217</v>
      </c>
      <c r="M102" s="99">
        <f ca="1">L$102*(1+M$224)+IF(OFFSET(Scenarios!$A$62,0,$C$1)="Yes",(M$70-L$70*(1+M$224))*SUM(OFFSET(Scenarios!$A$66,0,$C$1)),0)</f>
        <v>1.7559642807002911</v>
      </c>
      <c r="N102" s="99">
        <f ca="1">M$102*(1+N$224)+IF(OFFSET(Scenarios!$A$62,0,$C$1)="Yes",(N$70-M$70*(1+N$224))*SUM(OFFSET(Scenarios!$A$66,0,$C$1)),0)</f>
        <v>1.7704145747214592</v>
      </c>
      <c r="O102" s="99">
        <f ca="1">N$102*(1+O$224)+IF(OFFSET(Scenarios!$A$62,0,$C$1)="Yes",(O$70-N$70*(1+O$224))*SUM(OFFSET(Scenarios!$A$66,0,$C$1)),0)</f>
        <v>1.7824057174191656</v>
      </c>
      <c r="P102" s="99">
        <f ca="1">O$102*(1+P$224)+IF(OFFSET(Scenarios!$A$62,0,$C$1)="Yes",(P$70-O$70*(1+P$224))*SUM(OFFSET(Scenarios!$A$66,0,$C$1)),0)</f>
        <v>1.7939612145302659</v>
      </c>
      <c r="Q102" s="99">
        <f ca="1">P$102*(1+Q$224)+IF(OFFSET(Scenarios!$A$62,0,$C$1)="Yes",(Q$70-P$70*(1+Q$224))*SUM(OFFSET(Scenarios!$A$66,0,$C$1)),0)</f>
        <v>1.8051751001375576</v>
      </c>
      <c r="R102" s="99">
        <f ca="1">Q$102*(1+R$224)+IF(OFFSET(Scenarios!$A$62,0,$C$1)="Yes",(R$70-Q$70*(1+R$224))*SUM(OFFSET(Scenarios!$A$66,0,$C$1)),0)</f>
        <v>1.8158962946204777</v>
      </c>
      <c r="S102" s="99">
        <f ca="1">R$102*(1+S$224)+IF(OFFSET(Scenarios!$A$62,0,$C$1)="Yes",(S$70-R$70*(1+S$224))*SUM(OFFSET(Scenarios!$A$66,0,$C$1)),0)</f>
        <v>1.8266234451488654</v>
      </c>
      <c r="T102" s="99">
        <f ca="1">S$102*(1+T$224)+IF(OFFSET(Scenarios!$A$62,0,$C$1)="Yes",(T$70-S$70*(1+T$224))*SUM(OFFSET(Scenarios!$A$66,0,$C$1)),0)</f>
        <v>1.836559200893739</v>
      </c>
      <c r="U102" s="54"/>
    </row>
    <row r="103" spans="1:21" x14ac:dyDescent="0.2">
      <c r="A103" s="93" t="s">
        <v>569</v>
      </c>
      <c r="B103" s="54"/>
      <c r="C103" s="94"/>
      <c r="D103" s="94">
        <f ca="1">Data!C$47+IF(OFFSET(Scenarios!$A$62,0,$C$1)="Yes",OFFSET(Scenarios!$A$67,0,$C$1)*D$70,0)</f>
        <v>2.4049999999999998</v>
      </c>
      <c r="E103" s="94">
        <f ca="1">Data!D$47+IF(OFFSET(Scenarios!$A$62,0,$C$1)="Yes",OFFSET(Scenarios!$A$67,0,$C$1)*E$70,0)</f>
        <v>2.2440000000000002</v>
      </c>
      <c r="F103" s="180">
        <f ca="1">Data!E$47+IF(OFFSET(Scenarios!$A$62,0,$C$1)="Yes",OFFSET(Scenarios!$A$67,0,$C$1)*F$70,0)+IF($F$1="Yes",Data!E$47*OFFSET(ReadyReckoner!$A$51,0,F$260),0)</f>
        <v>3.8140000000000001</v>
      </c>
      <c r="G103" s="180">
        <f ca="1">Data!F$47+IF(OFFSET(Scenarios!$A$62,0,$C$1)="Yes",OFFSET(Scenarios!$A$67,0,$C$1)*G$70,0)+IF($F$1="Yes",Data!F$47*OFFSET(ReadyReckoner!$A$51,0,G$260),0)</f>
        <v>2.649</v>
      </c>
      <c r="H103" s="180">
        <f ca="1">Data!G$47+IF(OFFSET(Scenarios!$A$62,0,$C$1)="Yes",OFFSET(Scenarios!$A$67,0,$C$1)*H$70,0)+IF($F$1="Yes",Data!G$47*OFFSET(ReadyReckoner!$A$51,0,H$260),0)</f>
        <v>2.6150000000000002</v>
      </c>
      <c r="I103" s="180">
        <f ca="1">Data!H$47+IF(OFFSET(Scenarios!$A$62,0,$C$1)="Yes",OFFSET(Scenarios!$A$67,0,$C$1)*I$70,0)+IF($F$1="Yes",Data!H$47*OFFSET(ReadyReckoner!$A$51,0,I$260),0)</f>
        <v>2.5150000000000001</v>
      </c>
      <c r="J103" s="180">
        <f ca="1">Data!I$47+IF(OFFSET(Scenarios!$A$62,0,$C$1)="Yes",OFFSET(Scenarios!$A$67,0,$C$1)*J$70,0)+IF($F$1="Yes",Data!I$47*OFFSET(ReadyReckoner!$A$51,0,J$260),0)</f>
        <v>2.548</v>
      </c>
      <c r="K103" s="99">
        <f ca="1">J$103*(1+K$224)+IF(OFFSET(Scenarios!$A$62,0,$C$1)="Yes",(K$70-J$70*(1+K$224))*SUM(OFFSET(Scenarios!$A$67,0,$C$1)),0)</f>
        <v>2.5715491668491466</v>
      </c>
      <c r="L103" s="99">
        <f ca="1">K$103*(1+L$224)+IF(OFFSET(Scenarios!$A$62,0,$C$1)="Yes",(L$70-K$70*(1+L$224))*SUM(OFFSET(Scenarios!$A$67,0,$C$1)),0)</f>
        <v>2.5957740434412995</v>
      </c>
      <c r="M103" s="99">
        <f ca="1">L$103*(1+M$224)+IF(OFFSET(Scenarios!$A$62,0,$C$1)="Yes",(M$70-L$70*(1+M$224))*SUM(OFFSET(Scenarios!$A$67,0,$C$1)),0)</f>
        <v>2.6195532712086309</v>
      </c>
      <c r="N103" s="99">
        <f ca="1">M$103*(1+N$224)+IF(OFFSET(Scenarios!$A$62,0,$C$1)="Yes",(N$70-M$70*(1+N$224))*SUM(OFFSET(Scenarios!$A$67,0,$C$1)),0)</f>
        <v>2.6411102672074227</v>
      </c>
      <c r="O103" s="99">
        <f ca="1">N$103*(1+O$224)+IF(OFFSET(Scenarios!$A$62,0,$C$1)="Yes",(O$70-N$70*(1+O$224))*SUM(OFFSET(Scenarios!$A$67,0,$C$1)),0)</f>
        <v>2.658998693199083</v>
      </c>
      <c r="P103" s="99">
        <f ca="1">O$103*(1+P$224)+IF(OFFSET(Scenarios!$A$62,0,$C$1)="Yes",(P$70-O$70*(1+P$224))*SUM(OFFSET(Scenarios!$A$67,0,$C$1)),0)</f>
        <v>2.6762372216762982</v>
      </c>
      <c r="Q103" s="99">
        <f ca="1">P$103*(1+Q$224)+IF(OFFSET(Scenarios!$A$62,0,$C$1)="Yes",(Q$70-P$70*(1+Q$224))*SUM(OFFSET(Scenarios!$A$67,0,$C$1)),0)</f>
        <v>2.692966132992094</v>
      </c>
      <c r="R103" s="99">
        <f ca="1">Q$103*(1+R$224)+IF(OFFSET(Scenarios!$A$62,0,$C$1)="Yes",(R$70-Q$70*(1+R$224))*SUM(OFFSET(Scenarios!$A$67,0,$C$1)),0)</f>
        <v>2.7089600460731718</v>
      </c>
      <c r="S103" s="99">
        <f ca="1">R$103*(1+S$224)+IF(OFFSET(Scenarios!$A$62,0,$C$1)="Yes",(S$70-R$70*(1+S$224))*SUM(OFFSET(Scenarios!$A$67,0,$C$1)),0)</f>
        <v>2.7249628444024059</v>
      </c>
      <c r="T103" s="99">
        <f ca="1">S$103*(1+T$224)+IF(OFFSET(Scenarios!$A$62,0,$C$1)="Yes",(T$70-S$70*(1+T$224))*SUM(OFFSET(Scenarios!$A$67,0,$C$1)),0)</f>
        <v>2.7397850373988568</v>
      </c>
      <c r="U103" s="54"/>
    </row>
    <row r="104" spans="1:21" x14ac:dyDescent="0.2">
      <c r="A104" s="93" t="s">
        <v>895</v>
      </c>
      <c r="B104" s="54"/>
      <c r="C104" s="94"/>
      <c r="D104" s="94">
        <f ca="1">SUM(Data!C$44,Data!C$48,Data!C$50:C$51,Data!C$53:C$54,Data!C$58)+IF(OFFSET(Scenarios!$A$62,0,$C$1)="Yes",(1-SUM(OFFSET(Scenarios!$A$63,0,$C$1,5,1)))*D$70,0)</f>
        <v>8.016</v>
      </c>
      <c r="E104" s="94">
        <f ca="1">SUM(Data!D$44,Data!D$48,Data!D$50:D$51,Data!D$53:D$54,Data!D$58)+IF(OFFSET(Scenarios!$A$62,0,$C$1)="Yes",(1-SUM(OFFSET(Scenarios!$A$63,0,$C$1,5,1)))*E$70,0)</f>
        <v>7.3209999999999997</v>
      </c>
      <c r="F104" s="180">
        <f ca="1">SUM(Data!E$44,Data!E$48,Data!E$50:E$51,Data!E$53:E$54,Data!E$58)+IF(OFFSET(Scenarios!$A$62,0,$C$1)="Yes",(1-SUM(OFFSET(Scenarios!$A$63,0,$C$1,5,1)))*F$70,0)+IF($F$1="Yes",SUM(Data!E$44,Data!E$48,Data!E$50:'Data'!E$51)*OFFSET(ReadyReckoner!$A$51,0,F$260),0)</f>
        <v>6.3395999999999999</v>
      </c>
      <c r="G104" s="180">
        <f ca="1">SUM(Data!F$44,Data!F$48,Data!F$50:F$51,Data!F$53:F$54,Data!F$58)+IF(OFFSET(Scenarios!$A$62,0,$C$1)="Yes",(1-SUM(OFFSET(Scenarios!$A$63,0,$C$1,5,1)))*G$70,0)+IF($F$1="Yes",SUM(Data!F$44,Data!F$48,Data!F$50:'Data'!F$51)*OFFSET(ReadyReckoner!$A$51,0,G$260),0)</f>
        <v>7.2762100000000007</v>
      </c>
      <c r="H104" s="180">
        <f ca="1">SUM(Data!G$44,Data!G$48,Data!G$50:G$51,Data!G$53:G$54,Data!G$58)+IF(OFFSET(Scenarios!$A$62,0,$C$1)="Yes",(1-SUM(OFFSET(Scenarios!$A$63,0,$C$1,5,1)))*H$70,0)+IF($F$1="Yes",SUM(Data!G$44,Data!G$48,Data!G$50:'Data'!G$51)*OFFSET(ReadyReckoner!$A$51,0,H$260),0)</f>
        <v>7.3703599999999998</v>
      </c>
      <c r="I104" s="180">
        <f ca="1">SUM(Data!H$44,Data!H$48,Data!H$50:H$51,Data!H$53:H$54,Data!H$58)+IF(OFFSET(Scenarios!$A$62,0,$C$1)="Yes",(1-SUM(OFFSET(Scenarios!$A$63,0,$C$1,5,1)))*I$70,0)+IF($F$1="Yes",SUM(Data!H$44,Data!H$48,Data!H$50:'Data'!H$51)*OFFSET(ReadyReckoner!$A$51,0,I$260),0)</f>
        <v>7.5198100000000005</v>
      </c>
      <c r="J104" s="180">
        <f ca="1">SUM(Data!I$44,Data!I$48,Data!I$50:I$51,Data!I$53:I$54,Data!I$58)+IF(OFFSET(Scenarios!$A$62,0,$C$1)="Yes",(1-SUM(OFFSET(Scenarios!$A$63,0,$C$1,5,1)))*J$70,0)+IF($F$1="Yes",SUM(Data!I$44,Data!I$48,Data!I$50:'Data'!I$51)*OFFSET(ReadyReckoner!$A$51,0,J$260),0)</f>
        <v>7.67218</v>
      </c>
      <c r="K104" s="99">
        <f ca="1">J$104*(1+K$222)+IF(OFFSET(Scenarios!$A$62,0,$C$1)="Yes",(K$70-J$70*(1+K$222))*(1-SUM(OFFSET(Scenarios!$A$63,0,$C$1,5,1))),0)</f>
        <v>7.7490742268756803</v>
      </c>
      <c r="L104" s="99">
        <f ca="1">K$104*(1+L$222)+IF(OFFSET(Scenarios!$A$62,0,$C$1)="Yes",(L$70-K$70*(1+L$222))*(1-SUM(OFFSET(Scenarios!$A$63,0,$C$1,5,1))),0)</f>
        <v>7.8291679063636144</v>
      </c>
      <c r="M104" s="99">
        <f ca="1">L$104*(1+M$222)+IF(OFFSET(Scenarios!$A$62,0,$C$1)="Yes",(M$70-L$70*(1+M$222))*(1-SUM(OFFSET(Scenarios!$A$63,0,$C$1,5,1))),0)</f>
        <v>7.9063842257841523</v>
      </c>
      <c r="N104" s="99">
        <f ca="1">M$104*(1+N$222)+IF(OFFSET(Scenarios!$A$62,0,$C$1)="Yes",(N$70-M$70*(1+N$222))*(1-SUM(OFFSET(Scenarios!$A$63,0,$C$1,5,1))),0)</f>
        <v>7.9781034991057869</v>
      </c>
      <c r="O104" s="99">
        <f ca="1">N$104*(1+O$222)+IF(OFFSET(Scenarios!$A$62,0,$C$1)="Yes",(O$70-N$70*(1+O$222))*(1-SUM(OFFSET(Scenarios!$A$63,0,$C$1,5,1))),0)</f>
        <v>8.0501019192996317</v>
      </c>
      <c r="P104" s="99">
        <f ca="1">O$104*(1+P$222)+IF(OFFSET(Scenarios!$A$62,0,$C$1)="Yes",(P$70-O$70*(1+P$222))*(1-SUM(OFFSET(Scenarios!$A$63,0,$C$1,5,1))),0)</f>
        <v>8.1245052971617469</v>
      </c>
      <c r="Q104" s="99">
        <f ca="1">P$104*(1+Q$222)+IF(OFFSET(Scenarios!$A$62,0,$C$1)="Yes",(Q$70-P$70*(1+Q$222))*(1-SUM(OFFSET(Scenarios!$A$63,0,$C$1,5,1))),0)</f>
        <v>8.1977706146986993</v>
      </c>
      <c r="R104" s="99">
        <f ca="1">Q$104*(1+R$222)+IF(OFFSET(Scenarios!$A$62,0,$C$1)="Yes",(R$70-Q$70*(1+R$222))*(1-SUM(OFFSET(Scenarios!$A$63,0,$C$1,5,1))),0)</f>
        <v>8.2739777108120158</v>
      </c>
      <c r="S104" s="99">
        <f ca="1">R$104*(1+S$222)+IF(OFFSET(Scenarios!$A$62,0,$C$1)="Yes",(S$70-R$70*(1+S$222))*(1-SUM(OFFSET(Scenarios!$A$63,0,$C$1,5,1))),0)</f>
        <v>8.3543505371721594</v>
      </c>
      <c r="T104" s="99">
        <f ca="1">S$104*(1+T$222)+IF(OFFSET(Scenarios!$A$62,0,$C$1)="Yes",(T$70-S$70*(1+T$222))*(1-SUM(OFFSET(Scenarios!$A$63,0,$C$1,5,1))),0)</f>
        <v>8.4342294882968538</v>
      </c>
      <c r="U104" s="54"/>
    </row>
    <row r="105" spans="1:21" x14ac:dyDescent="0.2">
      <c r="A105" s="258" t="s">
        <v>130</v>
      </c>
      <c r="B105" s="54"/>
      <c r="C105" s="94"/>
      <c r="D105" s="280">
        <f>Data!C$52</f>
        <v>0</v>
      </c>
      <c r="E105" s="280">
        <f>Data!D$52</f>
        <v>0</v>
      </c>
      <c r="F105" s="186">
        <f>Data!E$52</f>
        <v>0.32700000000000001</v>
      </c>
      <c r="G105" s="186">
        <f>Data!F$52</f>
        <v>0.95599999999999996</v>
      </c>
      <c r="H105" s="186">
        <f>Data!G$52</f>
        <v>0.629</v>
      </c>
      <c r="I105" s="186">
        <f>Data!H$52</f>
        <v>0.64200000000000002</v>
      </c>
      <c r="J105" s="186">
        <f>Data!I$52</f>
        <v>1.07</v>
      </c>
      <c r="K105" s="107">
        <f>Tracks!H$115</f>
        <v>1.35</v>
      </c>
      <c r="L105" s="107">
        <f>Tracks!I$115</f>
        <v>1.35</v>
      </c>
      <c r="M105" s="107">
        <f>Tracks!J$115</f>
        <v>1.35</v>
      </c>
      <c r="N105" s="107">
        <f>Tracks!K$115</f>
        <v>1.35</v>
      </c>
      <c r="O105" s="107">
        <f>Tracks!L$115</f>
        <v>1.35</v>
      </c>
      <c r="P105" s="107">
        <f>Tracks!M$115</f>
        <v>1.2479166666666666</v>
      </c>
      <c r="Q105" s="107">
        <f>Tracks!N$115</f>
        <v>1.1458333333333335</v>
      </c>
      <c r="R105" s="107">
        <f>Tracks!O$115</f>
        <v>1.04375</v>
      </c>
      <c r="S105" s="107">
        <f>Tracks!P$115</f>
        <v>0.94166666666666665</v>
      </c>
      <c r="T105" s="107">
        <f>Tracks!Q$115</f>
        <v>0.83958333333333335</v>
      </c>
      <c r="U105" s="54"/>
    </row>
    <row r="106" spans="1:21" x14ac:dyDescent="0.2">
      <c r="A106" s="43" t="s">
        <v>180</v>
      </c>
      <c r="B106" s="54"/>
      <c r="C106" s="94"/>
      <c r="D106" s="96">
        <f t="shared" ref="D106:T106" ca="1" si="47">SUM(D$99:D$105)</f>
        <v>15.282</v>
      </c>
      <c r="E106" s="96">
        <f t="shared" ca="1" si="47"/>
        <v>15.812000000000001</v>
      </c>
      <c r="F106" s="187">
        <f t="shared" ca="1" si="47"/>
        <v>17.378000000000004</v>
      </c>
      <c r="G106" s="187">
        <f t="shared" ca="1" si="47"/>
        <v>17.178999999999998</v>
      </c>
      <c r="H106" s="187">
        <f t="shared" ca="1" si="47"/>
        <v>16.914000000000001</v>
      </c>
      <c r="I106" s="187">
        <f t="shared" ca="1" si="47"/>
        <v>16.978999999999999</v>
      </c>
      <c r="J106" s="187">
        <f t="shared" ca="1" si="47"/>
        <v>17.64</v>
      </c>
      <c r="K106" s="101">
        <f t="shared" ca="1" si="47"/>
        <v>18.08727182682453</v>
      </c>
      <c r="L106" s="101">
        <f t="shared" ca="1" si="47"/>
        <v>18.255661545769165</v>
      </c>
      <c r="M106" s="101">
        <f t="shared" ca="1" si="47"/>
        <v>18.424036800396323</v>
      </c>
      <c r="N106" s="101">
        <f t="shared" ca="1" si="47"/>
        <v>18.585687848595242</v>
      </c>
      <c r="O106" s="101">
        <f t="shared" ca="1" si="47"/>
        <v>18.739708707497606</v>
      </c>
      <c r="P106" s="101">
        <f t="shared" ca="1" si="47"/>
        <v>18.793658127889653</v>
      </c>
      <c r="Q106" s="101">
        <f t="shared" ca="1" si="47"/>
        <v>18.832909957286489</v>
      </c>
      <c r="R106" s="101">
        <f t="shared" ca="1" si="47"/>
        <v>18.872935763161149</v>
      </c>
      <c r="S106" s="101">
        <f t="shared" ca="1" si="47"/>
        <v>18.917096629502019</v>
      </c>
      <c r="T106" s="101">
        <f t="shared" ca="1" si="47"/>
        <v>18.957523347411968</v>
      </c>
      <c r="U106" s="54"/>
    </row>
    <row r="107" spans="1:21" x14ac:dyDescent="0.2">
      <c r="A107" s="43" t="s">
        <v>723</v>
      </c>
      <c r="B107" s="138"/>
      <c r="C107" s="94"/>
      <c r="D107" s="96">
        <f ca="1">SUM(Data!C$18:C$28)-SUM(Data!C$44:C$54)+D$106</f>
        <v>25.501000000000001</v>
      </c>
      <c r="E107" s="96">
        <f ca="1">SUM(Data!D$18:D$28)-SUM(Data!D$44:D$54)+E$106</f>
        <v>30.026</v>
      </c>
      <c r="F107" s="187">
        <f ca="1">SUM(Data!E$18:E$28)-SUM(Data!E$44:E$54)+F$106</f>
        <v>31.644000000000005</v>
      </c>
      <c r="G107" s="187">
        <f ca="1">SUM(Data!F$18:F$28)-SUM(Data!F$44:F$54)+G$106</f>
        <v>32.215999999999994</v>
      </c>
      <c r="H107" s="187">
        <f ca="1">SUM(Data!G$18:G$28)-SUM(Data!G$44:G$54)+H$106</f>
        <v>33.191000000000003</v>
      </c>
      <c r="I107" s="187">
        <f ca="1">SUM(Data!H$18:H$28)-SUM(Data!H$44:H$54)+I$106</f>
        <v>33.509</v>
      </c>
      <c r="J107" s="187">
        <f ca="1">SUM(Data!I$18:I$28)-SUM(Data!I$44:I$54)+J$106</f>
        <v>34.634</v>
      </c>
      <c r="K107" s="146">
        <f t="shared" ref="K107:T107" ca="1" si="48">(J$107-J$106)*(1+K$215)+K$106</f>
        <v>35.862396798783863</v>
      </c>
      <c r="L107" s="146">
        <f t="shared" ca="1" si="48"/>
        <v>36.851076720004613</v>
      </c>
      <c r="M107" s="146">
        <f t="shared" ca="1" si="48"/>
        <v>37.872572822628271</v>
      </c>
      <c r="N107" s="146">
        <f t="shared" ca="1" si="48"/>
        <v>38.905563599085362</v>
      </c>
      <c r="O107" s="146">
        <f t="shared" ca="1" si="48"/>
        <v>39.919362289290305</v>
      </c>
      <c r="P107" s="146">
        <f t="shared" ca="1" si="48"/>
        <v>40.863110115623343</v>
      </c>
      <c r="Q107" s="146">
        <f t="shared" ca="1" si="48"/>
        <v>41.824237482930016</v>
      </c>
      <c r="R107" s="146">
        <f t="shared" ca="1" si="48"/>
        <v>42.81722612316257</v>
      </c>
      <c r="S107" s="146">
        <f t="shared" ca="1" si="48"/>
        <v>43.85306104500026</v>
      </c>
      <c r="T107" s="146">
        <f t="shared" ca="1" si="48"/>
        <v>44.914152251765984</v>
      </c>
      <c r="U107" s="54"/>
    </row>
    <row r="108" spans="1:21" x14ac:dyDescent="0.2">
      <c r="A108" s="43"/>
      <c r="B108" s="138"/>
      <c r="C108" s="94"/>
      <c r="D108" s="96"/>
      <c r="E108" s="96"/>
      <c r="F108" s="187"/>
      <c r="G108" s="187"/>
      <c r="H108" s="187"/>
      <c r="I108" s="187"/>
      <c r="J108" s="187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54"/>
    </row>
    <row r="109" spans="1:21" x14ac:dyDescent="0.2">
      <c r="A109" s="147" t="s">
        <v>659</v>
      </c>
      <c r="B109" s="138"/>
      <c r="C109" s="94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54"/>
    </row>
    <row r="110" spans="1:21" x14ac:dyDescent="0.2">
      <c r="A110" s="43" t="s">
        <v>741</v>
      </c>
      <c r="B110" s="138"/>
      <c r="C110" s="94"/>
      <c r="D110" s="96">
        <f>SUM(Data!C$55:C$56)</f>
        <v>2.3290000000000002</v>
      </c>
      <c r="E110" s="96">
        <f>SUM(Data!D$55:D$56)</f>
        <v>2.46</v>
      </c>
      <c r="F110" s="187">
        <f>SUM(Data!E$55:E$56)+IF($F$1="Yes",F$281,0)+IF($I$1="Yes",F$268,0)</f>
        <v>2.5649999999999999</v>
      </c>
      <c r="G110" s="187">
        <f>SUM(Data!F$55:F$56)+IF($F$1="Yes",G$281,0)+IF($I$1="Yes",G$268,0)</f>
        <v>2.484</v>
      </c>
      <c r="H110" s="187">
        <f>SUM(Data!G$55:G$56)+IF($F$1="Yes",H$281,0)+IF($I$1="Yes",H$268,0)</f>
        <v>2.9849999999999999</v>
      </c>
      <c r="I110" s="187">
        <f>SUM(Data!H$55:H$56)+IF($F$1="Yes",I$281,0)+IF($I$1="Yes",I$268,0)</f>
        <v>3.5569999999999999</v>
      </c>
      <c r="J110" s="187">
        <f>SUM(Data!I$55:I$56)+IF($F$1="Yes",J$281,0)+IF($I$1="Yes",J$268,0)</f>
        <v>4.3220000000000001</v>
      </c>
      <c r="K110" s="60">
        <f ca="1">J$204*K$219</f>
        <v>4.6073399999999998</v>
      </c>
      <c r="L110" s="60">
        <f t="shared" ref="L110:T110" ca="1" si="49">K$204*L$219</f>
        <v>5.3174272521507255</v>
      </c>
      <c r="M110" s="60">
        <f t="shared" ca="1" si="49"/>
        <v>6.0347224268644171</v>
      </c>
      <c r="N110" s="60">
        <f t="shared" ca="1" si="49"/>
        <v>6.7434685999963619</v>
      </c>
      <c r="O110" s="60">
        <f t="shared" ca="1" si="49"/>
        <v>7.4096756089978051</v>
      </c>
      <c r="P110" s="60">
        <f t="shared" ca="1" si="49"/>
        <v>8.0781354343689404</v>
      </c>
      <c r="Q110" s="60">
        <f t="shared" ca="1" si="49"/>
        <v>8.7450619540308345</v>
      </c>
      <c r="R110" s="60">
        <f t="shared" ca="1" si="49"/>
        <v>9.4031571009998558</v>
      </c>
      <c r="S110" s="60">
        <f t="shared" ca="1" si="49"/>
        <v>10.077831507894395</v>
      </c>
      <c r="T110" s="60">
        <f t="shared" ca="1" si="49"/>
        <v>10.768496623664495</v>
      </c>
      <c r="U110" s="54"/>
    </row>
    <row r="111" spans="1:21" x14ac:dyDescent="0.2">
      <c r="A111" s="43" t="s">
        <v>757</v>
      </c>
      <c r="B111" s="138"/>
      <c r="C111" s="94"/>
      <c r="D111" s="96">
        <f>SUM(Data!C$29:C$30)</f>
        <v>2.8849999999999998</v>
      </c>
      <c r="E111" s="96">
        <f>SUM(Data!D$29:D$30)</f>
        <v>3.101</v>
      </c>
      <c r="F111" s="187">
        <f>SUM(Data!E$29:E$30)+IF($F$1="Yes",F$281,0)+IF($I$1="Yes",F$268,0)</f>
        <v>3.2189999999999999</v>
      </c>
      <c r="G111" s="187">
        <f>SUM(Data!F$29:F$30)+IF($F$1="Yes",G$281,0)+IF($I$1="Yes",G$268,0)</f>
        <v>3.3149999999999999</v>
      </c>
      <c r="H111" s="187">
        <f>SUM(Data!G$29:G$30)+IF($F$1="Yes",H$281,0)+IF($I$1="Yes",H$268,0)</f>
        <v>3.9330000000000003</v>
      </c>
      <c r="I111" s="187">
        <f>SUM(Data!H$29:H$30)+IF($F$1="Yes",I$281,0)+IF($I$1="Yes",I$268,0)</f>
        <v>4.5360000000000005</v>
      </c>
      <c r="J111" s="187">
        <f>SUM(Data!I$29:I$30)+IF($F$1="Yes",J$281,0)+IF($I$1="Yes",J$268,0)</f>
        <v>5.3800000000000008</v>
      </c>
      <c r="K111" s="101">
        <f ca="1">SUM(J$202,J$199)*K$219</f>
        <v>5.6603999999999992</v>
      </c>
      <c r="L111" s="101">
        <f t="shared" ref="L111:T111" ca="1" si="50">SUM(K$202,K$199)*L$219</f>
        <v>6.3817290677494629</v>
      </c>
      <c r="M111" s="101">
        <f t="shared" ca="1" si="50"/>
        <v>7.1474454140900674</v>
      </c>
      <c r="N111" s="101">
        <f t="shared" ca="1" si="50"/>
        <v>7.9062464384421896</v>
      </c>
      <c r="O111" s="101">
        <f t="shared" ca="1" si="50"/>
        <v>8.6229900227653005</v>
      </c>
      <c r="P111" s="101">
        <f t="shared" ca="1" si="50"/>
        <v>9.3401717677694585</v>
      </c>
      <c r="Q111" s="101">
        <f t="shared" ca="1" si="50"/>
        <v>10.057073853930875</v>
      </c>
      <c r="R111" s="101">
        <f t="shared" ca="1" si="50"/>
        <v>10.766489424156015</v>
      </c>
      <c r="S111" s="101">
        <f t="shared" ca="1" si="50"/>
        <v>11.493687129687945</v>
      </c>
      <c r="T111" s="101">
        <f t="shared" ca="1" si="50"/>
        <v>12.238580115743764</v>
      </c>
      <c r="U111" s="54"/>
    </row>
    <row r="112" spans="1:21" x14ac:dyDescent="0.2">
      <c r="A112" s="43"/>
      <c r="B112" s="138"/>
      <c r="C112" s="94"/>
      <c r="D112" s="96"/>
      <c r="E112" s="96"/>
      <c r="F112" s="187"/>
      <c r="G112" s="187"/>
      <c r="H112" s="187"/>
      <c r="I112" s="187"/>
      <c r="J112" s="187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54"/>
    </row>
    <row r="113" spans="1:21" x14ac:dyDescent="0.2">
      <c r="A113" s="147" t="s">
        <v>660</v>
      </c>
      <c r="B113" s="60"/>
      <c r="C113" s="94"/>
      <c r="D113" s="94"/>
      <c r="E113" s="94"/>
      <c r="F113" s="180"/>
      <c r="G113" s="180"/>
      <c r="H113" s="180"/>
      <c r="I113" s="180"/>
      <c r="J113" s="180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54"/>
    </row>
    <row r="114" spans="1:21" x14ac:dyDescent="0.2">
      <c r="A114" s="47" t="s">
        <v>169</v>
      </c>
      <c r="B114" s="54"/>
      <c r="C114" s="94"/>
      <c r="D114" s="181">
        <f>Data!C$86</f>
        <v>9.8550000000000004</v>
      </c>
      <c r="E114" s="94">
        <f t="shared" ref="E114:T114" si="51">D$120</f>
        <v>12.973000000000001</v>
      </c>
      <c r="F114" s="142">
        <f t="shared" si="51"/>
        <v>14.212000000000002</v>
      </c>
      <c r="G114" s="142">
        <f t="shared" si="51"/>
        <v>14.335000000000003</v>
      </c>
      <c r="H114" s="142">
        <f t="shared" si="51"/>
        <v>17.787000000000003</v>
      </c>
      <c r="I114" s="142">
        <f t="shared" si="51"/>
        <v>21.486000000000001</v>
      </c>
      <c r="J114" s="142">
        <f t="shared" si="51"/>
        <v>25.466999999999999</v>
      </c>
      <c r="K114" s="99">
        <f t="shared" si="51"/>
        <v>29.804000000000002</v>
      </c>
      <c r="L114" s="99">
        <f t="shared" si="51"/>
        <v>34.223940150441813</v>
      </c>
      <c r="M114" s="99">
        <f t="shared" si="51"/>
        <v>38.904630229601949</v>
      </c>
      <c r="N114" s="99">
        <f t="shared" si="51"/>
        <v>43.872807989701251</v>
      </c>
      <c r="O114" s="99">
        <f t="shared" si="51"/>
        <v>49.131233585882313</v>
      </c>
      <c r="P114" s="99">
        <f t="shared" si="51"/>
        <v>54.678501411835057</v>
      </c>
      <c r="Q114" s="99">
        <f t="shared" si="51"/>
        <v>60.510012911569675</v>
      </c>
      <c r="R114" s="99">
        <f t="shared" si="51"/>
        <v>66.625408164445261</v>
      </c>
      <c r="S114" s="99">
        <f t="shared" si="51"/>
        <v>72.949928333775361</v>
      </c>
      <c r="T114" s="99">
        <f t="shared" si="51"/>
        <v>79.472941753894119</v>
      </c>
      <c r="U114" s="54"/>
    </row>
    <row r="115" spans="1:21" x14ac:dyDescent="0.2">
      <c r="A115" s="251" t="s">
        <v>495</v>
      </c>
      <c r="B115" s="54"/>
      <c r="C115" s="94"/>
      <c r="D115" s="94">
        <f>Data!C$87</f>
        <v>2.0489999999999999</v>
      </c>
      <c r="E115" s="94">
        <f>Data!D$87</f>
        <v>2.1040000000000001</v>
      </c>
      <c r="F115" s="142">
        <f>Data!E$87</f>
        <v>2.242</v>
      </c>
      <c r="G115" s="142">
        <f>Data!F$87</f>
        <v>2.2309999999999999</v>
      </c>
      <c r="H115" s="142">
        <f>Data!G$87</f>
        <v>2.258</v>
      </c>
      <c r="I115" s="142">
        <f>Data!H$87</f>
        <v>2.2989999999999999</v>
      </c>
      <c r="J115" s="142">
        <f>Data!I$87</f>
        <v>2.3980000000000001</v>
      </c>
      <c r="K115" s="99">
        <f>Tracks!O$6</f>
        <v>2.3863621594612159</v>
      </c>
      <c r="L115" s="99">
        <f>Tracks!P$6</f>
        <v>2.357448976691142</v>
      </c>
      <c r="M115" s="99">
        <f>Tracks!Q$6</f>
        <v>2.3378409886424087</v>
      </c>
      <c r="N115" s="99">
        <f>Tracks!R$6</f>
        <v>2.3025828987531316</v>
      </c>
      <c r="O115" s="99">
        <f>Tracks!S$6</f>
        <v>2.247459257415521</v>
      </c>
      <c r="P115" s="99">
        <f>Tracks!T$6</f>
        <v>2.1694634973066549</v>
      </c>
      <c r="Q115" s="99">
        <f>Tracks!U$6</f>
        <v>2.0729989264175632</v>
      </c>
      <c r="R115" s="99">
        <f>Tracks!V$6</f>
        <v>1.8859446104658986</v>
      </c>
      <c r="S115" s="99">
        <f>Tracks!W$6</f>
        <v>1.6752497027927458</v>
      </c>
      <c r="T115" s="99">
        <f>Tracks!X$6</f>
        <v>1.437031201784265</v>
      </c>
      <c r="U115" s="54"/>
    </row>
    <row r="116" spans="1:21" x14ac:dyDescent="0.2">
      <c r="A116" s="251" t="s">
        <v>496</v>
      </c>
      <c r="B116" s="54"/>
      <c r="C116" s="94"/>
      <c r="D116" s="94">
        <f>Data!C$88</f>
        <v>0.436</v>
      </c>
      <c r="E116" s="94">
        <f>Data!D$88</f>
        <v>0.38500000000000001</v>
      </c>
      <c r="F116" s="142">
        <f>Data!E$88</f>
        <v>0.43099999999999999</v>
      </c>
      <c r="G116" s="142">
        <f>Data!F$88</f>
        <v>0.48699999999999999</v>
      </c>
      <c r="H116" s="142">
        <f>Data!G$88</f>
        <v>0.56200000000000006</v>
      </c>
      <c r="I116" s="142">
        <f>Data!H$88</f>
        <v>0.64200000000000002</v>
      </c>
      <c r="J116" s="142">
        <f>Data!I$88</f>
        <v>0.72499999999999998</v>
      </c>
      <c r="K116" s="99">
        <f>J$116*Tracks!O$7/Tracks!N$7-J$118*J$116/SUM(J$116,J$117)*(Tracks!O$7/Tracks!N$7-1)</f>
        <v>0.74587931418630149</v>
      </c>
      <c r="L116" s="99">
        <f>K$116*Tracks!P$7/Tracks!O$7-K$118*K$116/SUM(K$116,K$117)*(Tracks!P$7/Tracks!O$7-1)</f>
        <v>0.84321054452551125</v>
      </c>
      <c r="M116" s="99">
        <f>L$116*Tracks!Q$7/Tracks!P$7-L$118*L$116/SUM(L$116,L$117)*(Tracks!Q$7/Tracks!P$7-1)</f>
        <v>0.94639938048341732</v>
      </c>
      <c r="N116" s="99">
        <f>M$116*Tracks!R$7/Tracks!Q$7-M$118*M$116/SUM(M$116,M$117)*(Tracks!R$7/Tracks!Q$7-1)</f>
        <v>1.055774344021825</v>
      </c>
      <c r="O116" s="99">
        <f>N$116*Tracks!S$7/Tracks!R$7-N$118*N$116/SUM(N$116,N$117)*(Tracks!S$7/Tracks!R$7-1)</f>
        <v>1.1713521311198762</v>
      </c>
      <c r="P116" s="99">
        <f>O$116*Tracks!T$7/Tracks!S$7-O$118*O$116/SUM(O$116,O$117)*(Tracks!T$7/Tracks!S$7-1)</f>
        <v>1.2930701144585168</v>
      </c>
      <c r="Q116" s="99">
        <f>P$116*Tracks!U$7/Tracks!T$7-P$118*P$116/SUM(P$116,P$117)*(Tracks!U$7/Tracks!T$7-1)</f>
        <v>1.4208729615144635</v>
      </c>
      <c r="R116" s="99">
        <f>Q$116*Tracks!V$7/Tracks!U$7-Q$118*Q$116/SUM(Q$116,Q$117)*(Tracks!V$7/Tracks!U$7-1)</f>
        <v>1.5539952356169444</v>
      </c>
      <c r="S116" s="99">
        <f>R$116*Tracks!W$7/Tracks!V$7-R$118*R$116/SUM(R$116,R$117)*(Tracks!W$7/Tracks!V$7-1)</f>
        <v>1.6914887075978222</v>
      </c>
      <c r="T116" s="99">
        <f>S$116*Tracks!X$7/Tracks!W$7-S$118*S$116/SUM(S$116,S$117)*(Tracks!X$7/Tracks!W$7-1)</f>
        <v>1.8330777445800253</v>
      </c>
      <c r="U116" s="54"/>
    </row>
    <row r="117" spans="1:21" x14ac:dyDescent="0.2">
      <c r="A117" s="251" t="s">
        <v>497</v>
      </c>
      <c r="B117" s="54"/>
      <c r="C117" s="94"/>
      <c r="D117" s="94">
        <f>Data!C$90</f>
        <v>1.3129999999999999</v>
      </c>
      <c r="E117" s="94">
        <f>Data!D$90</f>
        <v>-0.995</v>
      </c>
      <c r="F117" s="142">
        <f>Data!E$90</f>
        <v>-2.363</v>
      </c>
      <c r="G117" s="142">
        <f>Data!F$90</f>
        <v>1.321</v>
      </c>
      <c r="H117" s="142">
        <f>Data!G$90</f>
        <v>1.569</v>
      </c>
      <c r="I117" s="142">
        <f>Data!H$90</f>
        <v>1.8360000000000001</v>
      </c>
      <c r="J117" s="142">
        <f>Data!I$90</f>
        <v>2.1139999999999999</v>
      </c>
      <c r="K117" s="99">
        <f>J$117*Tracks!O$7/Tracks!N$7-J$118*J$117/SUM(J$116,J$117)*(Tracks!O$7/Tracks!N$7-1)</f>
        <v>2.1748812002618498</v>
      </c>
      <c r="L117" s="99">
        <f>K$117*Tracks!P$7/Tracks!O$7-K$118*K$117/SUM(K$116,K$117)*(Tracks!P$7/Tracks!O$7-1)</f>
        <v>2.4586856429336978</v>
      </c>
      <c r="M117" s="99">
        <f>L$117*Tracks!Q$7/Tracks!P$7-L$118*L$117/SUM(L$116,L$117)*(Tracks!Q$7/Tracks!P$7-1)</f>
        <v>2.7595700556440614</v>
      </c>
      <c r="N117" s="99">
        <f>M$117*Tracks!R$7/Tracks!Q$7-M$118*M$117/SUM(M$116,M$117)*(Tracks!R$7/Tracks!Q$7-1)</f>
        <v>3.0784923631201906</v>
      </c>
      <c r="O117" s="99">
        <f>N$117*Tracks!S$7/Tracks!R$7-N$118*N$117/SUM(N$116,N$117)*(Tracks!S$7/Tracks!R$7-1)</f>
        <v>3.4155012485343699</v>
      </c>
      <c r="P117" s="99">
        <f>O$117*Tracks!T$7/Tracks!S$7-O$118*O$117/SUM(O$116,O$117)*(Tracks!T$7/Tracks!S$7-1)</f>
        <v>3.7704140992624886</v>
      </c>
      <c r="Q117" s="99">
        <f>P$117*Tracks!U$7/Tracks!T$7-P$118*P$117/SUM(P$116,P$117)*(Tracks!U$7/Tracks!T$7-1)</f>
        <v>4.1430695732987246</v>
      </c>
      <c r="R117" s="99">
        <f>Q$117*Tracks!V$7/Tracks!U$7-Q$118*Q$117/SUM(Q$116,Q$117)*(Tracks!V$7/Tracks!U$7-1)</f>
        <v>4.5312357628885787</v>
      </c>
      <c r="S117" s="99">
        <f>R$117*Tracks!W$7/Tracks!V$7-R$118*R$117/SUM(R$116,R$117)*(Tracks!W$7/Tracks!V$7-1)</f>
        <v>4.9321477625679933</v>
      </c>
      <c r="T117" s="99">
        <f>S$117*Tracks!X$7/Tracks!W$7-S$118*S$117/SUM(S$116,S$117)*(Tracks!X$7/Tracks!W$7-1)</f>
        <v>5.3450018648857549</v>
      </c>
      <c r="U117" s="54"/>
    </row>
    <row r="118" spans="1:21" x14ac:dyDescent="0.2">
      <c r="A118" s="259" t="s">
        <v>751</v>
      </c>
      <c r="B118" s="54"/>
      <c r="C118" s="94"/>
      <c r="D118" s="94">
        <f>Data!C$89</f>
        <v>-2.6999999999999996E-2</v>
      </c>
      <c r="E118" s="94">
        <f>Data!D$89</f>
        <v>1.8000000000000002E-2</v>
      </c>
      <c r="F118" s="142">
        <f>Data!E$89</f>
        <v>0.15599999999999992</v>
      </c>
      <c r="G118" s="142">
        <f>Data!F$89</f>
        <v>0.16800000000000001</v>
      </c>
      <c r="H118" s="142">
        <f>Data!G$89</f>
        <v>0.19599999999999995</v>
      </c>
      <c r="I118" s="142">
        <f>Data!H$89</f>
        <v>0.222</v>
      </c>
      <c r="J118" s="142">
        <f>Data!I$89</f>
        <v>0.245</v>
      </c>
      <c r="K118" s="99">
        <f>J$118</f>
        <v>0.245</v>
      </c>
      <c r="L118" s="99">
        <f t="shared" ref="L118:T118" si="52">K$118</f>
        <v>0.245</v>
      </c>
      <c r="M118" s="99">
        <f t="shared" si="52"/>
        <v>0.245</v>
      </c>
      <c r="N118" s="99">
        <f t="shared" si="52"/>
        <v>0.245</v>
      </c>
      <c r="O118" s="99">
        <f t="shared" si="52"/>
        <v>0.245</v>
      </c>
      <c r="P118" s="99">
        <f t="shared" si="52"/>
        <v>0.245</v>
      </c>
      <c r="Q118" s="99">
        <f t="shared" si="52"/>
        <v>0.245</v>
      </c>
      <c r="R118" s="99">
        <f t="shared" si="52"/>
        <v>0.245</v>
      </c>
      <c r="S118" s="99">
        <f t="shared" si="52"/>
        <v>0.245</v>
      </c>
      <c r="T118" s="99">
        <f t="shared" si="52"/>
        <v>0.245</v>
      </c>
      <c r="U118" s="54"/>
    </row>
    <row r="119" spans="1:21" x14ac:dyDescent="0.2">
      <c r="A119" s="259" t="s">
        <v>662</v>
      </c>
      <c r="B119" s="54"/>
      <c r="C119" s="94"/>
      <c r="D119" s="280">
        <f>Data!C$91</f>
        <v>0.70699999999999996</v>
      </c>
      <c r="E119" s="280">
        <f>Data!D$91</f>
        <v>0.23699999999999999</v>
      </c>
      <c r="F119" s="186">
        <f>Data!E$91</f>
        <v>3.1000000000000028E-2</v>
      </c>
      <c r="G119" s="186">
        <f>Data!F$91</f>
        <v>0.41899999999999998</v>
      </c>
      <c r="H119" s="186">
        <f>Data!G$91</f>
        <v>0.49399999999999999</v>
      </c>
      <c r="I119" s="186">
        <f>Data!H$91</f>
        <v>0.57399999999999995</v>
      </c>
      <c r="J119" s="186">
        <f>Data!I$91</f>
        <v>0.65500000000000003</v>
      </c>
      <c r="K119" s="107">
        <f>Tracks!O$8</f>
        <v>0.64218252346755633</v>
      </c>
      <c r="L119" s="107">
        <f>Tracks!P$8</f>
        <v>0.73365508499021015</v>
      </c>
      <c r="M119" s="107">
        <f>Tracks!Q$8</f>
        <v>0.83063266467059493</v>
      </c>
      <c r="N119" s="107">
        <f>Tracks!R$8</f>
        <v>0.93342400971408379</v>
      </c>
      <c r="O119" s="107">
        <f>Tracks!S$8</f>
        <v>1.0420448111170191</v>
      </c>
      <c r="P119" s="107">
        <f>Tracks!T$8</f>
        <v>1.1564362112930413</v>
      </c>
      <c r="Q119" s="107">
        <f>Tracks!U$8</f>
        <v>1.2765462083551651</v>
      </c>
      <c r="R119" s="107">
        <f>Tracks!V$8</f>
        <v>1.4016554396413257</v>
      </c>
      <c r="S119" s="107">
        <f>Tracks!W$8</f>
        <v>1.5308727528397958</v>
      </c>
      <c r="T119" s="107">
        <f>Tracks!X$8</f>
        <v>1.6639391062717872</v>
      </c>
      <c r="U119" s="54"/>
    </row>
    <row r="120" spans="1:21" x14ac:dyDescent="0.2">
      <c r="A120" s="43" t="s">
        <v>170</v>
      </c>
      <c r="B120" s="54"/>
      <c r="C120" s="94"/>
      <c r="D120" s="96">
        <f t="shared" ref="D120:T120" si="53">SUM(D$114:D$117)-SUM(D$118,D$119)</f>
        <v>12.973000000000001</v>
      </c>
      <c r="E120" s="96">
        <f t="shared" si="53"/>
        <v>14.212000000000002</v>
      </c>
      <c r="F120" s="187">
        <f t="shared" si="53"/>
        <v>14.335000000000003</v>
      </c>
      <c r="G120" s="187">
        <f t="shared" si="53"/>
        <v>17.787000000000003</v>
      </c>
      <c r="H120" s="187">
        <f t="shared" si="53"/>
        <v>21.486000000000001</v>
      </c>
      <c r="I120" s="187">
        <f t="shared" si="53"/>
        <v>25.466999999999999</v>
      </c>
      <c r="J120" s="187">
        <f t="shared" si="53"/>
        <v>29.804000000000002</v>
      </c>
      <c r="K120" s="101">
        <f t="shared" si="53"/>
        <v>34.223940150441813</v>
      </c>
      <c r="L120" s="101">
        <f t="shared" si="53"/>
        <v>38.904630229601949</v>
      </c>
      <c r="M120" s="101">
        <f t="shared" si="53"/>
        <v>43.872807989701251</v>
      </c>
      <c r="N120" s="101">
        <f t="shared" si="53"/>
        <v>49.131233585882313</v>
      </c>
      <c r="O120" s="101">
        <f t="shared" si="53"/>
        <v>54.678501411835057</v>
      </c>
      <c r="P120" s="101">
        <f t="shared" si="53"/>
        <v>60.510012911569675</v>
      </c>
      <c r="Q120" s="101">
        <f t="shared" si="53"/>
        <v>66.625408164445261</v>
      </c>
      <c r="R120" s="101">
        <f t="shared" si="53"/>
        <v>72.949928333775361</v>
      </c>
      <c r="S120" s="101">
        <f t="shared" si="53"/>
        <v>79.472941753894119</v>
      </c>
      <c r="T120" s="101">
        <f t="shared" si="53"/>
        <v>86.179113458872379</v>
      </c>
      <c r="U120" s="54"/>
    </row>
    <row r="121" spans="1:21" x14ac:dyDescent="0.2">
      <c r="A121" s="147" t="s">
        <v>661</v>
      </c>
      <c r="B121" s="60"/>
      <c r="C121" s="94"/>
      <c r="D121" s="96"/>
      <c r="E121" s="96"/>
      <c r="F121" s="96"/>
      <c r="G121" s="96"/>
      <c r="H121" s="96"/>
      <c r="I121" s="96"/>
      <c r="J121" s="96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54"/>
    </row>
    <row r="122" spans="1:21" x14ac:dyDescent="0.2">
      <c r="A122" s="47" t="s">
        <v>338</v>
      </c>
      <c r="B122" s="54"/>
      <c r="C122" s="94"/>
      <c r="D122" s="94">
        <f>Data!C$149</f>
        <v>11.663</v>
      </c>
      <c r="E122" s="94">
        <f>Data!D$149</f>
        <v>13.382</v>
      </c>
      <c r="F122" s="142">
        <f>Data!E$149</f>
        <v>12.873999999999999</v>
      </c>
      <c r="G122" s="142">
        <f>Data!F$149</f>
        <v>16.064999999999998</v>
      </c>
      <c r="H122" s="142">
        <f>Data!G$149</f>
        <v>19.515000000000001</v>
      </c>
      <c r="I122" s="142">
        <f>Data!H$149</f>
        <v>23.286999999999999</v>
      </c>
      <c r="J122" s="142">
        <f>Data!I$149</f>
        <v>27.440999999999999</v>
      </c>
      <c r="K122" s="99">
        <f>J$122*K$120/J$120</f>
        <v>31.510506699378393</v>
      </c>
      <c r="L122" s="99">
        <f t="shared" ref="L122:T122" si="54">K$122*L$120/K$120</f>
        <v>35.820089858089744</v>
      </c>
      <c r="M122" s="99">
        <f t="shared" si="54"/>
        <v>40.394367334766862</v>
      </c>
      <c r="N122" s="99">
        <f t="shared" si="54"/>
        <v>45.235880446590933</v>
      </c>
      <c r="O122" s="99">
        <f t="shared" si="54"/>
        <v>50.343335030269941</v>
      </c>
      <c r="P122" s="99">
        <f t="shared" si="54"/>
        <v>55.712497124761207</v>
      </c>
      <c r="Q122" s="99">
        <f t="shared" si="54"/>
        <v>61.34303534560938</v>
      </c>
      <c r="R122" s="99">
        <f t="shared" si="54"/>
        <v>67.166118085060035</v>
      </c>
      <c r="S122" s="99">
        <f t="shared" si="54"/>
        <v>73.171956605442489</v>
      </c>
      <c r="T122" s="99">
        <f t="shared" si="54"/>
        <v>79.346431768383994</v>
      </c>
      <c r="U122" s="54"/>
    </row>
    <row r="123" spans="1:21" x14ac:dyDescent="0.2">
      <c r="A123" s="47" t="s">
        <v>844</v>
      </c>
      <c r="B123" s="54"/>
      <c r="C123" s="94"/>
      <c r="D123" s="94">
        <f>Data!C$156</f>
        <v>12.523</v>
      </c>
      <c r="E123" s="94">
        <f>Data!D$156</f>
        <v>13.611000000000001</v>
      </c>
      <c r="F123" s="142">
        <f>Data!E$156</f>
        <v>13.278000000000002</v>
      </c>
      <c r="G123" s="142">
        <f>Data!F$156</f>
        <v>16.577999999999999</v>
      </c>
      <c r="H123" s="142">
        <f>Data!G$156</f>
        <v>20.143000000000001</v>
      </c>
      <c r="I123" s="142">
        <f>Data!H$156</f>
        <v>24.055</v>
      </c>
      <c r="J123" s="142">
        <f>Data!I$156</f>
        <v>28.358000000000001</v>
      </c>
      <c r="K123" s="99">
        <f>J$123*K$120/J$120</f>
        <v>32.563498013227381</v>
      </c>
      <c r="L123" s="99">
        <f t="shared" ref="L123:T123" si="55">K$123*L$120/K$120</f>
        <v>37.017095156725674</v>
      </c>
      <c r="M123" s="99">
        <f t="shared" si="55"/>
        <v>41.744231947790496</v>
      </c>
      <c r="N123" s="99">
        <f t="shared" si="55"/>
        <v>46.747534627179249</v>
      </c>
      <c r="O123" s="99">
        <f t="shared" si="55"/>
        <v>52.025665784351702</v>
      </c>
      <c r="P123" s="99">
        <f t="shared" si="55"/>
        <v>57.574249971355933</v>
      </c>
      <c r="Q123" s="99">
        <f t="shared" si="55"/>
        <v>63.392944729812704</v>
      </c>
      <c r="R123" s="99">
        <f t="shared" si="55"/>
        <v>69.410618295839512</v>
      </c>
      <c r="S123" s="99">
        <f t="shared" si="55"/>
        <v>75.617154820055319</v>
      </c>
      <c r="T123" s="99">
        <f t="shared" si="55"/>
        <v>81.997963342729236</v>
      </c>
      <c r="U123" s="54"/>
    </row>
    <row r="124" spans="1:21" x14ac:dyDescent="0.2">
      <c r="A124" s="47" t="s">
        <v>337</v>
      </c>
      <c r="B124" s="54"/>
      <c r="C124" s="94"/>
      <c r="D124" s="94">
        <f>Data!C$191</f>
        <v>1.7000000000000001E-2</v>
      </c>
      <c r="E124" s="94">
        <f>Data!D$191</f>
        <v>3.7999999999999999E-2</v>
      </c>
      <c r="F124" s="142">
        <f>Data!E$191</f>
        <v>3.5000000000000003E-2</v>
      </c>
      <c r="G124" s="142">
        <f>Data!F$191</f>
        <v>0.04</v>
      </c>
      <c r="H124" s="142">
        <f>Data!G$191</f>
        <v>4.3999999999999997E-2</v>
      </c>
      <c r="I124" s="142">
        <f>Data!H$191</f>
        <v>0.05</v>
      </c>
      <c r="J124" s="142">
        <f>Data!I$191</f>
        <v>5.8000000000000003E-2</v>
      </c>
      <c r="K124" s="99">
        <f>J$124*K$116/J$116</f>
        <v>5.9670345134904129E-2</v>
      </c>
      <c r="L124" s="99">
        <f t="shared" ref="L124:T124" si="56">K$124*L$116/K$116</f>
        <v>6.7456843562040916E-2</v>
      </c>
      <c r="M124" s="99">
        <f t="shared" si="56"/>
        <v>7.5711950438673389E-2</v>
      </c>
      <c r="N124" s="99">
        <f t="shared" si="56"/>
        <v>8.4461947521746017E-2</v>
      </c>
      <c r="O124" s="99">
        <f t="shared" si="56"/>
        <v>9.3708170489590112E-2</v>
      </c>
      <c r="P124" s="99">
        <f t="shared" si="56"/>
        <v>0.10344560915668137</v>
      </c>
      <c r="Q124" s="99">
        <f t="shared" si="56"/>
        <v>0.11366983692115711</v>
      </c>
      <c r="R124" s="99">
        <f t="shared" si="56"/>
        <v>0.12431961884935559</v>
      </c>
      <c r="S124" s="99">
        <f t="shared" si="56"/>
        <v>0.13531909660782582</v>
      </c>
      <c r="T124" s="99">
        <f t="shared" si="56"/>
        <v>0.14664621956640206</v>
      </c>
      <c r="U124" s="54"/>
    </row>
    <row r="125" spans="1:21" x14ac:dyDescent="0.2">
      <c r="A125" s="47" t="s">
        <v>694</v>
      </c>
      <c r="B125" s="54"/>
      <c r="C125" s="94"/>
      <c r="D125" s="94">
        <f>Data!C$190</f>
        <v>0.11899999999999999</v>
      </c>
      <c r="E125" s="94">
        <f>Data!D$190</f>
        <v>9.7000000000000003E-2</v>
      </c>
      <c r="F125" s="142">
        <f>Data!E$190</f>
        <v>0.13800000000000001</v>
      </c>
      <c r="G125" s="142">
        <f>Data!F$190</f>
        <v>0.151</v>
      </c>
      <c r="H125" s="142">
        <f>Data!G$190</f>
        <v>0.17299999999999999</v>
      </c>
      <c r="I125" s="142">
        <f>Data!H$190</f>
        <v>0.19800000000000001</v>
      </c>
      <c r="J125" s="142">
        <f>Data!I$190</f>
        <v>0.22</v>
      </c>
      <c r="K125" s="99">
        <f>J$125</f>
        <v>0.22</v>
      </c>
      <c r="L125" s="99">
        <f t="shared" ref="L125:T125" si="57">K$125</f>
        <v>0.22</v>
      </c>
      <c r="M125" s="99">
        <f t="shared" si="57"/>
        <v>0.22</v>
      </c>
      <c r="N125" s="99">
        <f t="shared" si="57"/>
        <v>0.22</v>
      </c>
      <c r="O125" s="99">
        <f t="shared" si="57"/>
        <v>0.22</v>
      </c>
      <c r="P125" s="99">
        <f t="shared" si="57"/>
        <v>0.22</v>
      </c>
      <c r="Q125" s="99">
        <f t="shared" si="57"/>
        <v>0.22</v>
      </c>
      <c r="R125" s="99">
        <f t="shared" si="57"/>
        <v>0.22</v>
      </c>
      <c r="S125" s="99">
        <f t="shared" si="57"/>
        <v>0.22</v>
      </c>
      <c r="T125" s="99">
        <f t="shared" si="57"/>
        <v>0.22</v>
      </c>
      <c r="U125" s="54"/>
    </row>
    <row r="126" spans="1:21" x14ac:dyDescent="0.2">
      <c r="A126" s="42"/>
      <c r="B126" s="60"/>
      <c r="C126" s="94"/>
      <c r="D126" s="283"/>
      <c r="E126" s="283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54"/>
    </row>
    <row r="127" spans="1:21" x14ac:dyDescent="0.2">
      <c r="A127" s="147" t="s">
        <v>412</v>
      </c>
      <c r="C127" s="94"/>
      <c r="D127" s="94"/>
      <c r="E127" s="9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1:21" x14ac:dyDescent="0.2">
      <c r="A128" s="47" t="s">
        <v>423</v>
      </c>
      <c r="B128" s="54"/>
      <c r="C128" s="94"/>
      <c r="D128" s="94">
        <f>Data!C$80</f>
        <v>17.417999999999999</v>
      </c>
      <c r="E128" s="94">
        <f>Data!D$80</f>
        <v>20.484000000000002</v>
      </c>
      <c r="F128" s="142">
        <f>Data!E$80</f>
        <v>22.399000000000001</v>
      </c>
      <c r="G128" s="142">
        <f>Data!F$80</f>
        <v>23.842000000000002</v>
      </c>
      <c r="H128" s="142">
        <f>Data!G$80</f>
        <v>25.319000000000003</v>
      </c>
      <c r="I128" s="142">
        <f>Data!H$80</f>
        <v>26.87</v>
      </c>
      <c r="J128" s="142">
        <f>Data!I$80</f>
        <v>28.490000000000002</v>
      </c>
      <c r="K128" s="99">
        <f t="shared" ref="K128:T128" si="58">J$128*IF(K$1="Proj Yr1",AVERAGE(H$128/G$128,I$128/H$128,J$128/I$128),J$128/I$128)</f>
        <v>30.232620583894441</v>
      </c>
      <c r="L128" s="99">
        <f t="shared" si="58"/>
        <v>32.081830374507469</v>
      </c>
      <c r="M128" s="99">
        <f t="shared" si="58"/>
        <v>34.044149011910996</v>
      </c>
      <c r="N128" s="99">
        <f t="shared" si="58"/>
        <v>36.126494916766227</v>
      </c>
      <c r="O128" s="99">
        <f t="shared" si="58"/>
        <v>38.336209682154596</v>
      </c>
      <c r="P128" s="99">
        <f t="shared" si="58"/>
        <v>40.681083957360485</v>
      </c>
      <c r="Q128" s="99">
        <f t="shared" si="58"/>
        <v>43.169384914862562</v>
      </c>
      <c r="R128" s="99">
        <f t="shared" si="58"/>
        <v>45.80988539737227</v>
      </c>
      <c r="S128" s="99">
        <f t="shared" si="58"/>
        <v>48.611894847681363</v>
      </c>
      <c r="T128" s="99">
        <f t="shared" si="58"/>
        <v>51.585292130365865</v>
      </c>
      <c r="U128" s="54"/>
    </row>
    <row r="129" spans="1:21" x14ac:dyDescent="0.2">
      <c r="A129" s="47" t="s">
        <v>349</v>
      </c>
      <c r="B129" s="54"/>
      <c r="C129" s="94"/>
      <c r="D129" s="94">
        <f>Data!C$157</f>
        <v>11.263999999999999</v>
      </c>
      <c r="E129" s="94">
        <f>Data!D$157</f>
        <v>12.496</v>
      </c>
      <c r="F129" s="142">
        <f>Data!E$157</f>
        <v>12.757</v>
      </c>
      <c r="G129" s="142">
        <f>Data!F$157</f>
        <v>13.98</v>
      </c>
      <c r="H129" s="142">
        <f>Data!G$157</f>
        <v>15.171999999999999</v>
      </c>
      <c r="I129" s="142">
        <f>Data!H$157</f>
        <v>16.177</v>
      </c>
      <c r="J129" s="142">
        <f>Data!I$157</f>
        <v>16.992000000000001</v>
      </c>
      <c r="K129" s="99">
        <f t="shared" ref="K129:T129" si="59">K$128*IF(K$1="Proj Yr1",AVERAGE(H$129/H$128,I$129/I$128,J$129/J$128),J$129/J$128)</f>
        <v>18.11639870271582</v>
      </c>
      <c r="L129" s="99">
        <f t="shared" si="59"/>
        <v>19.224507136741479</v>
      </c>
      <c r="M129" s="99">
        <f t="shared" si="59"/>
        <v>20.400394179623586</v>
      </c>
      <c r="N129" s="99">
        <f t="shared" si="59"/>
        <v>21.648205580710716</v>
      </c>
      <c r="O129" s="99">
        <f t="shared" si="59"/>
        <v>22.972340668437109</v>
      </c>
      <c r="P129" s="99">
        <f t="shared" si="59"/>
        <v>24.377467860752088</v>
      </c>
      <c r="Q129" s="99">
        <f t="shared" si="59"/>
        <v>25.8685411242611</v>
      </c>
      <c r="R129" s="99">
        <f t="shared" si="59"/>
        <v>27.450817440107262</v>
      </c>
      <c r="S129" s="99">
        <f t="shared" si="59"/>
        <v>29.129875338171821</v>
      </c>
      <c r="T129" s="99">
        <f t="shared" si="59"/>
        <v>30.911634564938304</v>
      </c>
      <c r="U129" s="54"/>
    </row>
    <row r="130" spans="1:21" x14ac:dyDescent="0.2">
      <c r="A130" s="47" t="s">
        <v>351</v>
      </c>
      <c r="B130" s="54"/>
      <c r="C130" s="94"/>
      <c r="D130" s="94">
        <f>Data!C$151</f>
        <v>9.0109999999999992</v>
      </c>
      <c r="E130" s="94">
        <f>Data!D$151</f>
        <v>10.016999999999999</v>
      </c>
      <c r="F130" s="142">
        <f>Data!E$151</f>
        <v>9.6189999999999998</v>
      </c>
      <c r="G130" s="142">
        <f>Data!F$151</f>
        <v>10.889000000000001</v>
      </c>
      <c r="H130" s="142">
        <f>Data!G$151</f>
        <v>12.190999999999999</v>
      </c>
      <c r="I130" s="142">
        <f>Data!H$151</f>
        <v>13.502000000000001</v>
      </c>
      <c r="J130" s="142">
        <f>Data!I$151</f>
        <v>14.773999999999999</v>
      </c>
      <c r="K130" s="99">
        <f t="shared" ref="K130:T130" si="60">K$129*IF(K$1="Proj Yr1",AVERAGE(H$130/H$129,I$130/I$129,J$130/J$129),J$130/J$129)</f>
        <v>15.143071346851748</v>
      </c>
      <c r="L130" s="99">
        <f t="shared" si="60"/>
        <v>16.069313110010956</v>
      </c>
      <c r="M130" s="99">
        <f t="shared" si="60"/>
        <v>17.052209417295963</v>
      </c>
      <c r="N130" s="99">
        <f t="shared" si="60"/>
        <v>18.095225603026343</v>
      </c>
      <c r="O130" s="99">
        <f t="shared" si="60"/>
        <v>19.202038962311967</v>
      </c>
      <c r="P130" s="99">
        <f t="shared" si="60"/>
        <v>20.376551715855939</v>
      </c>
      <c r="Q130" s="99">
        <f t="shared" si="60"/>
        <v>21.622904767763281</v>
      </c>
      <c r="R130" s="99">
        <f t="shared" si="60"/>
        <v>22.945492304860277</v>
      </c>
      <c r="S130" s="99">
        <f t="shared" si="60"/>
        <v>24.348977288996497</v>
      </c>
      <c r="T130" s="99">
        <f t="shared" si="60"/>
        <v>25.838307896949583</v>
      </c>
      <c r="U130" s="54"/>
    </row>
    <row r="131" spans="1:21" x14ac:dyDescent="0.2">
      <c r="A131" s="47" t="s">
        <v>643</v>
      </c>
      <c r="B131" s="54"/>
      <c r="C131" s="94"/>
      <c r="D131" s="94">
        <f>Data!C$192</f>
        <v>0.377</v>
      </c>
      <c r="E131" s="94">
        <f>Data!D$192</f>
        <v>0.52900000000000003</v>
      </c>
      <c r="F131" s="142">
        <f>Data!E$192</f>
        <v>0.56699999999999995</v>
      </c>
      <c r="G131" s="142">
        <f>Data!F$192</f>
        <v>0.61</v>
      </c>
      <c r="H131" s="142">
        <f>Data!G$192</f>
        <v>0.65200000000000002</v>
      </c>
      <c r="I131" s="142">
        <f>Data!H$192</f>
        <v>0.68400000000000005</v>
      </c>
      <c r="J131" s="142">
        <f>Data!I$192</f>
        <v>0.70299999999999996</v>
      </c>
      <c r="K131" s="99">
        <f>J$131*K$130/J$130</f>
        <v>0.72056174068206158</v>
      </c>
      <c r="L131" s="99">
        <f t="shared" ref="L131:T131" si="61">K$131*L$130/K$130</f>
        <v>0.76463565157287805</v>
      </c>
      <c r="M131" s="99">
        <f t="shared" si="61"/>
        <v>0.81140538922154193</v>
      </c>
      <c r="N131" s="99">
        <f t="shared" si="61"/>
        <v>0.86103584668522515</v>
      </c>
      <c r="O131" s="99">
        <f t="shared" si="61"/>
        <v>0.91370200287703462</v>
      </c>
      <c r="P131" s="99">
        <f t="shared" si="61"/>
        <v>0.96958953947791526</v>
      </c>
      <c r="Q131" s="99">
        <f t="shared" si="61"/>
        <v>1.0288954955826168</v>
      </c>
      <c r="R131" s="99">
        <f t="shared" si="61"/>
        <v>1.0918289623877602</v>
      </c>
      <c r="S131" s="99">
        <f t="shared" si="61"/>
        <v>1.1586118203712286</v>
      </c>
      <c r="T131" s="99">
        <f t="shared" si="61"/>
        <v>1.2294795215619025</v>
      </c>
      <c r="U131" s="54"/>
    </row>
    <row r="132" spans="1:21" x14ac:dyDescent="0.2">
      <c r="A132" s="47" t="s">
        <v>856</v>
      </c>
      <c r="B132" s="54"/>
      <c r="C132" s="94"/>
      <c r="D132" s="94">
        <f>Data!C$193</f>
        <v>2E-3</v>
      </c>
      <c r="E132" s="94">
        <f>Data!D$193</f>
        <v>0.113</v>
      </c>
      <c r="F132" s="142">
        <f>Data!E$193</f>
        <v>0.121</v>
      </c>
      <c r="G132" s="142">
        <f>Data!F$193</f>
        <v>0.13</v>
      </c>
      <c r="H132" s="142">
        <f>Data!G$193</f>
        <v>0.13900000000000001</v>
      </c>
      <c r="I132" s="142">
        <f>Data!H$193</f>
        <v>0.14499999999999999</v>
      </c>
      <c r="J132" s="142">
        <f>Data!I$193</f>
        <v>0.14899999999999999</v>
      </c>
      <c r="K132" s="99">
        <f>J$132*K$131/J$131</f>
        <v>0.15272218970359483</v>
      </c>
      <c r="L132" s="99">
        <f t="shared" ref="L132:T132" si="62">K$132*L$131/K$131</f>
        <v>0.16206360182696844</v>
      </c>
      <c r="M132" s="99">
        <f t="shared" si="62"/>
        <v>0.17197639117213334</v>
      </c>
      <c r="N132" s="99">
        <f t="shared" si="62"/>
        <v>0.18249550662318428</v>
      </c>
      <c r="O132" s="99">
        <f t="shared" si="62"/>
        <v>0.19365803474918658</v>
      </c>
      <c r="P132" s="99">
        <f t="shared" si="62"/>
        <v>0.20550333055790806</v>
      </c>
      <c r="Q132" s="99">
        <f t="shared" si="62"/>
        <v>0.21807315624724027</v>
      </c>
      <c r="R132" s="99">
        <f t="shared" si="62"/>
        <v>0.23141182844349401</v>
      </c>
      <c r="S132" s="99">
        <f t="shared" si="62"/>
        <v>0.24556637444568002</v>
      </c>
      <c r="T132" s="99">
        <f t="shared" si="62"/>
        <v>0.26058669802663365</v>
      </c>
      <c r="U132" s="54"/>
    </row>
    <row r="133" spans="1:21" x14ac:dyDescent="0.2">
      <c r="A133" s="47" t="s">
        <v>536</v>
      </c>
      <c r="B133" s="54"/>
      <c r="C133" s="94"/>
      <c r="D133" s="94">
        <f>Data!C$194-(D$128-C$128)-D$134</f>
        <v>-16.329000000000001</v>
      </c>
      <c r="E133" s="94">
        <f>Data!D$194-(E$128-D$128)-E$134</f>
        <v>-1.5930000000000026</v>
      </c>
      <c r="F133" s="142">
        <f>Data!E$194-(F$128-E$128)-F$134</f>
        <v>-0.89699999999999847</v>
      </c>
      <c r="G133" s="142">
        <f>Data!F$194-(G$128-F$128)-G$134</f>
        <v>-0.35800000000000054</v>
      </c>
      <c r="H133" s="142">
        <f>Data!G$194-(H$128-G$128)-H$134</f>
        <v>-0.32600000000000051</v>
      </c>
      <c r="I133" s="142">
        <f>Data!H$194-(I$128-H$128)-I$134</f>
        <v>-0.33099999999999863</v>
      </c>
      <c r="J133" s="142">
        <f>Data!I$194-(J$128-I$128)-J$134</f>
        <v>-0.34200000000000053</v>
      </c>
      <c r="K133" s="99">
        <f t="shared" ref="K133:T133" ca="1" si="63">SUM(J$133,J$128-I$128,J$134)*(1+K$215) - SUM(K$128-J$128,K$134)</f>
        <v>-0.37296592252984517</v>
      </c>
      <c r="L133" s="99">
        <f t="shared" ca="1" si="63"/>
        <v>-0.38063800814687898</v>
      </c>
      <c r="M133" s="99">
        <f t="shared" ca="1" si="63"/>
        <v>-0.38733801191145378</v>
      </c>
      <c r="N133" s="99">
        <f t="shared" ca="1" si="63"/>
        <v>-0.40146430257218579</v>
      </c>
      <c r="O133" s="99">
        <f t="shared" ca="1" si="63"/>
        <v>-0.43235551157368945</v>
      </c>
      <c r="P133" s="99">
        <f t="shared" ca="1" si="63"/>
        <v>-0.47086049886705439</v>
      </c>
      <c r="Q133" s="99">
        <f t="shared" ca="1" si="63"/>
        <v>-0.52036977340912394</v>
      </c>
      <c r="R133" s="99">
        <f t="shared" ca="1" si="63"/>
        <v>-0.57505708960512614</v>
      </c>
      <c r="S133" s="99">
        <f t="shared" ca="1" si="63"/>
        <v>-0.63897508484967425</v>
      </c>
      <c r="T133" s="99">
        <f t="shared" ca="1" si="63"/>
        <v>-0.72529224861151143</v>
      </c>
      <c r="U133" s="54"/>
    </row>
    <row r="134" spans="1:21" x14ac:dyDescent="0.2">
      <c r="A134" s="47" t="s">
        <v>290</v>
      </c>
      <c r="B134" s="54"/>
      <c r="C134" s="94"/>
      <c r="D134" s="94">
        <f>Data!C$142</f>
        <v>3.1429999999999998</v>
      </c>
      <c r="E134" s="94">
        <f>Data!D$142</f>
        <v>3.423</v>
      </c>
      <c r="F134" s="142">
        <f>Data!E$142</f>
        <v>4.0199999999999996</v>
      </c>
      <c r="G134" s="142">
        <f>Data!F$142</f>
        <v>4.1529999999999996</v>
      </c>
      <c r="H134" s="142">
        <f>Data!G$142</f>
        <v>4.4359999999999999</v>
      </c>
      <c r="I134" s="142">
        <f>Data!H$142</f>
        <v>4.7510000000000003</v>
      </c>
      <c r="J134" s="142">
        <f>Data!I$142</f>
        <v>5.0739999999999998</v>
      </c>
      <c r="K134" s="99">
        <f ca="1">J$134*(1+K$218)*(1+K$231)*K$135/J$135</f>
        <v>5.2743134345448865</v>
      </c>
      <c r="L134" s="99">
        <f t="shared" ref="L134:T134" ca="1" si="64">K$134*(1+L$218)*(1+L$231)*L$135/K$135</f>
        <v>5.4820035492240713</v>
      </c>
      <c r="M134" s="99">
        <f t="shared" ca="1" si="64"/>
        <v>5.6944733472758067</v>
      </c>
      <c r="N134" s="99">
        <f t="shared" ca="1" si="64"/>
        <v>5.9142608460583252</v>
      </c>
      <c r="O134" s="99">
        <f t="shared" ca="1" si="64"/>
        <v>6.1391500760398108</v>
      </c>
      <c r="P134" s="99">
        <f t="shared" ca="1" si="64"/>
        <v>6.3750834948206574</v>
      </c>
      <c r="Q134" s="99">
        <f t="shared" ca="1" si="64"/>
        <v>6.6257437860663817</v>
      </c>
      <c r="R134" s="99">
        <f t="shared" ca="1" si="64"/>
        <v>6.8844290542372955</v>
      </c>
      <c r="S134" s="99">
        <f t="shared" ca="1" si="64"/>
        <v>7.1575049994484843</v>
      </c>
      <c r="T134" s="99">
        <f t="shared" ca="1" si="64"/>
        <v>7.453937263235284</v>
      </c>
      <c r="U134" s="54"/>
    </row>
    <row r="135" spans="1:21" x14ac:dyDescent="0.2">
      <c r="A135" s="147" t="s">
        <v>413</v>
      </c>
      <c r="B135" s="54"/>
      <c r="C135" s="94"/>
      <c r="D135" s="94">
        <f>SUM(SUM(Popn!D$9:D$13)*Tracks!$C$34,SUM(Popn!D$103:D$107)*Tracks!$B$34,SUM(Popn!D$14:D$18)*Tracks!$C$35,SUM(Popn!D$108:D$112)*Tracks!$B$35,SUM(Popn!D$19:D$23)*Tracks!$C$36,SUM(Popn!D$113:D$117)*Tracks!$B$36,SUM(Popn!D$24:D$28)*Tracks!$C$37,SUM(Popn!D$118:D$122)*Tracks!$B$37,SUM(Popn!D$29:D$38)*Tracks!$C$38,SUM(Popn!D$123:D$132)*Tracks!$B$38,SUM(Popn!D$39:D$48)*Tracks!$C$39,SUM(Popn!D$133:D$142)*Tracks!$B$39,SUM(Popn!D$49:D$58)*Tracks!$C$40,SUM(Popn!D$143:D$152)*Tracks!$B$40,SUM(Popn!D$59:D$68)*Tracks!$C$41,SUM(Popn!D$153:D$162)*Tracks!$B$41,SUM(Popn!D$69:D$73)*Tracks!$C$42,SUM(Popn!D$163:D$167)*Tracks!$B$42,SUM(Popn!D$74:D$99)*Tracks!$C$43,SUM(Popn!D$168:D$193)*Tracks!$B$43)/1000000000</f>
        <v>5.5417097200000001</v>
      </c>
      <c r="E135" s="94">
        <f>SUM(SUM(Popn!E$9:E$13)*Tracks!$C$34,SUM(Popn!E$103:E$107)*Tracks!$B$34,SUM(Popn!E$14:E$18)*Tracks!$C$35,SUM(Popn!E$108:E$112)*Tracks!$B$35,SUM(Popn!E$19:E$23)*Tracks!$C$36,SUM(Popn!E$113:E$117)*Tracks!$B$36,SUM(Popn!E$24:E$28)*Tracks!$C$37,SUM(Popn!E$118:E$122)*Tracks!$B$37,SUM(Popn!E$29:E$38)*Tracks!$C$38,SUM(Popn!E$123:E$132)*Tracks!$B$38,SUM(Popn!E$39:E$48)*Tracks!$C$39,SUM(Popn!E$133:E$142)*Tracks!$B$39,SUM(Popn!E$49:E$58)*Tracks!$C$40,SUM(Popn!E$143:E$152)*Tracks!$B$40,SUM(Popn!E$59:E$68)*Tracks!$C$41,SUM(Popn!E$153:E$162)*Tracks!$B$41,SUM(Popn!E$69:E$73)*Tracks!$C$42,SUM(Popn!E$163:E$167)*Tracks!$B$42,SUM(Popn!E$74:E$99)*Tracks!$C$43,SUM(Popn!E$168:E$193)*Tracks!$B$43)/1000000000</f>
        <v>5.5955094399999998</v>
      </c>
      <c r="F135" s="142">
        <f>SUM(SUM(Popn!F$9:F$13)*Tracks!$C$34,SUM(Popn!F$103:F$107)*Tracks!$B$34,SUM(Popn!F$14:F$18)*Tracks!$C$35,SUM(Popn!F$108:F$112)*Tracks!$B$35,SUM(Popn!F$19:F$23)*Tracks!$C$36,SUM(Popn!F$113:F$117)*Tracks!$B$36,SUM(Popn!F$24:F$28)*Tracks!$C$37,SUM(Popn!F$118:F$122)*Tracks!$B$37,SUM(Popn!F$29:F$38)*Tracks!$C$38,SUM(Popn!F$123:F$132)*Tracks!$B$38,SUM(Popn!F$39:F$48)*Tracks!$C$39,SUM(Popn!F$133:F$142)*Tracks!$B$39,SUM(Popn!F$49:F$58)*Tracks!$C$40,SUM(Popn!F$143:F$152)*Tracks!$B$40,SUM(Popn!F$59:F$68)*Tracks!$C$41,SUM(Popn!F$153:F$162)*Tracks!$B$41,SUM(Popn!F$69:F$73)*Tracks!$C$42,SUM(Popn!F$163:F$167)*Tracks!$B$42,SUM(Popn!F$74:F$99)*Tracks!$C$43,SUM(Popn!F$168:F$193)*Tracks!$B$43)/1000000000</f>
        <v>5.6541482700000003</v>
      </c>
      <c r="G135" s="142">
        <f>SUM(SUM(Popn!G$9:G$13)*Tracks!$C$34,SUM(Popn!G$103:G$107)*Tracks!$B$34,SUM(Popn!G$14:G$18)*Tracks!$C$35,SUM(Popn!G$108:G$112)*Tracks!$B$35,SUM(Popn!G$19:G$23)*Tracks!$C$36,SUM(Popn!G$113:G$117)*Tracks!$B$36,SUM(Popn!G$24:G$28)*Tracks!$C$37,SUM(Popn!G$118:G$122)*Tracks!$B$37,SUM(Popn!G$29:G$38)*Tracks!$C$38,SUM(Popn!G$123:G$132)*Tracks!$B$38,SUM(Popn!G$39:G$48)*Tracks!$C$39,SUM(Popn!G$133:G$142)*Tracks!$B$39,SUM(Popn!G$49:G$58)*Tracks!$C$40,SUM(Popn!G$143:G$152)*Tracks!$B$40,SUM(Popn!G$59:G$68)*Tracks!$C$41,SUM(Popn!G$153:G$162)*Tracks!$B$41,SUM(Popn!G$69:G$73)*Tracks!$C$42,SUM(Popn!G$163:G$167)*Tracks!$B$42,SUM(Popn!G$74:G$99)*Tracks!$C$43,SUM(Popn!G$168:G$193)*Tracks!$B$43)/1000000000</f>
        <v>5.7047751900000003</v>
      </c>
      <c r="H135" s="142">
        <f>SUM(SUM(Popn!H$9:H$13)*Tracks!$C$34,SUM(Popn!H$103:H$107)*Tracks!$B$34,SUM(Popn!H$14:H$18)*Tracks!$C$35,SUM(Popn!H$108:H$112)*Tracks!$B$35,SUM(Popn!H$19:H$23)*Tracks!$C$36,SUM(Popn!H$113:H$117)*Tracks!$B$36,SUM(Popn!H$24:H$28)*Tracks!$C$37,SUM(Popn!H$118:H$122)*Tracks!$B$37,SUM(Popn!H$29:H$38)*Tracks!$C$38,SUM(Popn!H$123:H$132)*Tracks!$B$38,SUM(Popn!H$39:H$48)*Tracks!$C$39,SUM(Popn!H$133:H$142)*Tracks!$B$39,SUM(Popn!H$49:H$58)*Tracks!$C$40,SUM(Popn!H$143:H$152)*Tracks!$B$40,SUM(Popn!H$59:H$68)*Tracks!$C$41,SUM(Popn!H$153:H$162)*Tracks!$B$41,SUM(Popn!H$69:H$73)*Tracks!$C$42,SUM(Popn!H$163:H$167)*Tracks!$B$42,SUM(Popn!H$74:H$99)*Tracks!$C$43,SUM(Popn!H$168:H$193)*Tracks!$B$43)/1000000000</f>
        <v>5.7528075999999997</v>
      </c>
      <c r="I135" s="142">
        <f>SUM(SUM(Popn!I$9:I$13)*Tracks!$C$34,SUM(Popn!I$103:I$107)*Tracks!$B$34,SUM(Popn!I$14:I$18)*Tracks!$C$35,SUM(Popn!I$108:I$112)*Tracks!$B$35,SUM(Popn!I$19:I$23)*Tracks!$C$36,SUM(Popn!I$113:I$117)*Tracks!$B$36,SUM(Popn!I$24:I$28)*Tracks!$C$37,SUM(Popn!I$118:I$122)*Tracks!$B$37,SUM(Popn!I$29:I$38)*Tracks!$C$38,SUM(Popn!I$123:I$132)*Tracks!$B$38,SUM(Popn!I$39:I$48)*Tracks!$C$39,SUM(Popn!I$133:I$142)*Tracks!$B$39,SUM(Popn!I$49:I$58)*Tracks!$C$40,SUM(Popn!I$143:I$152)*Tracks!$B$40,SUM(Popn!I$59:I$68)*Tracks!$C$41,SUM(Popn!I$153:I$162)*Tracks!$B$41,SUM(Popn!I$69:I$73)*Tracks!$C$42,SUM(Popn!I$163:I$167)*Tracks!$B$42,SUM(Popn!I$74:I$99)*Tracks!$C$43,SUM(Popn!I$168:I$193)*Tracks!$B$43)/1000000000</f>
        <v>5.7868379699999997</v>
      </c>
      <c r="J135" s="142">
        <f>SUM(SUM(Popn!J$9:J$13)*Tracks!$C$34,SUM(Popn!J$103:J$107)*Tracks!$B$34,SUM(Popn!J$14:J$18)*Tracks!$C$35,SUM(Popn!J$108:J$112)*Tracks!$B$35,SUM(Popn!J$19:J$23)*Tracks!$C$36,SUM(Popn!J$113:J$117)*Tracks!$B$36,SUM(Popn!J$24:J$28)*Tracks!$C$37,SUM(Popn!J$118:J$122)*Tracks!$B$37,SUM(Popn!J$29:J$38)*Tracks!$C$38,SUM(Popn!J$123:J$132)*Tracks!$B$38,SUM(Popn!J$39:J$48)*Tracks!$C$39,SUM(Popn!J$133:J$142)*Tracks!$B$39,SUM(Popn!J$49:J$58)*Tracks!$C$40,SUM(Popn!J$143:J$152)*Tracks!$B$40,SUM(Popn!J$59:J$68)*Tracks!$C$41,SUM(Popn!J$153:J$162)*Tracks!$B$41,SUM(Popn!J$69:J$73)*Tracks!$C$42,SUM(Popn!J$163:J$167)*Tracks!$B$42,SUM(Popn!J$74:J$99)*Tracks!$C$43,SUM(Popn!J$168:J$193)*Tracks!$B$43)/1000000000</f>
        <v>5.8135607299999998</v>
      </c>
      <c r="K135" s="99">
        <f>SUM(SUM(Popn!K$9:K$13)*Tracks!$C$34,SUM(Popn!K$103:K$107)*Tracks!$B$34,SUM(Popn!K$14:K$18)*Tracks!$C$35,SUM(Popn!K$108:K$112)*Tracks!$B$35,SUM(Popn!K$19:K$23)*Tracks!$C$36,SUM(Popn!K$113:K$117)*Tracks!$B$36,SUM(Popn!K$24:K$28)*Tracks!$C$37,SUM(Popn!K$118:K$122)*Tracks!$B$37,SUM(Popn!K$29:K$38)*Tracks!$C$38,SUM(Popn!K$123:K$132)*Tracks!$B$38,SUM(Popn!K$39:K$48)*Tracks!$C$39,SUM(Popn!K$133:K$142)*Tracks!$B$39,SUM(Popn!K$49:K$58)*Tracks!$C$40,SUM(Popn!K$143:K$152)*Tracks!$B$40,SUM(Popn!K$59:K$68)*Tracks!$C$41,SUM(Popn!K$153:K$162)*Tracks!$B$41,SUM(Popn!K$69:K$73)*Tracks!$C$42,SUM(Popn!K$163:K$167)*Tracks!$B$42,SUM(Popn!K$74:K$99)*Tracks!$C$43,SUM(Popn!K$168:K$193)*Tracks!$B$43)/1000000000</f>
        <v>5.8370239000000002</v>
      </c>
      <c r="L135" s="99">
        <f>SUM(SUM(Popn!L$9:L$13)*Tracks!$C$34,SUM(Popn!L$103:L$107)*Tracks!$B$34,SUM(Popn!L$14:L$18)*Tracks!$C$35,SUM(Popn!L$108:L$112)*Tracks!$B$35,SUM(Popn!L$19:L$23)*Tracks!$C$36,SUM(Popn!L$113:L$117)*Tracks!$B$36,SUM(Popn!L$24:L$28)*Tracks!$C$37,SUM(Popn!L$118:L$122)*Tracks!$B$37,SUM(Popn!L$29:L$38)*Tracks!$C$38,SUM(Popn!L$123:L$132)*Tracks!$B$38,SUM(Popn!L$39:L$48)*Tracks!$C$39,SUM(Popn!L$133:L$142)*Tracks!$B$39,SUM(Popn!L$49:L$58)*Tracks!$C$40,SUM(Popn!L$143:L$152)*Tracks!$B$40,SUM(Popn!L$59:L$68)*Tracks!$C$41,SUM(Popn!L$153:L$162)*Tracks!$B$41,SUM(Popn!L$69:L$73)*Tracks!$C$42,SUM(Popn!L$163:L$167)*Tracks!$B$42,SUM(Popn!L$74:L$99)*Tracks!$C$43,SUM(Popn!L$168:L$193)*Tracks!$B$43)/1000000000</f>
        <v>5.8600137500000002</v>
      </c>
      <c r="M135" s="99">
        <f>SUM(SUM(Popn!M$9:M$13)*Tracks!$C$34,SUM(Popn!M$103:M$107)*Tracks!$B$34,SUM(Popn!M$14:M$18)*Tracks!$C$35,SUM(Popn!M$108:M$112)*Tracks!$B$35,SUM(Popn!M$19:M$23)*Tracks!$C$36,SUM(Popn!M$113:M$117)*Tracks!$B$36,SUM(Popn!M$24:M$28)*Tracks!$C$37,SUM(Popn!M$118:M$122)*Tracks!$B$37,SUM(Popn!M$29:M$38)*Tracks!$C$38,SUM(Popn!M$123:M$132)*Tracks!$B$38,SUM(Popn!M$39:M$48)*Tracks!$C$39,SUM(Popn!M$133:M$142)*Tracks!$B$39,SUM(Popn!M$49:M$58)*Tracks!$C$40,SUM(Popn!M$143:M$152)*Tracks!$B$40,SUM(Popn!M$59:M$68)*Tracks!$C$41,SUM(Popn!M$153:M$162)*Tracks!$B$41,SUM(Popn!M$69:M$73)*Tracks!$C$42,SUM(Popn!M$163:M$167)*Tracks!$B$42,SUM(Popn!M$74:M$99)*Tracks!$C$43,SUM(Popn!M$168:M$193)*Tracks!$B$43)/1000000000</f>
        <v>5.8795849999999996</v>
      </c>
      <c r="N135" s="99">
        <f>SUM(SUM(Popn!N$9:N$13)*Tracks!$C$34,SUM(Popn!N$103:N$107)*Tracks!$B$34,SUM(Popn!N$14:N$18)*Tracks!$C$35,SUM(Popn!N$108:N$112)*Tracks!$B$35,SUM(Popn!N$19:N$23)*Tracks!$C$36,SUM(Popn!N$113:N$117)*Tracks!$B$36,SUM(Popn!N$24:N$28)*Tracks!$C$37,SUM(Popn!N$118:N$122)*Tracks!$B$37,SUM(Popn!N$29:N$38)*Tracks!$C$38,SUM(Popn!N$123:N$132)*Tracks!$B$38,SUM(Popn!N$39:N$48)*Tracks!$C$39,SUM(Popn!N$133:N$142)*Tracks!$B$39,SUM(Popn!N$49:N$58)*Tracks!$C$40,SUM(Popn!N$143:N$152)*Tracks!$B$40,SUM(Popn!N$59:N$68)*Tracks!$C$41,SUM(Popn!N$153:N$162)*Tracks!$B$41,SUM(Popn!N$69:N$73)*Tracks!$C$42,SUM(Popn!N$163:N$167)*Tracks!$B$42,SUM(Popn!N$74:N$99)*Tracks!$C$43,SUM(Popn!N$168:N$193)*Tracks!$B$43)/1000000000</f>
        <v>5.8983069500000003</v>
      </c>
      <c r="O135" s="99">
        <f>SUM(SUM(Popn!O$9:O$13)*Tracks!$C$34,SUM(Popn!O$103:O$107)*Tracks!$B$34,SUM(Popn!O$14:O$18)*Tracks!$C$35,SUM(Popn!O$108:O$112)*Tracks!$B$35,SUM(Popn!O$19:O$23)*Tracks!$C$36,SUM(Popn!O$113:O$117)*Tracks!$B$36,SUM(Popn!O$24:O$28)*Tracks!$C$37,SUM(Popn!O$118:O$122)*Tracks!$B$37,SUM(Popn!O$29:O$38)*Tracks!$C$38,SUM(Popn!O$123:O$132)*Tracks!$B$38,SUM(Popn!O$39:O$48)*Tracks!$C$39,SUM(Popn!O$133:O$142)*Tracks!$B$39,SUM(Popn!O$49:O$58)*Tracks!$C$40,SUM(Popn!O$143:O$152)*Tracks!$B$40,SUM(Popn!O$59:O$68)*Tracks!$C$41,SUM(Popn!O$153:O$162)*Tracks!$B$41,SUM(Popn!O$69:O$73)*Tracks!$C$42,SUM(Popn!O$163:O$167)*Tracks!$B$42,SUM(Popn!O$74:O$99)*Tracks!$C$43,SUM(Popn!O$168:O$193)*Tracks!$B$43)/1000000000</f>
        <v>5.9138312900000001</v>
      </c>
      <c r="P135" s="99">
        <f>SUM(SUM(Popn!P$9:P$13)*Tracks!$C$34,SUM(Popn!P$103:P$107)*Tracks!$B$34,SUM(Popn!P$14:P$18)*Tracks!$C$35,SUM(Popn!P$108:P$112)*Tracks!$B$35,SUM(Popn!P$19:P$23)*Tracks!$C$36,SUM(Popn!P$113:P$117)*Tracks!$B$36,SUM(Popn!P$24:P$28)*Tracks!$C$37,SUM(Popn!P$118:P$122)*Tracks!$B$37,SUM(Popn!P$29:P$38)*Tracks!$C$38,SUM(Popn!P$123:P$132)*Tracks!$B$38,SUM(Popn!P$39:P$48)*Tracks!$C$39,SUM(Popn!P$133:P$142)*Tracks!$B$39,SUM(Popn!P$49:P$58)*Tracks!$C$40,SUM(Popn!P$143:P$152)*Tracks!$B$40,SUM(Popn!P$59:P$68)*Tracks!$C$41,SUM(Popn!P$153:P$162)*Tracks!$B$41,SUM(Popn!P$69:P$73)*Tracks!$C$42,SUM(Popn!P$163:P$167)*Tracks!$B$42,SUM(Popn!P$74:P$99)*Tracks!$C$43,SUM(Popn!P$168:P$193)*Tracks!$B$43)/1000000000</f>
        <v>5.9317159200000003</v>
      </c>
      <c r="Q135" s="99">
        <f>SUM(SUM(Popn!Q$9:Q$13)*Tracks!$C$34,SUM(Popn!Q$103:Q$107)*Tracks!$B$34,SUM(Popn!Q$14:Q$18)*Tracks!$C$35,SUM(Popn!Q$108:Q$112)*Tracks!$B$35,SUM(Popn!Q$19:Q$23)*Tracks!$C$36,SUM(Popn!Q$113:Q$117)*Tracks!$B$36,SUM(Popn!Q$24:Q$28)*Tracks!$C$37,SUM(Popn!Q$118:Q$122)*Tracks!$B$37,SUM(Popn!Q$29:Q$38)*Tracks!$C$38,SUM(Popn!Q$123:Q$132)*Tracks!$B$38,SUM(Popn!Q$39:Q$48)*Tracks!$C$39,SUM(Popn!Q$133:Q$142)*Tracks!$B$39,SUM(Popn!Q$49:Q$58)*Tracks!$C$40,SUM(Popn!Q$143:Q$152)*Tracks!$B$40,SUM(Popn!Q$59:Q$68)*Tracks!$C$41,SUM(Popn!Q$153:Q$162)*Tracks!$B$41,SUM(Popn!Q$69:Q$73)*Tracks!$C$42,SUM(Popn!Q$163:Q$167)*Tracks!$B$42,SUM(Popn!Q$74:Q$99)*Tracks!$C$43,SUM(Popn!Q$168:Q$193)*Tracks!$B$43)/1000000000</f>
        <v>5.95474119</v>
      </c>
      <c r="R135" s="99">
        <f>SUM(SUM(Popn!R$9:R$13)*Tracks!$C$34,SUM(Popn!R$103:R$107)*Tracks!$B$34,SUM(Popn!R$14:R$18)*Tracks!$C$35,SUM(Popn!R$108:R$112)*Tracks!$B$35,SUM(Popn!R$19:R$23)*Tracks!$C$36,SUM(Popn!R$113:R$117)*Tracks!$B$36,SUM(Popn!R$24:R$28)*Tracks!$C$37,SUM(Popn!R$118:R$122)*Tracks!$B$37,SUM(Popn!R$29:R$38)*Tracks!$C$38,SUM(Popn!R$123:R$132)*Tracks!$B$38,SUM(Popn!R$39:R$48)*Tracks!$C$39,SUM(Popn!R$133:R$142)*Tracks!$B$39,SUM(Popn!R$49:R$58)*Tracks!$C$40,SUM(Popn!R$143:R$152)*Tracks!$B$40,SUM(Popn!R$59:R$68)*Tracks!$C$41,SUM(Popn!R$153:R$162)*Tracks!$B$41,SUM(Popn!R$69:R$73)*Tracks!$C$42,SUM(Popn!R$163:R$167)*Tracks!$B$42,SUM(Popn!R$74:R$99)*Tracks!$C$43,SUM(Popn!R$168:R$193)*Tracks!$B$43)/1000000000</f>
        <v>5.9762666600000003</v>
      </c>
      <c r="S135" s="99">
        <f>SUM(SUM(Popn!S$9:S$13)*Tracks!$C$34,SUM(Popn!S$103:S$107)*Tracks!$B$34,SUM(Popn!S$14:S$18)*Tracks!$C$35,SUM(Popn!S$108:S$112)*Tracks!$B$35,SUM(Popn!S$19:S$23)*Tracks!$C$36,SUM(Popn!S$113:S$117)*Tracks!$B$36,SUM(Popn!S$24:S$28)*Tracks!$C$37,SUM(Popn!S$118:S$122)*Tracks!$B$37,SUM(Popn!S$29:S$38)*Tracks!$C$38,SUM(Popn!S$123:S$132)*Tracks!$B$38,SUM(Popn!S$39:S$48)*Tracks!$C$39,SUM(Popn!S$133:S$142)*Tracks!$B$39,SUM(Popn!S$49:S$58)*Tracks!$C$40,SUM(Popn!S$143:S$152)*Tracks!$B$40,SUM(Popn!S$59:S$68)*Tracks!$C$41,SUM(Popn!S$153:S$162)*Tracks!$B$41,SUM(Popn!S$69:S$73)*Tracks!$C$42,SUM(Popn!S$163:S$167)*Tracks!$B$42,SUM(Popn!S$74:S$99)*Tracks!$C$43,SUM(Popn!S$168:S$193)*Tracks!$B$43)/1000000000</f>
        <v>6.00146786</v>
      </c>
      <c r="T135" s="99">
        <f>SUM(SUM(Popn!T$9:T$13)*Tracks!$C$34,SUM(Popn!T$103:T$107)*Tracks!$B$34,SUM(Popn!T$14:T$18)*Tracks!$C$35,SUM(Popn!T$108:T$112)*Tracks!$B$35,SUM(Popn!T$19:T$23)*Tracks!$C$36,SUM(Popn!T$113:T$117)*Tracks!$B$36,SUM(Popn!T$24:T$28)*Tracks!$C$37,SUM(Popn!T$118:T$122)*Tracks!$B$37,SUM(Popn!T$29:T$38)*Tracks!$C$38,SUM(Popn!T$123:T$132)*Tracks!$B$38,SUM(Popn!T$39:T$48)*Tracks!$C$39,SUM(Popn!T$133:T$142)*Tracks!$B$39,SUM(Popn!T$49:T$58)*Tracks!$C$40,SUM(Popn!T$143:T$152)*Tracks!$B$40,SUM(Popn!T$59:T$68)*Tracks!$C$41,SUM(Popn!T$153:T$162)*Tracks!$B$41,SUM(Popn!T$69:T$73)*Tracks!$C$42,SUM(Popn!T$163:T$167)*Tracks!$B$42,SUM(Popn!T$74:T$99)*Tracks!$C$43,SUM(Popn!T$168:T$193)*Tracks!$B$43)/1000000000</f>
        <v>6.0369189299999997</v>
      </c>
      <c r="U135" s="54"/>
    </row>
    <row r="136" spans="1:21" x14ac:dyDescent="0.2">
      <c r="A136" s="47"/>
      <c r="B136" s="103"/>
      <c r="C136" s="94"/>
      <c r="D136" s="117"/>
      <c r="E136" s="117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54"/>
    </row>
    <row r="137" spans="1:21" x14ac:dyDescent="0.2">
      <c r="A137" s="147" t="s">
        <v>414</v>
      </c>
      <c r="B137" s="103"/>
      <c r="C137" s="94"/>
      <c r="D137" s="94"/>
      <c r="E137" s="9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</row>
    <row r="138" spans="1:21" x14ac:dyDescent="0.2">
      <c r="A138" s="47" t="s">
        <v>340</v>
      </c>
      <c r="C138" s="94"/>
      <c r="D138" s="94">
        <f>Data!C$158</f>
        <v>5.484</v>
      </c>
      <c r="E138" s="94">
        <f>Data!D$158</f>
        <v>5.6150000000000002</v>
      </c>
      <c r="F138" s="142">
        <f>Data!E$158</f>
        <v>5.7489999999999997</v>
      </c>
      <c r="G138" s="142">
        <f>Data!F$158</f>
        <v>6.1589999999999998</v>
      </c>
      <c r="H138" s="142">
        <f>Data!G$158</f>
        <v>6.5970000000000004</v>
      </c>
      <c r="I138" s="142">
        <f>Data!H$158</f>
        <v>7.0650000000000004</v>
      </c>
      <c r="J138" s="142">
        <f>Data!I$158</f>
        <v>7.5670000000000002</v>
      </c>
      <c r="K138" s="99">
        <f t="shared" ref="K138:T138" si="65">J$138*IF(K$1="Proj Yr1",AVERAGE(H$138/G$138,I$138/H$138,J$138/I$138),J$138/I$138)</f>
        <v>8.1045376645048606</v>
      </c>
      <c r="L138" s="99">
        <f t="shared" si="65"/>
        <v>8.6802604407794224</v>
      </c>
      <c r="M138" s="99">
        <f t="shared" si="65"/>
        <v>9.2968808880677134</v>
      </c>
      <c r="N138" s="99">
        <f t="shared" si="65"/>
        <v>9.9573042579305096</v>
      </c>
      <c r="O138" s="99">
        <f t="shared" si="65"/>
        <v>10.664642182546904</v>
      </c>
      <c r="P138" s="99">
        <f t="shared" si="65"/>
        <v>11.422227335392982</v>
      </c>
      <c r="Q138" s="99">
        <f t="shared" si="65"/>
        <v>12.23362913337246</v>
      </c>
      <c r="R138" s="99">
        <f t="shared" si="65"/>
        <v>13.102670554381003</v>
      </c>
      <c r="S138" s="99">
        <f t="shared" si="65"/>
        <v>14.033446149541378</v>
      </c>
      <c r="T138" s="99">
        <f t="shared" si="65"/>
        <v>15.030341334975393</v>
      </c>
      <c r="U138" s="54"/>
    </row>
    <row r="139" spans="1:21" x14ac:dyDescent="0.2">
      <c r="A139" s="47" t="s">
        <v>341</v>
      </c>
      <c r="C139" s="94"/>
      <c r="D139" s="94">
        <f>Data!C$152</f>
        <v>5.4569999999999999</v>
      </c>
      <c r="E139" s="94">
        <f>Data!D$152</f>
        <v>5.5990000000000002</v>
      </c>
      <c r="F139" s="142">
        <f>Data!E$152</f>
        <v>5.3490000000000002</v>
      </c>
      <c r="G139" s="142">
        <f>Data!F$152</f>
        <v>5.7329999999999997</v>
      </c>
      <c r="H139" s="142">
        <f>Data!G$152</f>
        <v>6.1429999999999998</v>
      </c>
      <c r="I139" s="142">
        <f>Data!H$152</f>
        <v>6.5810000000000004</v>
      </c>
      <c r="J139" s="142">
        <f>Data!I$152</f>
        <v>7.0469999999999997</v>
      </c>
      <c r="K139" s="99">
        <f t="shared" ref="K139:T139" si="66">K$138*IF(K$1="Proj Yr1",AVERAGE(H$139/H$138,I$139/I$138,J$139/J$138),J$139/J$138)</f>
        <v>7.5479036370679866</v>
      </c>
      <c r="L139" s="99">
        <f t="shared" si="66"/>
        <v>8.0840847515092786</v>
      </c>
      <c r="M139" s="99">
        <f t="shared" si="66"/>
        <v>8.6583546123505162</v>
      </c>
      <c r="N139" s="99">
        <f t="shared" si="66"/>
        <v>9.2734189333202242</v>
      </c>
      <c r="O139" s="99">
        <f t="shared" si="66"/>
        <v>9.932175634178174</v>
      </c>
      <c r="P139" s="99">
        <f t="shared" si="66"/>
        <v>10.637728494472638</v>
      </c>
      <c r="Q139" s="99">
        <f t="shared" si="66"/>
        <v>11.393401777220838</v>
      </c>
      <c r="R139" s="99">
        <f t="shared" si="66"/>
        <v>12.202755891413094</v>
      </c>
      <c r="S139" s="99">
        <f t="shared" si="66"/>
        <v>13.06960416713572</v>
      </c>
      <c r="T139" s="99">
        <f t="shared" si="66"/>
        <v>13.998030822349824</v>
      </c>
      <c r="U139" s="54"/>
    </row>
    <row r="140" spans="1:21" x14ac:dyDescent="0.2">
      <c r="A140" s="47" t="s">
        <v>644</v>
      </c>
      <c r="B140" s="103"/>
      <c r="C140" s="94"/>
      <c r="D140" s="94">
        <f>Data!C$195</f>
        <v>0.13100000000000001</v>
      </c>
      <c r="E140" s="94">
        <f>Data!D$195</f>
        <v>0.35399999999999998</v>
      </c>
      <c r="F140" s="142">
        <f>Data!E$195</f>
        <v>0.28199999999999997</v>
      </c>
      <c r="G140" s="142">
        <f>Data!F$195</f>
        <v>0.29599999999999999</v>
      </c>
      <c r="H140" s="142">
        <f>Data!G$195</f>
        <v>0.312</v>
      </c>
      <c r="I140" s="142">
        <f>Data!H$195</f>
        <v>0.33</v>
      </c>
      <c r="J140" s="142">
        <f>Data!I$195</f>
        <v>0.34799999999999998</v>
      </c>
      <c r="K140" s="99">
        <f>J$140*K$139/J$139</f>
        <v>0.37273598207743142</v>
      </c>
      <c r="L140" s="99">
        <f t="shared" ref="L140:T140" si="67">K$140*L$139/K$139</f>
        <v>0.39921406180292734</v>
      </c>
      <c r="M140" s="99">
        <f t="shared" si="67"/>
        <v>0.42757306727656869</v>
      </c>
      <c r="N140" s="99">
        <f t="shared" si="67"/>
        <v>0.45794661399112213</v>
      </c>
      <c r="O140" s="99">
        <f t="shared" si="67"/>
        <v>0.49047780909521838</v>
      </c>
      <c r="P140" s="99">
        <f t="shared" si="67"/>
        <v>0.5253199256529697</v>
      </c>
      <c r="Q140" s="99">
        <f t="shared" si="67"/>
        <v>0.5626371248010289</v>
      </c>
      <c r="R140" s="99">
        <f t="shared" si="67"/>
        <v>0.60260522920558479</v>
      </c>
      <c r="S140" s="99">
        <f t="shared" si="67"/>
        <v>0.6454125514634923</v>
      </c>
      <c r="T140" s="99">
        <f t="shared" si="67"/>
        <v>0.69126078135060853</v>
      </c>
      <c r="U140" s="54"/>
    </row>
    <row r="141" spans="1:21" x14ac:dyDescent="0.2">
      <c r="A141" s="47" t="s">
        <v>857</v>
      </c>
      <c r="B141" s="103"/>
      <c r="C141" s="94"/>
      <c r="D141" s="94">
        <f>Data!C$196</f>
        <v>7.5999999999999998E-2</v>
      </c>
      <c r="E141" s="94">
        <f>Data!D$196</f>
        <v>0.3</v>
      </c>
      <c r="F141" s="142">
        <f>Data!E$196</f>
        <v>0.23599999999999999</v>
      </c>
      <c r="G141" s="142">
        <f>Data!F$196</f>
        <v>0.249</v>
      </c>
      <c r="H141" s="142">
        <f>Data!G$196</f>
        <v>0.26400000000000001</v>
      </c>
      <c r="I141" s="142">
        <f>Data!H$196</f>
        <v>0.28100000000000003</v>
      </c>
      <c r="J141" s="142">
        <f>Data!I$196</f>
        <v>0.29799999999999999</v>
      </c>
      <c r="K141" s="99">
        <f>J$141*K$140/J$140</f>
        <v>0.31918196166400736</v>
      </c>
      <c r="L141" s="99">
        <f t="shared" ref="L141:T141" si="68">K$141*L$140/K$140</f>
        <v>0.34185571958986305</v>
      </c>
      <c r="M141" s="99">
        <f t="shared" si="68"/>
        <v>0.36614015531154437</v>
      </c>
      <c r="N141" s="99">
        <f t="shared" si="68"/>
        <v>0.39214968669354705</v>
      </c>
      <c r="O141" s="99">
        <f t="shared" si="68"/>
        <v>0.420006859512572</v>
      </c>
      <c r="P141" s="99">
        <f t="shared" si="68"/>
        <v>0.44984292484076138</v>
      </c>
      <c r="Q141" s="99">
        <f t="shared" si="68"/>
        <v>0.48179845744455918</v>
      </c>
      <c r="R141" s="99">
        <f t="shared" si="68"/>
        <v>0.51602401811282839</v>
      </c>
      <c r="S141" s="99">
        <f t="shared" si="68"/>
        <v>0.55268086303482966</v>
      </c>
      <c r="T141" s="99">
        <f t="shared" si="68"/>
        <v>0.59194170357034881</v>
      </c>
      <c r="U141" s="54"/>
    </row>
    <row r="142" spans="1:21" x14ac:dyDescent="0.2">
      <c r="A142" s="47"/>
      <c r="B142" s="103"/>
      <c r="C142" s="94"/>
      <c r="D142" s="94"/>
      <c r="E142" s="94"/>
      <c r="F142" s="142"/>
      <c r="G142" s="142"/>
      <c r="H142" s="142"/>
      <c r="I142" s="142"/>
      <c r="J142" s="142"/>
      <c r="T142" s="99"/>
      <c r="U142" s="54"/>
    </row>
    <row r="143" spans="1:21" x14ac:dyDescent="0.2">
      <c r="A143" s="147" t="s">
        <v>415</v>
      </c>
      <c r="B143" s="103"/>
      <c r="C143" s="94"/>
      <c r="D143" s="94"/>
      <c r="E143" s="94"/>
      <c r="F143" s="142"/>
      <c r="G143" s="142"/>
      <c r="H143" s="142"/>
      <c r="I143" s="142"/>
      <c r="J143" s="142"/>
      <c r="T143" s="99"/>
      <c r="U143" s="54"/>
    </row>
    <row r="144" spans="1:21" x14ac:dyDescent="0.2">
      <c r="A144" s="47" t="s">
        <v>506</v>
      </c>
      <c r="B144" s="103"/>
      <c r="C144" s="94"/>
      <c r="D144" s="94">
        <f>Data!C$197</f>
        <v>22.600999999999999</v>
      </c>
      <c r="E144" s="94">
        <f>Data!D$197</f>
        <v>26.542999999999999</v>
      </c>
      <c r="F144" s="142">
        <f>Data!E$197+IF($I$1="Yes",F$273,0)</f>
        <v>20.832000000000001</v>
      </c>
      <c r="G144" s="142">
        <f>Data!F$197+IF($I$1="Yes",G$273,0)</f>
        <v>17.885000000000002</v>
      </c>
      <c r="H144" s="142">
        <f>Data!G$197+IF($I$1="Yes",H$273,0)</f>
        <v>20.686</v>
      </c>
      <c r="I144" s="142">
        <f>Data!H$197+IF($I$1="Yes",I$273,0)</f>
        <v>18.763000000000002</v>
      </c>
      <c r="J144" s="142">
        <f>Data!I$197+IF($I$1="Yes",J$273,0)</f>
        <v>16.645000000000003</v>
      </c>
      <c r="K144" s="99">
        <f ca="1">J$144-K$209</f>
        <v>16.645000000000003</v>
      </c>
      <c r="L144" s="99">
        <f t="shared" ref="L144:T144" ca="1" si="69">K$144-L$209</f>
        <v>16.645000000000003</v>
      </c>
      <c r="M144" s="99">
        <f t="shared" ca="1" si="69"/>
        <v>16.645000000000003</v>
      </c>
      <c r="N144" s="99">
        <f t="shared" ca="1" si="69"/>
        <v>16.645000000000003</v>
      </c>
      <c r="O144" s="99">
        <f t="shared" ca="1" si="69"/>
        <v>16.645000000000003</v>
      </c>
      <c r="P144" s="99">
        <f t="shared" ca="1" si="69"/>
        <v>16.645000000000003</v>
      </c>
      <c r="Q144" s="99">
        <f t="shared" ca="1" si="69"/>
        <v>16.645000000000003</v>
      </c>
      <c r="R144" s="99">
        <f t="shared" ca="1" si="69"/>
        <v>16.645000000000003</v>
      </c>
      <c r="S144" s="99">
        <f t="shared" ca="1" si="69"/>
        <v>16.645000000000003</v>
      </c>
      <c r="T144" s="99">
        <f t="shared" ca="1" si="69"/>
        <v>16.645000000000003</v>
      </c>
      <c r="U144" s="54"/>
    </row>
    <row r="145" spans="1:21" x14ac:dyDescent="0.2">
      <c r="A145" s="47" t="s">
        <v>508</v>
      </c>
      <c r="B145" s="103"/>
      <c r="C145" s="94"/>
      <c r="D145" s="94">
        <f>D$122-Data!C$221</f>
        <v>11.295999999999999</v>
      </c>
      <c r="E145" s="94">
        <f>E$122-Data!D$221</f>
        <v>13.058</v>
      </c>
      <c r="F145" s="142">
        <f>F$122-Data!E$221</f>
        <v>12.101999999999999</v>
      </c>
      <c r="G145" s="142">
        <f>G$122-Data!F$221</f>
        <v>14.569999999999997</v>
      </c>
      <c r="H145" s="142">
        <f>H$122-Data!G$221</f>
        <v>17.693999999999999</v>
      </c>
      <c r="I145" s="142">
        <f>I$122-Data!H$221</f>
        <v>21.131</v>
      </c>
      <c r="J145" s="142">
        <f>J$122-Data!I$221</f>
        <v>24.95</v>
      </c>
      <c r="K145" s="99">
        <f t="shared" ref="K145:T145" ca="1" si="70">K$122-K$163</f>
        <v>28.969686699378393</v>
      </c>
      <c r="L145" s="99">
        <f t="shared" ca="1" si="70"/>
        <v>33.228453458089746</v>
      </c>
      <c r="M145" s="99">
        <f t="shared" ca="1" si="70"/>
        <v>37.750898206766863</v>
      </c>
      <c r="N145" s="99">
        <f t="shared" ca="1" si="70"/>
        <v>42.539541936030936</v>
      </c>
      <c r="O145" s="99">
        <f t="shared" ca="1" si="70"/>
        <v>47.593069749498738</v>
      </c>
      <c r="P145" s="99">
        <f t="shared" ca="1" si="70"/>
        <v>52.90722653837458</v>
      </c>
      <c r="Q145" s="99">
        <f t="shared" ca="1" si="70"/>
        <v>58.481659347495025</v>
      </c>
      <c r="R145" s="99">
        <f t="shared" ca="1" si="70"/>
        <v>64.247514566983398</v>
      </c>
      <c r="S145" s="99">
        <f t="shared" ca="1" si="70"/>
        <v>70.194981017004309</v>
      </c>
      <c r="T145" s="99">
        <f t="shared" ca="1" si="70"/>
        <v>76.309916668177053</v>
      </c>
      <c r="U145" s="54"/>
    </row>
    <row r="146" spans="1:21" x14ac:dyDescent="0.2">
      <c r="A146" s="47" t="s">
        <v>873</v>
      </c>
      <c r="B146" s="54"/>
      <c r="C146" s="94"/>
      <c r="D146" s="98">
        <f>Data!C$118-Data!C$220-SUM(D$144,D$145)</f>
        <v>0.39300000000000779</v>
      </c>
      <c r="E146" s="98">
        <f>Data!D$118-Data!D$220-SUM(E$144,E$145)</f>
        <v>-0.60300000000000153</v>
      </c>
      <c r="F146" s="190">
        <f>Data!E$118-Data!E$220-SUM(F$144,F$145)+IF($I$1="Yes",F$273,0)</f>
        <v>2.1529999999999987</v>
      </c>
      <c r="G146" s="190">
        <f>Data!F$118-Data!F$220-SUM(G$144,G$145)+IF($I$1="Yes",G$273,0)</f>
        <v>1.0040000000000049</v>
      </c>
      <c r="H146" s="190">
        <f>Data!G$118-Data!G$220-SUM(H$144,H$145)+IF($I$1="Yes",H$273,0)</f>
        <v>-1.083999999999989</v>
      </c>
      <c r="I146" s="190">
        <f>Data!H$118-Data!H$220-SUM(I$144,I$145)+IF($I$1="Yes",I$273,0)</f>
        <v>0.16699999999999449</v>
      </c>
      <c r="J146" s="190">
        <f>Data!I$118-Data!I$220-SUM(J$144,J$145)+IF($I$1="Yes",J$273,0)</f>
        <v>2.0930000000000035</v>
      </c>
      <c r="K146" s="106">
        <f>J$146</f>
        <v>2.0930000000000035</v>
      </c>
      <c r="L146" s="106">
        <f t="shared" ref="L146:T146" si="71">K$146</f>
        <v>2.0930000000000035</v>
      </c>
      <c r="M146" s="106">
        <f t="shared" si="71"/>
        <v>2.0930000000000035</v>
      </c>
      <c r="N146" s="106">
        <f t="shared" si="71"/>
        <v>2.0930000000000035</v>
      </c>
      <c r="O146" s="106">
        <f t="shared" si="71"/>
        <v>2.0930000000000035</v>
      </c>
      <c r="P146" s="106">
        <f t="shared" si="71"/>
        <v>2.0930000000000035</v>
      </c>
      <c r="Q146" s="106">
        <f t="shared" si="71"/>
        <v>2.0930000000000035</v>
      </c>
      <c r="R146" s="106">
        <f t="shared" si="71"/>
        <v>2.0930000000000035</v>
      </c>
      <c r="S146" s="106">
        <f t="shared" si="71"/>
        <v>2.0930000000000035</v>
      </c>
      <c r="T146" s="106">
        <f t="shared" si="71"/>
        <v>2.0930000000000035</v>
      </c>
      <c r="U146" s="54"/>
    </row>
    <row r="147" spans="1:21" x14ac:dyDescent="0.2">
      <c r="A147" s="43" t="s">
        <v>507</v>
      </c>
      <c r="B147" s="103"/>
      <c r="C147" s="94"/>
      <c r="D147" s="96">
        <f t="shared" ref="D147:T147" si="72">SUM(D$144,D$145,D$146)</f>
        <v>34.290000000000006</v>
      </c>
      <c r="E147" s="96">
        <f t="shared" si="72"/>
        <v>38.997999999999998</v>
      </c>
      <c r="F147" s="187">
        <f t="shared" si="72"/>
        <v>35.086999999999996</v>
      </c>
      <c r="G147" s="187">
        <f t="shared" si="72"/>
        <v>33.459000000000003</v>
      </c>
      <c r="H147" s="187">
        <f t="shared" si="72"/>
        <v>37.296000000000006</v>
      </c>
      <c r="I147" s="187">
        <f t="shared" si="72"/>
        <v>40.061</v>
      </c>
      <c r="J147" s="187">
        <f t="shared" si="72"/>
        <v>43.688000000000002</v>
      </c>
      <c r="K147" s="101">
        <f t="shared" ca="1" si="72"/>
        <v>47.707686699378399</v>
      </c>
      <c r="L147" s="101">
        <f t="shared" ca="1" si="72"/>
        <v>51.966453458089752</v>
      </c>
      <c r="M147" s="101">
        <f t="shared" ca="1" si="72"/>
        <v>56.488898206766869</v>
      </c>
      <c r="N147" s="101">
        <f t="shared" ca="1" si="72"/>
        <v>61.277541936030943</v>
      </c>
      <c r="O147" s="101">
        <f t="shared" ca="1" si="72"/>
        <v>66.331069749498752</v>
      </c>
      <c r="P147" s="101">
        <f t="shared" ca="1" si="72"/>
        <v>71.645226538374587</v>
      </c>
      <c r="Q147" s="101">
        <f t="shared" ca="1" si="72"/>
        <v>77.219659347495039</v>
      </c>
      <c r="R147" s="101">
        <f t="shared" ca="1" si="72"/>
        <v>82.985514566983412</v>
      </c>
      <c r="S147" s="101">
        <f t="shared" ca="1" si="72"/>
        <v>88.932981017004309</v>
      </c>
      <c r="T147" s="101">
        <f t="shared" ca="1" si="72"/>
        <v>95.047916668177052</v>
      </c>
      <c r="U147" s="54"/>
    </row>
    <row r="148" spans="1:21" x14ac:dyDescent="0.2">
      <c r="A148" s="251" t="s">
        <v>509</v>
      </c>
      <c r="B148" s="103"/>
      <c r="C148" s="94"/>
      <c r="D148" s="94">
        <f t="shared" ref="D148:T148" si="73">D$130</f>
        <v>9.0109999999999992</v>
      </c>
      <c r="E148" s="94">
        <f t="shared" si="73"/>
        <v>10.016999999999999</v>
      </c>
      <c r="F148" s="142">
        <f t="shared" si="73"/>
        <v>9.6189999999999998</v>
      </c>
      <c r="G148" s="142">
        <f t="shared" si="73"/>
        <v>10.889000000000001</v>
      </c>
      <c r="H148" s="142">
        <f t="shared" si="73"/>
        <v>12.190999999999999</v>
      </c>
      <c r="I148" s="142">
        <f t="shared" si="73"/>
        <v>13.502000000000001</v>
      </c>
      <c r="J148" s="142">
        <f t="shared" si="73"/>
        <v>14.773999999999999</v>
      </c>
      <c r="K148" s="99">
        <f t="shared" si="73"/>
        <v>15.143071346851748</v>
      </c>
      <c r="L148" s="99">
        <f t="shared" si="73"/>
        <v>16.069313110010956</v>
      </c>
      <c r="M148" s="99">
        <f t="shared" si="73"/>
        <v>17.052209417295963</v>
      </c>
      <c r="N148" s="99">
        <f t="shared" si="73"/>
        <v>18.095225603026343</v>
      </c>
      <c r="O148" s="99">
        <f t="shared" si="73"/>
        <v>19.202038962311967</v>
      </c>
      <c r="P148" s="99">
        <f t="shared" si="73"/>
        <v>20.376551715855939</v>
      </c>
      <c r="Q148" s="99">
        <f t="shared" si="73"/>
        <v>21.622904767763281</v>
      </c>
      <c r="R148" s="99">
        <f t="shared" si="73"/>
        <v>22.945492304860277</v>
      </c>
      <c r="S148" s="99">
        <f t="shared" si="73"/>
        <v>24.348977288996497</v>
      </c>
      <c r="T148" s="99">
        <f t="shared" si="73"/>
        <v>25.838307896949583</v>
      </c>
      <c r="U148" s="54"/>
    </row>
    <row r="149" spans="1:21" x14ac:dyDescent="0.2">
      <c r="A149" s="251" t="s">
        <v>510</v>
      </c>
      <c r="B149" s="103"/>
      <c r="C149" s="94"/>
      <c r="D149" s="94">
        <f t="shared" ref="D149:T149" si="74">D$139</f>
        <v>5.4569999999999999</v>
      </c>
      <c r="E149" s="94">
        <f t="shared" si="74"/>
        <v>5.5990000000000002</v>
      </c>
      <c r="F149" s="142">
        <f t="shared" si="74"/>
        <v>5.3490000000000002</v>
      </c>
      <c r="G149" s="142">
        <f t="shared" si="74"/>
        <v>5.7329999999999997</v>
      </c>
      <c r="H149" s="142">
        <f t="shared" si="74"/>
        <v>6.1429999999999998</v>
      </c>
      <c r="I149" s="142">
        <f t="shared" si="74"/>
        <v>6.5810000000000004</v>
      </c>
      <c r="J149" s="142">
        <f t="shared" si="74"/>
        <v>7.0469999999999997</v>
      </c>
      <c r="K149" s="99">
        <f t="shared" si="74"/>
        <v>7.5479036370679866</v>
      </c>
      <c r="L149" s="99">
        <f t="shared" si="74"/>
        <v>8.0840847515092786</v>
      </c>
      <c r="M149" s="99">
        <f t="shared" si="74"/>
        <v>8.6583546123505162</v>
      </c>
      <c r="N149" s="99">
        <f t="shared" si="74"/>
        <v>9.2734189333202242</v>
      </c>
      <c r="O149" s="99">
        <f t="shared" si="74"/>
        <v>9.932175634178174</v>
      </c>
      <c r="P149" s="99">
        <f t="shared" si="74"/>
        <v>10.637728494472638</v>
      </c>
      <c r="Q149" s="99">
        <f t="shared" si="74"/>
        <v>11.393401777220838</v>
      </c>
      <c r="R149" s="99">
        <f t="shared" si="74"/>
        <v>12.202755891413094</v>
      </c>
      <c r="S149" s="99">
        <f t="shared" si="74"/>
        <v>13.06960416713572</v>
      </c>
      <c r="T149" s="99">
        <f t="shared" si="74"/>
        <v>13.998030822349824</v>
      </c>
      <c r="U149" s="54"/>
    </row>
    <row r="150" spans="1:21" x14ac:dyDescent="0.2">
      <c r="A150" s="251" t="s">
        <v>874</v>
      </c>
      <c r="B150" s="54"/>
      <c r="C150" s="94"/>
      <c r="D150" s="280">
        <f>SUM(D$147,D$148,D$149)-SUM(Data!C$63,Data!C$64)</f>
        <v>3.0519999999999996</v>
      </c>
      <c r="E150" s="280">
        <f>SUM(E$147,E$148,E$149)-SUM(Data!D$63,Data!D$64)</f>
        <v>0.46100000000000563</v>
      </c>
      <c r="F150" s="186">
        <f>SUM(F$147,F$148,F$149)-SUM(Data!E$63,Data!E$64)-IF($I$1="Yes",F$273,0)</f>
        <v>2.3469999999999871</v>
      </c>
      <c r="G150" s="186">
        <f>SUM(G$147,G$148,G$149)-SUM(Data!F$63,Data!F$64)-IF($I$1="Yes",G$273,0)</f>
        <v>2.8140000000000072</v>
      </c>
      <c r="H150" s="186">
        <f>SUM(H$147,H$148,H$149)-SUM(Data!G$63,Data!G$64)-IF($I$1="Yes",H$273,0)</f>
        <v>3.2080000000000126</v>
      </c>
      <c r="I150" s="186">
        <f>SUM(I$147,I$148,I$149)-SUM(Data!H$63,Data!H$64)-IF($I$1="Yes",I$273,0)</f>
        <v>3.7690000000000055</v>
      </c>
      <c r="J150" s="186">
        <f>SUM(J$147,J$148,J$149)-SUM(Data!I$63,Data!I$64)-IF($I$1="Yes",J$273,0)</f>
        <v>4.438999999999993</v>
      </c>
      <c r="K150" s="107">
        <f ca="1">J$150*(1+K$218)</f>
        <v>4.5277799999999928</v>
      </c>
      <c r="L150" s="107">
        <f t="shared" ref="L150:T150" ca="1" si="75">K$150*(1+L$218)</f>
        <v>4.6183355999999929</v>
      </c>
      <c r="M150" s="107">
        <f t="shared" ca="1" si="75"/>
        <v>4.7107023119999925</v>
      </c>
      <c r="N150" s="107">
        <f t="shared" ca="1" si="75"/>
        <v>4.8049163582399927</v>
      </c>
      <c r="O150" s="107">
        <f t="shared" ca="1" si="75"/>
        <v>4.9010146854047925</v>
      </c>
      <c r="P150" s="107">
        <f t="shared" ca="1" si="75"/>
        <v>4.9990349791128885</v>
      </c>
      <c r="Q150" s="107">
        <f t="shared" ca="1" si="75"/>
        <v>5.0990156786951459</v>
      </c>
      <c r="R150" s="107">
        <f t="shared" ca="1" si="75"/>
        <v>5.200995992269049</v>
      </c>
      <c r="S150" s="107">
        <f t="shared" ca="1" si="75"/>
        <v>5.3050159121144302</v>
      </c>
      <c r="T150" s="107">
        <f t="shared" ca="1" si="75"/>
        <v>5.4111162303567193</v>
      </c>
      <c r="U150" s="54"/>
    </row>
    <row r="151" spans="1:21" x14ac:dyDescent="0.2">
      <c r="A151" s="43" t="s">
        <v>511</v>
      </c>
      <c r="B151" s="103"/>
      <c r="C151" s="94"/>
      <c r="D151" s="96">
        <f t="shared" ref="D151:T151" si="76">SUM(D$147:D$149,-D$150)</f>
        <v>45.706000000000003</v>
      </c>
      <c r="E151" s="96">
        <f t="shared" si="76"/>
        <v>54.152999999999999</v>
      </c>
      <c r="F151" s="187">
        <f t="shared" si="76"/>
        <v>47.708000000000006</v>
      </c>
      <c r="G151" s="187">
        <f t="shared" si="76"/>
        <v>47.266999999999996</v>
      </c>
      <c r="H151" s="187">
        <f t="shared" si="76"/>
        <v>52.421999999999997</v>
      </c>
      <c r="I151" s="187">
        <f t="shared" si="76"/>
        <v>56.375</v>
      </c>
      <c r="J151" s="187">
        <f t="shared" si="76"/>
        <v>61.070000000000007</v>
      </c>
      <c r="K151" s="101">
        <f t="shared" ca="1" si="76"/>
        <v>65.870881683298137</v>
      </c>
      <c r="L151" s="101">
        <f t="shared" ca="1" si="76"/>
        <v>71.501515719609998</v>
      </c>
      <c r="M151" s="101">
        <f t="shared" ca="1" si="76"/>
        <v>77.488759924413358</v>
      </c>
      <c r="N151" s="101">
        <f t="shared" ca="1" si="76"/>
        <v>83.841270114137529</v>
      </c>
      <c r="O151" s="101">
        <f t="shared" ca="1" si="76"/>
        <v>90.564269660584102</v>
      </c>
      <c r="P151" s="101">
        <f t="shared" ca="1" si="76"/>
        <v>97.660471769590274</v>
      </c>
      <c r="Q151" s="101">
        <f t="shared" ca="1" si="76"/>
        <v>105.13695021378402</v>
      </c>
      <c r="R151" s="101">
        <f t="shared" ca="1" si="76"/>
        <v>112.93276677098774</v>
      </c>
      <c r="S151" s="101">
        <f t="shared" ca="1" si="76"/>
        <v>121.0465465610221</v>
      </c>
      <c r="T151" s="101">
        <f t="shared" ca="1" si="76"/>
        <v>129.47313915711973</v>
      </c>
      <c r="U151" s="54"/>
    </row>
    <row r="152" spans="1:21" x14ac:dyDescent="0.2">
      <c r="A152" s="47"/>
      <c r="B152" s="136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54"/>
    </row>
    <row r="153" spans="1:21" x14ac:dyDescent="0.2">
      <c r="A153" s="147" t="s">
        <v>663</v>
      </c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54"/>
    </row>
    <row r="154" spans="1:21" x14ac:dyDescent="0.2">
      <c r="A154" s="47" t="s">
        <v>169</v>
      </c>
      <c r="C154" s="94"/>
      <c r="D154" s="181">
        <f>Data!C$160</f>
        <v>5.569</v>
      </c>
      <c r="E154" s="94">
        <f t="shared" ref="E154:T154" si="77">D$160</f>
        <v>6.0110000000000001</v>
      </c>
      <c r="F154" s="142">
        <f t="shared" si="77"/>
        <v>6.7409999999999997</v>
      </c>
      <c r="G154" s="142">
        <f t="shared" si="77"/>
        <v>7.173</v>
      </c>
      <c r="H154" s="142">
        <f t="shared" si="77"/>
        <v>7.5990000000000011</v>
      </c>
      <c r="I154" s="142">
        <f t="shared" si="77"/>
        <v>8.0220000000000002</v>
      </c>
      <c r="J154" s="142">
        <f t="shared" si="77"/>
        <v>8.4409999999999989</v>
      </c>
      <c r="K154" s="99">
        <f t="shared" si="77"/>
        <v>8.8519999999999985</v>
      </c>
      <c r="L154" s="99">
        <f t="shared" si="77"/>
        <v>9.2574116047448669</v>
      </c>
      <c r="M154" s="99">
        <f t="shared" si="77"/>
        <v>9.6593099271240597</v>
      </c>
      <c r="N154" s="99">
        <f t="shared" si="77"/>
        <v>10.05619783937826</v>
      </c>
      <c r="O154" s="99">
        <f t="shared" si="77"/>
        <v>10.443693133518281</v>
      </c>
      <c r="P154" s="99">
        <f t="shared" si="77"/>
        <v>10.8223124071786</v>
      </c>
      <c r="Q154" s="99">
        <f t="shared" si="77"/>
        <v>11.194299481365034</v>
      </c>
      <c r="R154" s="99">
        <f t="shared" si="77"/>
        <v>11.557560127700686</v>
      </c>
      <c r="S154" s="99">
        <f t="shared" si="77"/>
        <v>11.910939357488157</v>
      </c>
      <c r="T154" s="99">
        <f t="shared" si="77"/>
        <v>12.252379746962445</v>
      </c>
      <c r="U154" s="54"/>
    </row>
    <row r="155" spans="1:21" x14ac:dyDescent="0.2">
      <c r="A155" s="251" t="s">
        <v>478</v>
      </c>
      <c r="C155" s="94"/>
      <c r="D155" s="94">
        <f>Data!C$161</f>
        <v>1.1759999999999999</v>
      </c>
      <c r="E155" s="94">
        <f>Data!D$161</f>
        <v>1.2010000000000001</v>
      </c>
      <c r="F155" s="142">
        <f>Data!E$161</f>
        <v>1.298</v>
      </c>
      <c r="G155" s="142">
        <f>Data!F$161</f>
        <v>1.3839999999999999</v>
      </c>
      <c r="H155" s="142">
        <f>Data!G$161</f>
        <v>1.47</v>
      </c>
      <c r="I155" s="142">
        <f>Data!H$161</f>
        <v>1.5580000000000001</v>
      </c>
      <c r="J155" s="142">
        <f>Data!I$161</f>
        <v>1.6379999999999999</v>
      </c>
      <c r="K155" s="99">
        <f>J$155*Tracks!W$23/Tracks!V$23</f>
        <v>1.7163778727148506</v>
      </c>
      <c r="L155" s="99">
        <f>K$155*Tracks!X$23/Tracks!W$23</f>
        <v>1.7926194184476894</v>
      </c>
      <c r="M155" s="99">
        <f>L$155*Tracks!Y$23/Tracks!X$23</f>
        <v>1.8667138066016298</v>
      </c>
      <c r="N155" s="99">
        <f>M$155*Tracks!Z$23/Tracks!Y$23</f>
        <v>1.9386841282938767</v>
      </c>
      <c r="O155" s="99">
        <f>N$155*Tracks!AA$23/Tracks!Z$23</f>
        <v>2.0085810918707208</v>
      </c>
      <c r="P155" s="99">
        <f>O$155*Tracks!AB$23/Tracks!AA$23</f>
        <v>2.0764773374109953</v>
      </c>
      <c r="Q155" s="99">
        <f>P$155*Tracks!AC$23/Tracks!AB$23</f>
        <v>2.1424624092229783</v>
      </c>
      <c r="R155" s="99">
        <f>Q$155*Tracks!AD$23/Tracks!AC$23</f>
        <v>2.2066383876580891</v>
      </c>
      <c r="S155" s="99">
        <f>R$155*Tracks!AE$23/Tracks!AD$23</f>
        <v>2.2691161551226857</v>
      </c>
      <c r="T155" s="99">
        <f>S$155*Tracks!AF$23/Tracks!AE$23</f>
        <v>2.3301065796574139</v>
      </c>
      <c r="U155" s="54"/>
    </row>
    <row r="156" spans="1:21" x14ac:dyDescent="0.2">
      <c r="A156" s="259" t="s">
        <v>479</v>
      </c>
      <c r="C156" s="94"/>
      <c r="D156" s="94">
        <f>Data!C$162</f>
        <v>0.48799999999999999</v>
      </c>
      <c r="E156" s="94">
        <f>Data!D$162</f>
        <v>0.48699999999999999</v>
      </c>
      <c r="F156" s="142">
        <f>Data!E$162</f>
        <v>0.503</v>
      </c>
      <c r="G156" s="142">
        <f>Data!F$162</f>
        <v>0.53600000000000003</v>
      </c>
      <c r="H156" s="142">
        <f>Data!G$162</f>
        <v>0.56999999999999995</v>
      </c>
      <c r="I156" s="142">
        <f>Data!H$162</f>
        <v>0.60399999999999998</v>
      </c>
      <c r="J156" s="142">
        <f>Data!I$162</f>
        <v>0.63400000000000001</v>
      </c>
      <c r="K156" s="99">
        <f>J$156*K$155/J$155</f>
        <v>0.66433673461612663</v>
      </c>
      <c r="L156" s="99">
        <f t="shared" ref="L156:T156" si="78">K$156*L$155/K$155</f>
        <v>0.6938465880926955</v>
      </c>
      <c r="M156" s="99">
        <f t="shared" si="78"/>
        <v>0.72252536836717551</v>
      </c>
      <c r="N156" s="99">
        <f t="shared" si="78"/>
        <v>0.7503820130270562</v>
      </c>
      <c r="O156" s="99">
        <f t="shared" si="78"/>
        <v>0.77743614911235481</v>
      </c>
      <c r="P156" s="99">
        <f t="shared" si="78"/>
        <v>0.80371589250218023</v>
      </c>
      <c r="Q156" s="99">
        <f t="shared" si="78"/>
        <v>0.82925590198252042</v>
      </c>
      <c r="R156" s="99">
        <f t="shared" si="78"/>
        <v>0.85409568850746564</v>
      </c>
      <c r="S156" s="99">
        <f t="shared" si="78"/>
        <v>0.87827816993149144</v>
      </c>
      <c r="T156" s="99">
        <f t="shared" si="78"/>
        <v>0.90188496428742404</v>
      </c>
      <c r="U156" s="54"/>
    </row>
    <row r="157" spans="1:21" x14ac:dyDescent="0.2">
      <c r="A157" s="251" t="s">
        <v>480</v>
      </c>
      <c r="C157" s="94"/>
      <c r="D157" s="94">
        <f>Data!C$163</f>
        <v>0.55500000000000005</v>
      </c>
      <c r="E157" s="94">
        <f>Data!D$163</f>
        <v>0.629</v>
      </c>
      <c r="F157" s="142">
        <f>Data!E$163</f>
        <v>0.70299999999999996</v>
      </c>
      <c r="G157" s="142">
        <f>Data!F$163</f>
        <v>0.79500000000000004</v>
      </c>
      <c r="H157" s="142">
        <f>Data!G$163</f>
        <v>0.879</v>
      </c>
      <c r="I157" s="142">
        <f>Data!H$163</f>
        <v>0.96499999999999997</v>
      </c>
      <c r="J157" s="142">
        <f>Data!I$163</f>
        <v>1.05</v>
      </c>
      <c r="K157" s="99">
        <f>J$157*Tracks!W$25/Tracks!V$25</f>
        <v>1.1254034937993254</v>
      </c>
      <c r="L157" s="99">
        <f>K$157*Tracks!X$25/Tracks!W$25</f>
        <v>1.1967551147966937</v>
      </c>
      <c r="M157" s="99">
        <f>L$157*Tracks!Y$25/Tracks!X$25</f>
        <v>1.2675894214982191</v>
      </c>
      <c r="N157" s="99">
        <f>M$157*Tracks!Z$25/Tracks!Y$25</f>
        <v>1.3408333422204526</v>
      </c>
      <c r="O157" s="99">
        <f>N$157*Tracks!AA$25/Tracks!Z$25</f>
        <v>1.4116943629689149</v>
      </c>
      <c r="P157" s="99">
        <f>O$157*Tracks!AB$25/Tracks!AA$25</f>
        <v>1.478508180250572</v>
      </c>
      <c r="Q157" s="99">
        <f>P$157*Tracks!AC$25/Tracks!AB$25</f>
        <v>1.5456692732718098</v>
      </c>
      <c r="R157" s="99">
        <f>Q$157*Tracks!AD$25/Tracks!AC$25</f>
        <v>1.6123639088908837</v>
      </c>
      <c r="S157" s="99">
        <f>R$157*Tracks!AE$25/Tracks!AD$25</f>
        <v>1.6796161250101647</v>
      </c>
      <c r="T157" s="99">
        <f>S$157*Tracks!AF$25/Tracks!AE$25</f>
        <v>1.7472262991112479</v>
      </c>
      <c r="U157" s="54"/>
    </row>
    <row r="158" spans="1:21" x14ac:dyDescent="0.2">
      <c r="A158" s="251" t="s">
        <v>871</v>
      </c>
      <c r="C158" s="94"/>
      <c r="D158" s="94">
        <f>Data!C$164</f>
        <v>0.36</v>
      </c>
      <c r="E158" s="94">
        <f>Data!D$164</f>
        <v>0.40699999999999997</v>
      </c>
      <c r="F158" s="142">
        <f>Data!E$164</f>
        <v>0.45200000000000001</v>
      </c>
      <c r="G158" s="142">
        <f>Data!F$164</f>
        <v>0.48299999999999998</v>
      </c>
      <c r="H158" s="142">
        <f>Data!G$164</f>
        <v>0.51</v>
      </c>
      <c r="I158" s="142">
        <f>Data!H$164</f>
        <v>0.53900000000000003</v>
      </c>
      <c r="J158" s="142">
        <f>Data!I$164</f>
        <v>0.56799999999999995</v>
      </c>
      <c r="K158" s="99">
        <f>J$158*K$155/J$155</f>
        <v>0.59517865183274432</v>
      </c>
      <c r="L158" s="99">
        <f t="shared" ref="L158:T158" si="79">K$158*L$155/K$155</f>
        <v>0.62161650163509619</v>
      </c>
      <c r="M158" s="99">
        <f t="shared" si="79"/>
        <v>0.64730979374220132</v>
      </c>
      <c r="N158" s="99">
        <f t="shared" si="79"/>
        <v>0.67226653533023317</v>
      </c>
      <c r="O158" s="99">
        <f t="shared" si="79"/>
        <v>0.69650431024576887</v>
      </c>
      <c r="P158" s="99">
        <f t="shared" si="79"/>
        <v>0.72004830747829385</v>
      </c>
      <c r="Q158" s="99">
        <f t="shared" si="79"/>
        <v>0.7429295778013747</v>
      </c>
      <c r="R158" s="99">
        <f t="shared" si="79"/>
        <v>0.7651835190413887</v>
      </c>
      <c r="S158" s="99">
        <f t="shared" si="79"/>
        <v>0.78684858126354429</v>
      </c>
      <c r="T158" s="99">
        <f t="shared" si="79"/>
        <v>0.80799788598620947</v>
      </c>
      <c r="U158" s="54"/>
    </row>
    <row r="159" spans="1:21" x14ac:dyDescent="0.2">
      <c r="A159" s="259" t="s">
        <v>481</v>
      </c>
      <c r="B159" s="54"/>
      <c r="C159" s="94"/>
      <c r="D159" s="280">
        <f>Data!C$165-Data!C$166</f>
        <v>5.099999999999999E-2</v>
      </c>
      <c r="E159" s="280">
        <f>Data!D$165-Data!D$166</f>
        <v>-0.23800000000000002</v>
      </c>
      <c r="F159" s="186">
        <f>Data!E$165-Data!E$166</f>
        <v>0.112</v>
      </c>
      <c r="G159" s="186">
        <f>Data!F$165-Data!F$166</f>
        <v>0.11</v>
      </c>
      <c r="H159" s="186">
        <f>Data!G$165-Data!G$166</f>
        <v>0.108</v>
      </c>
      <c r="I159" s="186">
        <f>Data!H$165-Data!H$166</f>
        <v>0.109</v>
      </c>
      <c r="J159" s="186">
        <f>Data!I$165-Data!I$166</f>
        <v>0.111</v>
      </c>
      <c r="K159" s="107">
        <f>J$159*K$154/J$154</f>
        <v>0.1164046913872764</v>
      </c>
      <c r="L159" s="107">
        <f t="shared" ref="L159:T159" si="80">K$159*L$154/K$154</f>
        <v>0.12173589481420218</v>
      </c>
      <c r="M159" s="107">
        <f t="shared" si="80"/>
        <v>0.1270208982242354</v>
      </c>
      <c r="N159" s="107">
        <f t="shared" si="80"/>
        <v>0.13224001423658185</v>
      </c>
      <c r="O159" s="107">
        <f t="shared" si="80"/>
        <v>0.13733561637489985</v>
      </c>
      <c r="P159" s="107">
        <f t="shared" si="80"/>
        <v>0.14231449795010367</v>
      </c>
      <c r="Q159" s="107">
        <f t="shared" si="80"/>
        <v>0.14720616543437023</v>
      </c>
      <c r="R159" s="107">
        <f t="shared" si="80"/>
        <v>0.15198307951365675</v>
      </c>
      <c r="S159" s="107">
        <f t="shared" si="80"/>
        <v>0.1566300519702862</v>
      </c>
      <c r="T159" s="107">
        <f t="shared" si="80"/>
        <v>0.16112002747456838</v>
      </c>
      <c r="U159" s="54"/>
    </row>
    <row r="160" spans="1:21" s="103" customFormat="1" x14ac:dyDescent="0.2">
      <c r="A160" s="43" t="s">
        <v>664</v>
      </c>
      <c r="B160" s="54"/>
      <c r="C160" s="94"/>
      <c r="D160" s="96">
        <f t="shared" ref="D160:T160" si="81">SUM(D$154,D$155,D$158)-SUM(D$156,D$157,D$159)</f>
        <v>6.0110000000000001</v>
      </c>
      <c r="E160" s="96">
        <f t="shared" si="81"/>
        <v>6.7409999999999997</v>
      </c>
      <c r="F160" s="187">
        <f t="shared" si="81"/>
        <v>7.173</v>
      </c>
      <c r="G160" s="187">
        <f t="shared" si="81"/>
        <v>7.5990000000000011</v>
      </c>
      <c r="H160" s="187">
        <f t="shared" si="81"/>
        <v>8.0220000000000002</v>
      </c>
      <c r="I160" s="187">
        <f t="shared" si="81"/>
        <v>8.4409999999999989</v>
      </c>
      <c r="J160" s="187">
        <f t="shared" si="81"/>
        <v>8.8519999999999985</v>
      </c>
      <c r="K160" s="101">
        <f t="shared" si="81"/>
        <v>9.2574116047448669</v>
      </c>
      <c r="L160" s="101">
        <f t="shared" si="81"/>
        <v>9.6593099271240597</v>
      </c>
      <c r="M160" s="101">
        <f t="shared" si="81"/>
        <v>10.05619783937826</v>
      </c>
      <c r="N160" s="101">
        <f t="shared" si="81"/>
        <v>10.443693133518281</v>
      </c>
      <c r="O160" s="101">
        <f t="shared" si="81"/>
        <v>10.8223124071786</v>
      </c>
      <c r="P160" s="101">
        <f t="shared" si="81"/>
        <v>11.194299481365034</v>
      </c>
      <c r="Q160" s="101">
        <f t="shared" si="81"/>
        <v>11.557560127700686</v>
      </c>
      <c r="R160" s="101">
        <f t="shared" si="81"/>
        <v>11.910939357488157</v>
      </c>
      <c r="S160" s="101">
        <f t="shared" si="81"/>
        <v>12.252379746962445</v>
      </c>
      <c r="T160" s="101">
        <f t="shared" si="81"/>
        <v>12.580252921732828</v>
      </c>
      <c r="U160" s="54"/>
    </row>
    <row r="161" spans="1:21" s="103" customFormat="1" x14ac:dyDescent="0.2">
      <c r="A161" s="43"/>
      <c r="B161" s="54"/>
      <c r="C161" s="9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54"/>
    </row>
    <row r="162" spans="1:21" x14ac:dyDescent="0.2">
      <c r="A162" s="147" t="s">
        <v>416</v>
      </c>
      <c r="B162" s="59"/>
      <c r="C162" s="94"/>
      <c r="D162" s="100"/>
      <c r="E162" s="100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54"/>
    </row>
    <row r="163" spans="1:21" x14ac:dyDescent="0.2">
      <c r="A163" s="258" t="s">
        <v>756</v>
      </c>
      <c r="B163" s="59"/>
      <c r="C163" s="94"/>
      <c r="D163" s="94">
        <f>Data!C$221</f>
        <v>0.36699999999999999</v>
      </c>
      <c r="E163" s="94">
        <f>Data!D$221</f>
        <v>0.32400000000000001</v>
      </c>
      <c r="F163" s="142">
        <f>Data!E$221</f>
        <v>0.77200000000000002</v>
      </c>
      <c r="G163" s="142">
        <f>Data!F$221</f>
        <v>1.4950000000000001</v>
      </c>
      <c r="H163" s="142">
        <f>Data!G$221</f>
        <v>1.821</v>
      </c>
      <c r="I163" s="142">
        <f>Data!H$221</f>
        <v>2.1560000000000001</v>
      </c>
      <c r="J163" s="142">
        <f>Data!I$221</f>
        <v>2.4910000000000001</v>
      </c>
      <c r="K163" s="99">
        <f ca="1">J$163*(1+K$218)</f>
        <v>2.5408200000000001</v>
      </c>
      <c r="L163" s="99">
        <f t="shared" ref="L163:T163" ca="1" si="82">K$163*(1+L$218)</f>
        <v>2.5916364000000001</v>
      </c>
      <c r="M163" s="99">
        <f t="shared" ca="1" si="82"/>
        <v>2.643469128</v>
      </c>
      <c r="N163" s="99">
        <f t="shared" ca="1" si="82"/>
        <v>2.69633851056</v>
      </c>
      <c r="O163" s="99">
        <f t="shared" ca="1" si="82"/>
        <v>2.7502652807711998</v>
      </c>
      <c r="P163" s="99">
        <f t="shared" ca="1" si="82"/>
        <v>2.8052705863866239</v>
      </c>
      <c r="Q163" s="99">
        <f t="shared" ca="1" si="82"/>
        <v>2.8613759981143563</v>
      </c>
      <c r="R163" s="99">
        <f t="shared" ca="1" si="82"/>
        <v>2.9186035180766434</v>
      </c>
      <c r="S163" s="99">
        <f t="shared" ca="1" si="82"/>
        <v>2.9769755884381763</v>
      </c>
      <c r="T163" s="99">
        <f t="shared" ca="1" si="82"/>
        <v>3.0365151002069397</v>
      </c>
      <c r="U163" s="54"/>
    </row>
    <row r="164" spans="1:21" x14ac:dyDescent="0.2">
      <c r="A164" s="258" t="s">
        <v>461</v>
      </c>
      <c r="B164" s="59"/>
      <c r="C164" s="94"/>
      <c r="D164" s="94">
        <f>Data!C$220-D$160</f>
        <v>3.0759999999999996</v>
      </c>
      <c r="E164" s="94">
        <f>Data!D$220-E$160</f>
        <v>3.9870000000000001</v>
      </c>
      <c r="F164" s="142">
        <f>Data!E$220-F$160</f>
        <v>4.7650000000000006</v>
      </c>
      <c r="G164" s="142">
        <f>Data!F$220-G$160</f>
        <v>4.7379999999999987</v>
      </c>
      <c r="H164" s="142">
        <f>Data!G$220-H$160</f>
        <v>4.9489999999999998</v>
      </c>
      <c r="I164" s="142">
        <f>Data!H$220-I$160</f>
        <v>4.9740000000000002</v>
      </c>
      <c r="J164" s="142">
        <f>Data!I$220-J$160</f>
        <v>5.0300000000000011</v>
      </c>
      <c r="K164" s="99">
        <f ca="1">J$164*(1+K$218)</f>
        <v>5.1306000000000012</v>
      </c>
      <c r="L164" s="99">
        <f t="shared" ref="L164:T164" ca="1" si="83">K$164*(1+L$218)</f>
        <v>5.2332120000000009</v>
      </c>
      <c r="M164" s="99">
        <f t="shared" ca="1" si="83"/>
        <v>5.3378762400000008</v>
      </c>
      <c r="N164" s="99">
        <f t="shared" ca="1" si="83"/>
        <v>5.4446337648000007</v>
      </c>
      <c r="O164" s="99">
        <f t="shared" ca="1" si="83"/>
        <v>5.5535264400960012</v>
      </c>
      <c r="P164" s="99">
        <f t="shared" ca="1" si="83"/>
        <v>5.6645969688979214</v>
      </c>
      <c r="Q164" s="99">
        <f t="shared" ca="1" si="83"/>
        <v>5.7778889082758802</v>
      </c>
      <c r="R164" s="99">
        <f t="shared" ca="1" si="83"/>
        <v>5.8934466864413979</v>
      </c>
      <c r="S164" s="99">
        <f t="shared" ca="1" si="83"/>
        <v>6.011315620170226</v>
      </c>
      <c r="T164" s="99">
        <f t="shared" ca="1" si="83"/>
        <v>6.1315419325736302</v>
      </c>
      <c r="U164" s="54"/>
    </row>
    <row r="165" spans="1:21" x14ac:dyDescent="0.2">
      <c r="A165" s="258" t="s">
        <v>462</v>
      </c>
      <c r="B165" s="59"/>
      <c r="C165" s="94"/>
      <c r="D165" s="280">
        <f>Data!C$116-D$163</f>
        <v>0.75100000000000011</v>
      </c>
      <c r="E165" s="280">
        <f>Data!D$116-E$163</f>
        <v>0.54800000000000004</v>
      </c>
      <c r="F165" s="186">
        <f>Data!E$116-F$163</f>
        <v>0.57499999999999996</v>
      </c>
      <c r="G165" s="186">
        <f>Data!F$116-G$163</f>
        <v>0.57600000000000007</v>
      </c>
      <c r="H165" s="186">
        <f>Data!G$116-H$163</f>
        <v>0.57899999999999996</v>
      </c>
      <c r="I165" s="186">
        <f>Data!H$116-I$163</f>
        <v>0.58499999999999996</v>
      </c>
      <c r="J165" s="186">
        <f>Data!I$116-J$163</f>
        <v>0.58499999999999996</v>
      </c>
      <c r="K165" s="107">
        <f>J$165</f>
        <v>0.58499999999999996</v>
      </c>
      <c r="L165" s="107">
        <f t="shared" ref="L165:T165" si="84">K$165</f>
        <v>0.58499999999999996</v>
      </c>
      <c r="M165" s="107">
        <f t="shared" si="84"/>
        <v>0.58499999999999996</v>
      </c>
      <c r="N165" s="107">
        <f t="shared" si="84"/>
        <v>0.58499999999999996</v>
      </c>
      <c r="O165" s="107">
        <f t="shared" si="84"/>
        <v>0.58499999999999996</v>
      </c>
      <c r="P165" s="107">
        <f t="shared" si="84"/>
        <v>0.58499999999999996</v>
      </c>
      <c r="Q165" s="107">
        <f t="shared" si="84"/>
        <v>0.58499999999999996</v>
      </c>
      <c r="R165" s="107">
        <f t="shared" si="84"/>
        <v>0.58499999999999996</v>
      </c>
      <c r="S165" s="107">
        <f t="shared" si="84"/>
        <v>0.58499999999999996</v>
      </c>
      <c r="T165" s="107">
        <f t="shared" si="84"/>
        <v>0.58499999999999996</v>
      </c>
      <c r="U165" s="54"/>
    </row>
    <row r="166" spans="1:21" x14ac:dyDescent="0.2">
      <c r="A166" s="43" t="s">
        <v>409</v>
      </c>
      <c r="B166" s="54"/>
      <c r="C166" s="94"/>
      <c r="D166" s="96">
        <f t="shared" ref="D166:T166" si="85">SUM(D$163:D$165)</f>
        <v>4.194</v>
      </c>
      <c r="E166" s="96">
        <f t="shared" si="85"/>
        <v>4.859</v>
      </c>
      <c r="F166" s="187">
        <f t="shared" si="85"/>
        <v>6.112000000000001</v>
      </c>
      <c r="G166" s="187">
        <f t="shared" si="85"/>
        <v>6.8089999999999993</v>
      </c>
      <c r="H166" s="187">
        <f t="shared" si="85"/>
        <v>7.3489999999999993</v>
      </c>
      <c r="I166" s="187">
        <f t="shared" si="85"/>
        <v>7.7150000000000007</v>
      </c>
      <c r="J166" s="187">
        <f t="shared" si="85"/>
        <v>8.1060000000000016</v>
      </c>
      <c r="K166" s="101">
        <f t="shared" ca="1" si="85"/>
        <v>8.2564200000000021</v>
      </c>
      <c r="L166" s="101">
        <f t="shared" ca="1" si="85"/>
        <v>8.4098484000000013</v>
      </c>
      <c r="M166" s="101">
        <f t="shared" ca="1" si="85"/>
        <v>8.5663453680000003</v>
      </c>
      <c r="N166" s="101">
        <f t="shared" ca="1" si="85"/>
        <v>8.7259722753600002</v>
      </c>
      <c r="O166" s="101">
        <f t="shared" ca="1" si="85"/>
        <v>8.8887917208672</v>
      </c>
      <c r="P166" s="101">
        <f t="shared" ca="1" si="85"/>
        <v>9.0548675552845452</v>
      </c>
      <c r="Q166" s="101">
        <f t="shared" ca="1" si="85"/>
        <v>9.2242649063902356</v>
      </c>
      <c r="R166" s="101">
        <f t="shared" ca="1" si="85"/>
        <v>9.3970502045180417</v>
      </c>
      <c r="S166" s="101">
        <f t="shared" ca="1" si="85"/>
        <v>9.5732912086084028</v>
      </c>
      <c r="T166" s="101">
        <f t="shared" ca="1" si="85"/>
        <v>9.7530570327805712</v>
      </c>
      <c r="U166" s="54"/>
    </row>
    <row r="167" spans="1:21" x14ac:dyDescent="0.2">
      <c r="A167" s="251" t="s">
        <v>753</v>
      </c>
      <c r="B167" s="54"/>
      <c r="C167" s="94"/>
      <c r="D167" s="94">
        <f>Data!C$65</f>
        <v>3.637</v>
      </c>
      <c r="E167" s="94">
        <f>Data!D$65</f>
        <v>5.5810000000000004</v>
      </c>
      <c r="F167" s="142">
        <f>Data!E$65</f>
        <v>8.5</v>
      </c>
      <c r="G167" s="142">
        <f>Data!F$65</f>
        <v>9.5</v>
      </c>
      <c r="H167" s="142">
        <f>Data!G$65</f>
        <v>10</v>
      </c>
      <c r="I167" s="142">
        <f>Data!H$65</f>
        <v>10</v>
      </c>
      <c r="J167" s="142">
        <f>Data!I$65</f>
        <v>10</v>
      </c>
      <c r="K167" s="99">
        <f>J$167</f>
        <v>10</v>
      </c>
      <c r="L167" s="99">
        <f t="shared" ref="L167:T167" si="86">K$167</f>
        <v>10</v>
      </c>
      <c r="M167" s="99">
        <f t="shared" si="86"/>
        <v>10</v>
      </c>
      <c r="N167" s="99">
        <f t="shared" si="86"/>
        <v>10</v>
      </c>
      <c r="O167" s="99">
        <f t="shared" si="86"/>
        <v>10</v>
      </c>
      <c r="P167" s="99">
        <f t="shared" si="86"/>
        <v>10</v>
      </c>
      <c r="Q167" s="99">
        <f t="shared" si="86"/>
        <v>10</v>
      </c>
      <c r="R167" s="99">
        <f t="shared" si="86"/>
        <v>10</v>
      </c>
      <c r="S167" s="99">
        <f t="shared" si="86"/>
        <v>10</v>
      </c>
      <c r="T167" s="99">
        <f t="shared" si="86"/>
        <v>10</v>
      </c>
      <c r="U167" s="54"/>
    </row>
    <row r="168" spans="1:21" x14ac:dyDescent="0.2">
      <c r="A168" s="251" t="s">
        <v>754</v>
      </c>
      <c r="B168" s="54"/>
      <c r="C168" s="94"/>
      <c r="D168" s="280">
        <f>SUM(Data!C$61,Data!C$66)-SUM(D$160,D$166)</f>
        <v>2.113999999999999</v>
      </c>
      <c r="E168" s="280">
        <f>SUM(Data!D$61,Data!D$66)-SUM(E$160,E$166)</f>
        <v>-0.42900000000000027</v>
      </c>
      <c r="F168" s="186">
        <f>SUM(Data!E$61,Data!E$66)-SUM(F$160,F$166)</f>
        <v>1.3609999999999989</v>
      </c>
      <c r="G168" s="186">
        <f>SUM(Data!F$61,Data!F$66)-SUM(G$160,G$166)</f>
        <v>1.4379999999999988</v>
      </c>
      <c r="H168" s="186">
        <f>SUM(Data!G$61,Data!G$66)-SUM(H$160,H$166)</f>
        <v>1.1560000000000024</v>
      </c>
      <c r="I168" s="186">
        <f>SUM(Data!H$61,Data!H$66)-SUM(I$160,I$166)</f>
        <v>1.4190000000000005</v>
      </c>
      <c r="J168" s="186">
        <f>SUM(Data!I$61,Data!I$66)-SUM(J$160,J$166)</f>
        <v>1.7900000000000027</v>
      </c>
      <c r="K168" s="107">
        <f ca="1">J$168*(1+K$215)</f>
        <v>1.8722769036016984</v>
      </c>
      <c r="L168" s="107">
        <f t="shared" ref="L168:T168" ca="1" si="87">K$168*(1+L$215)</f>
        <v>1.9586791315688779</v>
      </c>
      <c r="M168" s="107">
        <f t="shared" ca="1" si="87"/>
        <v>2.0485394539128658</v>
      </c>
      <c r="N168" s="107">
        <f t="shared" ca="1" si="87"/>
        <v>2.1403187944790734</v>
      </c>
      <c r="O168" s="107">
        <f t="shared" ca="1" si="87"/>
        <v>2.2308803054848174</v>
      </c>
      <c r="P168" s="107">
        <f t="shared" ca="1" si="87"/>
        <v>2.3246039224457671</v>
      </c>
      <c r="Q168" s="107">
        <f t="shared" ca="1" si="87"/>
        <v>2.4217062652054833</v>
      </c>
      <c r="R168" s="107">
        <f t="shared" ca="1" si="87"/>
        <v>2.5220830731083095</v>
      </c>
      <c r="S168" s="107">
        <f t="shared" ca="1" si="87"/>
        <v>2.6265373840027024</v>
      </c>
      <c r="T168" s="107">
        <f t="shared" ca="1" si="87"/>
        <v>2.7340452947389533</v>
      </c>
      <c r="U168" s="54"/>
    </row>
    <row r="169" spans="1:21" x14ac:dyDescent="0.2">
      <c r="A169" s="43" t="s">
        <v>410</v>
      </c>
      <c r="B169" s="54"/>
      <c r="C169" s="94"/>
      <c r="D169" s="96">
        <f t="shared" ref="D169:T169" si="88">SUM(D$166,D$167,D$168)</f>
        <v>9.9449999999999985</v>
      </c>
      <c r="E169" s="96">
        <f t="shared" si="88"/>
        <v>10.011000000000001</v>
      </c>
      <c r="F169" s="187">
        <f t="shared" si="88"/>
        <v>15.973000000000001</v>
      </c>
      <c r="G169" s="187">
        <f t="shared" si="88"/>
        <v>17.746999999999996</v>
      </c>
      <c r="H169" s="187">
        <f t="shared" si="88"/>
        <v>18.505000000000003</v>
      </c>
      <c r="I169" s="187">
        <f t="shared" si="88"/>
        <v>19.134</v>
      </c>
      <c r="J169" s="187">
        <f t="shared" si="88"/>
        <v>19.896000000000004</v>
      </c>
      <c r="K169" s="101">
        <f t="shared" ca="1" si="88"/>
        <v>20.1286969036017</v>
      </c>
      <c r="L169" s="101">
        <f t="shared" ca="1" si="88"/>
        <v>20.36852753156888</v>
      </c>
      <c r="M169" s="101">
        <f t="shared" ca="1" si="88"/>
        <v>20.614884821912867</v>
      </c>
      <c r="N169" s="101">
        <f t="shared" ca="1" si="88"/>
        <v>20.866291069839072</v>
      </c>
      <c r="O169" s="101">
        <f t="shared" ca="1" si="88"/>
        <v>21.119672026352017</v>
      </c>
      <c r="P169" s="101">
        <f t="shared" ca="1" si="88"/>
        <v>21.379471477730313</v>
      </c>
      <c r="Q169" s="101">
        <f t="shared" ca="1" si="88"/>
        <v>21.645971171595718</v>
      </c>
      <c r="R169" s="101">
        <f t="shared" ca="1" si="88"/>
        <v>21.919133277626351</v>
      </c>
      <c r="S169" s="101">
        <f t="shared" ca="1" si="88"/>
        <v>22.199828592611105</v>
      </c>
      <c r="T169" s="101">
        <f t="shared" ca="1" si="88"/>
        <v>22.487102327519523</v>
      </c>
      <c r="U169" s="54"/>
    </row>
    <row r="170" spans="1:21" x14ac:dyDescent="0.2">
      <c r="A170" s="43" t="s">
        <v>483</v>
      </c>
      <c r="B170" s="138"/>
      <c r="C170" s="94"/>
      <c r="D170" s="96">
        <f>Data!C$117</f>
        <v>7.59</v>
      </c>
      <c r="E170" s="96">
        <f>Data!D$117</f>
        <v>9.0310000000000006</v>
      </c>
      <c r="F170" s="187">
        <f>Data!E$117</f>
        <v>9.6049999999999986</v>
      </c>
      <c r="G170" s="187">
        <f>Data!F$117</f>
        <v>9.3149999999999995</v>
      </c>
      <c r="H170" s="187">
        <f>Data!G$117</f>
        <v>9.0609999999999999</v>
      </c>
      <c r="I170" s="187">
        <f>Data!H$117</f>
        <v>8.8209999999999997</v>
      </c>
      <c r="J170" s="187">
        <f>Data!I$117</f>
        <v>8.76</v>
      </c>
      <c r="K170" s="101">
        <f ca="1">J$170*(1+K$218)</f>
        <v>8.9352</v>
      </c>
      <c r="L170" s="101">
        <f t="shared" ref="L170:T170" ca="1" si="89">K$170*(1+L$218)</f>
        <v>9.1139039999999998</v>
      </c>
      <c r="M170" s="101">
        <f t="shared" ca="1" si="89"/>
        <v>9.2961820799999995</v>
      </c>
      <c r="N170" s="101">
        <f t="shared" ca="1" si="89"/>
        <v>9.4821057216</v>
      </c>
      <c r="O170" s="101">
        <f t="shared" ca="1" si="89"/>
        <v>9.6717478360320008</v>
      </c>
      <c r="P170" s="101">
        <f t="shared" ca="1" si="89"/>
        <v>9.8651827927526412</v>
      </c>
      <c r="Q170" s="101">
        <f t="shared" ca="1" si="89"/>
        <v>10.062486448607695</v>
      </c>
      <c r="R170" s="101">
        <f t="shared" ca="1" si="89"/>
        <v>10.263736177579849</v>
      </c>
      <c r="S170" s="101">
        <f t="shared" ca="1" si="89"/>
        <v>10.469010901131446</v>
      </c>
      <c r="T170" s="101">
        <f t="shared" ca="1" si="89"/>
        <v>10.678391119154075</v>
      </c>
      <c r="U170" s="54"/>
    </row>
    <row r="171" spans="1:21" x14ac:dyDescent="0.2">
      <c r="A171" s="43" t="s">
        <v>489</v>
      </c>
      <c r="B171" s="138"/>
      <c r="C171" s="94"/>
      <c r="D171" s="96">
        <f>Data!C$62</f>
        <v>12.058</v>
      </c>
      <c r="E171" s="96">
        <f>Data!D$62</f>
        <v>14.157999999999999</v>
      </c>
      <c r="F171" s="187">
        <f>Data!E$62</f>
        <v>14.707999999999998</v>
      </c>
      <c r="G171" s="187">
        <f>Data!F$62</f>
        <v>14.908999999999999</v>
      </c>
      <c r="H171" s="187">
        <f>Data!G$62</f>
        <v>14.886000000000001</v>
      </c>
      <c r="I171" s="187">
        <f>Data!H$62</f>
        <v>14.761999999999999</v>
      </c>
      <c r="J171" s="187">
        <f>Data!I$62</f>
        <v>15.025</v>
      </c>
      <c r="K171" s="101">
        <f ca="1">J$171*(1+K$218)</f>
        <v>15.3255</v>
      </c>
      <c r="L171" s="101">
        <f t="shared" ref="L171:T171" ca="1" si="90">K$171*(1+L$218)</f>
        <v>15.632009999999999</v>
      </c>
      <c r="M171" s="101">
        <f t="shared" ca="1" si="90"/>
        <v>15.9446502</v>
      </c>
      <c r="N171" s="101">
        <f t="shared" ca="1" si="90"/>
        <v>16.263543204000001</v>
      </c>
      <c r="O171" s="101">
        <f t="shared" ca="1" si="90"/>
        <v>16.588814068080001</v>
      </c>
      <c r="P171" s="101">
        <f t="shared" ca="1" si="90"/>
        <v>16.920590349441603</v>
      </c>
      <c r="Q171" s="101">
        <f t="shared" ca="1" si="90"/>
        <v>17.259002156430437</v>
      </c>
      <c r="R171" s="101">
        <f t="shared" ca="1" si="90"/>
        <v>17.604182199559045</v>
      </c>
      <c r="S171" s="101">
        <f t="shared" ca="1" si="90"/>
        <v>17.956265843550227</v>
      </c>
      <c r="T171" s="101">
        <f t="shared" ca="1" si="90"/>
        <v>18.315391160421232</v>
      </c>
      <c r="U171" s="54"/>
    </row>
    <row r="172" spans="1:21" x14ac:dyDescent="0.2">
      <c r="B172" s="59"/>
      <c r="C172" s="94"/>
      <c r="D172" s="100"/>
      <c r="E172" s="100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  <c r="S172" s="191"/>
      <c r="T172" s="191"/>
      <c r="U172" s="54"/>
    </row>
    <row r="173" spans="1:21" x14ac:dyDescent="0.2">
      <c r="A173" s="147" t="s">
        <v>666</v>
      </c>
      <c r="B173" s="59"/>
      <c r="C173" s="94"/>
      <c r="D173" s="94"/>
      <c r="E173" s="9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</row>
    <row r="174" spans="1:21" x14ac:dyDescent="0.2">
      <c r="A174" s="43" t="s">
        <v>254</v>
      </c>
      <c r="B174" s="54"/>
      <c r="C174" s="94"/>
      <c r="D174" s="96">
        <f>Data!C$119</f>
        <v>26.213000000000001</v>
      </c>
      <c r="E174" s="96">
        <f ca="1">Data!D$119+IF(OFFSET(Scenarios!$A$69,0,$C$1)="Yes",E$179,0)</f>
        <v>28.637</v>
      </c>
      <c r="F174" s="187">
        <f ca="1">Data!E$119+IF(OFFSET(Scenarios!$A$69,0,$C$1)="Yes",F$179,0)</f>
        <v>29.236000000000001</v>
      </c>
      <c r="G174" s="187">
        <f ca="1">Data!F$119+IF(OFFSET(Scenarios!$A$69,0,$C$1)="Yes",G$179,0)</f>
        <v>29.542000000000002</v>
      </c>
      <c r="H174" s="187">
        <f ca="1">Data!G$119+IF(OFFSET(Scenarios!$A$69,0,$C$1)="Yes",H$179,0)</f>
        <v>29.497</v>
      </c>
      <c r="I174" s="187">
        <f ca="1">Data!H$119+IF(OFFSET(Scenarios!$A$69,0,$C$1)="Yes",I$179,0)</f>
        <v>29.256</v>
      </c>
      <c r="J174" s="187">
        <f ca="1">Data!I$119+IF(OFFSET(Scenarios!$A$69,0,$C$1)="Yes",J$179,0)</f>
        <v>29.085000000000001</v>
      </c>
      <c r="K174" s="101">
        <f ca="1">J$174+IF(OFFSET(Scenarios!$A$69,0,$C$1)="Yes",(K$179-J$179),0)</f>
        <v>29.085000000000001</v>
      </c>
      <c r="L174" s="101">
        <f ca="1">K$174+IF(OFFSET(Scenarios!$A$69,0,$C$1)="Yes",(L$179-K$179),0)</f>
        <v>29.085000000000001</v>
      </c>
      <c r="M174" s="101">
        <f ca="1">L$174+IF(OFFSET(Scenarios!$A$69,0,$C$1)="Yes",(M$179-L$179),0)</f>
        <v>29.085000000000001</v>
      </c>
      <c r="N174" s="101">
        <f ca="1">M$174+IF(OFFSET(Scenarios!$A$69,0,$C$1)="Yes",(N$179-M$179),0)</f>
        <v>29.085000000000001</v>
      </c>
      <c r="O174" s="101">
        <f ca="1">N$174+IF(OFFSET(Scenarios!$A$69,0,$C$1)="Yes",(O$179-N$179),0)</f>
        <v>29.085000000000001</v>
      </c>
      <c r="P174" s="101">
        <f ca="1">O$174+IF(OFFSET(Scenarios!$A$69,0,$C$1)="Yes",(P$179-O$179),0)</f>
        <v>29.085000000000001</v>
      </c>
      <c r="Q174" s="101">
        <f ca="1">P$174+IF(OFFSET(Scenarios!$A$69,0,$C$1)="Yes",(Q$179-P$179),0)</f>
        <v>29.085000000000001</v>
      </c>
      <c r="R174" s="101">
        <f ca="1">Q$174+IF(OFFSET(Scenarios!$A$69,0,$C$1)="Yes",(R$179-Q$179),0)</f>
        <v>29.085000000000001</v>
      </c>
      <c r="S174" s="101">
        <f ca="1">R$174+IF(OFFSET(Scenarios!$A$69,0,$C$1)="Yes",(S$179-R$179),0)</f>
        <v>29.085000000000001</v>
      </c>
      <c r="T174" s="101">
        <f ca="1">S$174+IF(OFFSET(Scenarios!$A$69,0,$C$1)="Yes",(T$179-S$179),0)</f>
        <v>29.085000000000001</v>
      </c>
      <c r="U174" s="54"/>
    </row>
    <row r="175" spans="1:21" x14ac:dyDescent="0.2">
      <c r="A175" s="259" t="s">
        <v>665</v>
      </c>
      <c r="B175" s="59"/>
      <c r="C175" s="94"/>
      <c r="D175" s="280">
        <f>SUM(Data!C$120,Data!C$121)</f>
        <v>69.385000000000005</v>
      </c>
      <c r="E175" s="280">
        <f>SUM(Data!D$120,Data!D$121)</f>
        <v>74.692000000000007</v>
      </c>
      <c r="F175" s="186">
        <f>SUM(Data!E$120,Data!E$121)</f>
        <v>78.658999999999992</v>
      </c>
      <c r="G175" s="186">
        <f>SUM(Data!F$120,Data!F$121)</f>
        <v>80.855999999999995</v>
      </c>
      <c r="H175" s="186">
        <f>SUM(Data!G$120,Data!G$121)</f>
        <v>83.282000000000011</v>
      </c>
      <c r="I175" s="186">
        <f>SUM(Data!H$120,Data!H$121)</f>
        <v>85.245000000000005</v>
      </c>
      <c r="J175" s="186">
        <f>SUM(Data!I$120,Data!I$121)</f>
        <v>87.858000000000004</v>
      </c>
      <c r="K175" s="107">
        <f ca="1">J$175 + (K$27-K$34-J$27+J$34) + (K$28-K$35-J$28+J$35) + (K$16-K$23) - SUM(K$148,K$149,-K$150,K$169-K$166,K$171-K$170,K$186-K$185) + SUM(J$148,J$149,-J$150,J$169-J$166,J$171-J$170,J$186-J$185)</f>
        <v>90.672049969211429</v>
      </c>
      <c r="L175" s="107">
        <f t="shared" ref="L175:T175" ca="1" si="91">K$175 + (L$27-L$34-K$27+K$34) + (L$28-L$35-K$28+K$35) + (L$16-L$23) - SUM(L$148,L$149,-L$150,L$169-L$166,L$171-L$170,L$186-L$185) + SUM(K$148,K$149,-K$150,K$169-K$166,K$171-K$170,K$186-K$185)</f>
        <v>93.828075089378714</v>
      </c>
      <c r="M175" s="107">
        <f t="shared" ca="1" si="91"/>
        <v>97.213449069408824</v>
      </c>
      <c r="N175" s="107">
        <f t="shared" ca="1" si="91"/>
        <v>100.8161204267503</v>
      </c>
      <c r="O175" s="107">
        <f t="shared" ca="1" si="91"/>
        <v>104.59959138466297</v>
      </c>
      <c r="P175" s="107">
        <f t="shared" ca="1" si="91"/>
        <v>108.62313040387269</v>
      </c>
      <c r="Q175" s="107">
        <f t="shared" ca="1" si="91"/>
        <v>112.90016277823682</v>
      </c>
      <c r="R175" s="107">
        <f t="shared" ca="1" si="91"/>
        <v>117.43879979771586</v>
      </c>
      <c r="S175" s="107">
        <f t="shared" ca="1" si="91"/>
        <v>122.25838629670241</v>
      </c>
      <c r="T175" s="107">
        <f t="shared" ca="1" si="91"/>
        <v>127.3561812395976</v>
      </c>
      <c r="U175" s="54"/>
    </row>
    <row r="176" spans="1:21" x14ac:dyDescent="0.2">
      <c r="A176" s="43" t="s">
        <v>255</v>
      </c>
      <c r="B176" s="59"/>
      <c r="C176" s="94"/>
      <c r="D176" s="96">
        <f t="shared" ref="D176:T176" si="92">SUM(D$174,D$175)</f>
        <v>95.598000000000013</v>
      </c>
      <c r="E176" s="96">
        <f t="shared" ca="1" si="92"/>
        <v>103.32900000000001</v>
      </c>
      <c r="F176" s="187">
        <f t="shared" ca="1" si="92"/>
        <v>107.895</v>
      </c>
      <c r="G176" s="187">
        <f t="shared" ca="1" si="92"/>
        <v>110.398</v>
      </c>
      <c r="H176" s="187">
        <f t="shared" ca="1" si="92"/>
        <v>112.77900000000001</v>
      </c>
      <c r="I176" s="187">
        <f t="shared" ca="1" si="92"/>
        <v>114.501</v>
      </c>
      <c r="J176" s="187">
        <f t="shared" ca="1" si="92"/>
        <v>116.94300000000001</v>
      </c>
      <c r="K176" s="101">
        <f t="shared" ca="1" si="92"/>
        <v>119.75704996921144</v>
      </c>
      <c r="L176" s="101">
        <f t="shared" ca="1" si="92"/>
        <v>122.91307508937871</v>
      </c>
      <c r="M176" s="101">
        <f t="shared" ca="1" si="92"/>
        <v>126.29844906940883</v>
      </c>
      <c r="N176" s="101">
        <f t="shared" ca="1" si="92"/>
        <v>129.90112042675031</v>
      </c>
      <c r="O176" s="101">
        <f t="shared" ca="1" si="92"/>
        <v>133.68459138466298</v>
      </c>
      <c r="P176" s="101">
        <f t="shared" ca="1" si="92"/>
        <v>137.7081304038727</v>
      </c>
      <c r="Q176" s="101">
        <f t="shared" ca="1" si="92"/>
        <v>141.98516277823683</v>
      </c>
      <c r="R176" s="101">
        <f t="shared" ca="1" si="92"/>
        <v>146.52379979771587</v>
      </c>
      <c r="S176" s="101">
        <f t="shared" ca="1" si="92"/>
        <v>151.34338629670242</v>
      </c>
      <c r="T176" s="101">
        <f t="shared" ca="1" si="92"/>
        <v>156.4411812395976</v>
      </c>
      <c r="U176" s="54"/>
    </row>
    <row r="177" spans="1:21" x14ac:dyDescent="0.2">
      <c r="A177" s="43"/>
      <c r="B177" s="59"/>
      <c r="C177" s="94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54"/>
    </row>
    <row r="178" spans="1:21" x14ac:dyDescent="0.2">
      <c r="A178" s="147" t="s">
        <v>667</v>
      </c>
      <c r="B178" s="103"/>
      <c r="C178" s="94"/>
      <c r="D178" s="96">
        <f ca="1">IF(OFFSET(Scenarios!$A$69,0,$C$1)="Yes",0,D$179-C$179)</f>
        <v>0</v>
      </c>
      <c r="E178" s="96">
        <f ca="1">IF(OFFSET(Scenarios!$A$69,0,$C$1)="Yes",0,E$179-D$179)</f>
        <v>0</v>
      </c>
      <c r="F178" s="187">
        <f ca="1">IF(OFFSET(Scenarios!$A$69,0,$C$1)="Yes",0,F$179-E$179)</f>
        <v>0.184</v>
      </c>
      <c r="G178" s="187">
        <f ca="1">IF(OFFSET(Scenarios!$A$69,0,$C$1)="Yes",0,G$179-F$179)</f>
        <v>0.70599999999999996</v>
      </c>
      <c r="H178" s="187">
        <f ca="1">IF(OFFSET(Scenarios!$A$69,0,$C$1)="Yes",0,H$179-G$179)</f>
        <v>1.0419999999999998</v>
      </c>
      <c r="I178" s="187">
        <f ca="1">IF(OFFSET(Scenarios!$A$69,0,$C$1)="Yes",0,I$179-H$179)</f>
        <v>1.3800000000000003</v>
      </c>
      <c r="J178" s="187">
        <f ca="1">IF(OFFSET(Scenarios!$A$69,0,$C$1)="Yes",0,J$179-I$179)</f>
        <v>1.71</v>
      </c>
      <c r="K178" s="101">
        <f ca="1">IF(OFFSET(Scenarios!$A$37,0,$C$1)="Yes",Tracks!B$124,IF(OFFSET(Scenarios!$A$69,0,$C$1)="Yes",0,IF(K$1="Proj Yr1",OFFSET(Scenarios!$A$32,0,$C$1),J$178*(1+IF(OFFSET(Scenarios!$A$36,0,$C$1)="GDP",K$215,IF(OFFSET(Scenarios!$A$36,0,$C$1)="CPI",K$218,0))))))</f>
        <v>1.65</v>
      </c>
      <c r="L178" s="101">
        <f ca="1">IF(OFFSET(Scenarios!$A$37,0,$C$1)="Yes",Tracks!C$124,IF(OFFSET(Scenarios!$A$69,0,$C$1)="Yes",0,IF(L$1="Proj Yr1",OFFSET(Scenarios!$A$32,0,$C$1),K$178*(1+IF(OFFSET(Scenarios!$A$36,0,$C$1)="GDP",L$215,IF(OFFSET(Scenarios!$A$36,0,$C$1)="CPI",L$218,0))))))</f>
        <v>1.65</v>
      </c>
      <c r="M178" s="101">
        <f ca="1">IF(OFFSET(Scenarios!$A$37,0,$C$1)="Yes",Tracks!D$124,IF(OFFSET(Scenarios!$A$69,0,$C$1)="Yes",0,IF(M$1="Proj Yr1",OFFSET(Scenarios!$A$32,0,$C$1),L$178*(1+IF(OFFSET(Scenarios!$A$36,0,$C$1)="GDP",M$215,IF(OFFSET(Scenarios!$A$36,0,$C$1)="CPI",M$218,0))))))</f>
        <v>1.65</v>
      </c>
      <c r="N178" s="101">
        <f ca="1">IF(OFFSET(Scenarios!$A$37,0,$C$1)="Yes",Tracks!E$124,IF(OFFSET(Scenarios!$A$69,0,$C$1)="Yes",0,IF(N$1="Proj Yr1",OFFSET(Scenarios!$A$32,0,$C$1),M$178*(1+IF(OFFSET(Scenarios!$A$36,0,$C$1)="GDP",N$215,IF(OFFSET(Scenarios!$A$36,0,$C$1)="CPI",N$218,0))))))</f>
        <v>0.95508719999999991</v>
      </c>
      <c r="O178" s="101">
        <f ca="1">IF(OFFSET(Scenarios!$A$37,0,$C$1)="Yes",Tracks!F$124,IF(OFFSET(Scenarios!$A$69,0,$C$1)="Yes",0,IF(O$1="Proj Yr1",OFFSET(Scenarios!$A$32,0,$C$1),N$178*(1+IF(OFFSET(Scenarios!$A$36,0,$C$1)="GDP",O$215,IF(OFFSET(Scenarios!$A$36,0,$C$1)="CPI",O$218,0))))))</f>
        <v>0.974188944</v>
      </c>
      <c r="P178" s="101">
        <f ca="1">IF(OFFSET(Scenarios!$A$37,0,$C$1)="Yes",Tracks!G$124,IF(OFFSET(Scenarios!$A$69,0,$C$1)="Yes",0,IF(P$1="Proj Yr1",OFFSET(Scenarios!$A$32,0,$C$1),O$178*(1+IF(OFFSET(Scenarios!$A$36,0,$C$1)="GDP",P$215,IF(OFFSET(Scenarios!$A$36,0,$C$1)="CPI",P$218,0))))))</f>
        <v>0.99367272288000008</v>
      </c>
      <c r="Q178" s="101">
        <f ca="1">IF(OFFSET(Scenarios!$A$37,0,$C$1)="Yes",Tracks!H$124,IF(OFFSET(Scenarios!$A$69,0,$C$1)="Yes",0,IF(Q$1="Proj Yr1",OFFSET(Scenarios!$A$32,0,$C$1),P$178*(1+IF(OFFSET(Scenarios!$A$36,0,$C$1)="GDP",Q$215,IF(OFFSET(Scenarios!$A$36,0,$C$1)="CPI",Q$218,0))))))</f>
        <v>1.0135461773376</v>
      </c>
      <c r="R178" s="101">
        <f ca="1">IF(OFFSET(Scenarios!$A$37,0,$C$1)="Yes",Tracks!I$124,IF(OFFSET(Scenarios!$A$69,0,$C$1)="Yes",0,IF(R$1="Proj Yr1",OFFSET(Scenarios!$A$32,0,$C$1),Q$178*(1+IF(OFFSET(Scenarios!$A$36,0,$C$1)="GDP",R$215,IF(OFFSET(Scenarios!$A$36,0,$C$1)="CPI",R$218,0))))))</f>
        <v>1.033817100884352</v>
      </c>
      <c r="S178" s="101">
        <f ca="1">IF(OFFSET(Scenarios!$A$37,0,$C$1)="Yes",Tracks!J$124,IF(OFFSET(Scenarios!$A$69,0,$C$1)="Yes",0,IF(S$1="Proj Yr1",OFFSET(Scenarios!$A$32,0,$C$1),R$178*(1+IF(OFFSET(Scenarios!$A$36,0,$C$1)="GDP",S$215,IF(OFFSET(Scenarios!$A$36,0,$C$1)="CPI",S$218,0))))))</f>
        <v>1.0544934429020389</v>
      </c>
      <c r="T178" s="101">
        <f ca="1">IF(OFFSET(Scenarios!$A$37,0,$C$1)="Yes",Tracks!K$124,IF(OFFSET(Scenarios!$A$69,0,$C$1)="Yes",0,IF(T$1="Proj Yr1",OFFSET(Scenarios!$A$32,0,$C$1),S$178*(1+IF(OFFSET(Scenarios!$A$36,0,$C$1)="GDP",T$215,IF(OFFSET(Scenarios!$A$36,0,$C$1)="CPI",T$218,0))))))</f>
        <v>1.0755833117600797</v>
      </c>
      <c r="U178" s="54"/>
    </row>
    <row r="179" spans="1:21" x14ac:dyDescent="0.2">
      <c r="A179" s="47" t="s">
        <v>390</v>
      </c>
      <c r="B179" s="103"/>
      <c r="C179" s="94"/>
      <c r="D179" s="94">
        <f>Data!C$72</f>
        <v>0</v>
      </c>
      <c r="E179" s="94">
        <f>Data!D$72</f>
        <v>0</v>
      </c>
      <c r="F179" s="142">
        <f>Data!E$72+IF($I$1="Yes",F$274,0)</f>
        <v>0.184</v>
      </c>
      <c r="G179" s="142">
        <f>Data!F$72+IF($I$1="Yes",G$274,0)</f>
        <v>0.89</v>
      </c>
      <c r="H179" s="142">
        <f>Data!G$72+IF($I$1="Yes",H$274,0)</f>
        <v>1.9319999999999999</v>
      </c>
      <c r="I179" s="142">
        <f>Data!H$72+IF($I$1="Yes",I$274,0)</f>
        <v>3.3120000000000003</v>
      </c>
      <c r="J179" s="142">
        <f>Data!I$72+IF($I$1="Yes",J$274,0)</f>
        <v>5.0220000000000002</v>
      </c>
      <c r="K179" s="136">
        <f ca="1">J$179+IF(K$1="Proj Yr1",OFFSET(Scenarios!$A$32,0,$C$1),(J$179-I$179)*(1+IF(OFFSET(Scenarios!$A$36,0,$C$1)="GDP",K$215,IF(OFFSET(Scenarios!$A$36,0,$C$1)="CPI",K$218,0))))</f>
        <v>5.9220000000000006</v>
      </c>
      <c r="L179" s="136">
        <f ca="1">K$179+IF(L$1="Proj Yr1",OFFSET(Scenarios!$A$32,0,$C$1),(K$179-J$179)*(1+IF(OFFSET(Scenarios!$A$36,0,$C$1)="GDP",L$215,IF(OFFSET(Scenarios!$A$36,0,$C$1)="CPI",L$218,0))))</f>
        <v>6.8400000000000007</v>
      </c>
      <c r="M179" s="136">
        <f ca="1">L$179+IF(M$1="Proj Yr1",OFFSET(Scenarios!$A$32,0,$C$1),(L$179-K$179)*(1+IF(OFFSET(Scenarios!$A$36,0,$C$1)="GDP",M$215,IF(OFFSET(Scenarios!$A$36,0,$C$1)="CPI",M$218,0))))</f>
        <v>7.7763600000000013</v>
      </c>
      <c r="N179" s="136">
        <f ca="1">M$179+IF(N$1="Proj Yr1",OFFSET(Scenarios!$A$32,0,$C$1),(M$179-L$179)*(1+IF(OFFSET(Scenarios!$A$36,0,$C$1)="GDP",N$215,IF(OFFSET(Scenarios!$A$36,0,$C$1)="CPI",N$218,0))))</f>
        <v>8.7314472000000016</v>
      </c>
      <c r="O179" s="136">
        <f ca="1">N$179+IF(O$1="Proj Yr1",OFFSET(Scenarios!$A$32,0,$C$1),(N$179-M$179)*(1+IF(OFFSET(Scenarios!$A$36,0,$C$1)="GDP",O$215,IF(OFFSET(Scenarios!$A$36,0,$C$1)="CPI",O$218,0))))</f>
        <v>9.7056361440000014</v>
      </c>
      <c r="P179" s="136">
        <f ca="1">O$179+IF(P$1="Proj Yr1",OFFSET(Scenarios!$A$32,0,$C$1),(O$179-N$179)*(1+IF(OFFSET(Scenarios!$A$36,0,$C$1)="GDP",P$215,IF(OFFSET(Scenarios!$A$36,0,$C$1)="CPI",P$218,0))))</f>
        <v>10.699308866880001</v>
      </c>
      <c r="Q179" s="136">
        <f ca="1">P$179+IF(Q$1="Proj Yr1",OFFSET(Scenarios!$A$32,0,$C$1),(P$179-O$179)*(1+IF(OFFSET(Scenarios!$A$36,0,$C$1)="GDP",Q$215,IF(OFFSET(Scenarios!$A$36,0,$C$1)="CPI",Q$218,0))))</f>
        <v>11.712855044217601</v>
      </c>
      <c r="R179" s="136">
        <f ca="1">Q$179+IF(R$1="Proj Yr1",OFFSET(Scenarios!$A$32,0,$C$1),(Q$179-P$179)*(1+IF(OFFSET(Scenarios!$A$36,0,$C$1)="GDP",R$215,IF(OFFSET(Scenarios!$A$36,0,$C$1)="CPI",R$218,0))))</f>
        <v>12.746672145101954</v>
      </c>
      <c r="S179" s="136">
        <f ca="1">R$179+IF(S$1="Proj Yr1",OFFSET(Scenarios!$A$32,0,$C$1),(R$179-Q$179)*(1+IF(OFFSET(Scenarios!$A$36,0,$C$1)="GDP",S$215,IF(OFFSET(Scenarios!$A$36,0,$C$1)="CPI",S$218,0))))</f>
        <v>13.801165588003993</v>
      </c>
      <c r="T179" s="136">
        <f ca="1">S$179+IF(T$1="Proj Yr1",OFFSET(Scenarios!$A$32,0,$C$1),(S$179-R$179)*(1+IF(OFFSET(Scenarios!$A$36,0,$C$1)="GDP",T$215,IF(OFFSET(Scenarios!$A$36,0,$C$1)="CPI",T$218,0))))</f>
        <v>14.876748899764074</v>
      </c>
      <c r="U179" s="54"/>
    </row>
    <row r="180" spans="1:21" x14ac:dyDescent="0.2">
      <c r="A180" s="43"/>
      <c r="B180" s="103"/>
      <c r="C180" s="94"/>
      <c r="D180" s="137"/>
      <c r="E180" s="137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54"/>
    </row>
    <row r="181" spans="1:21" x14ac:dyDescent="0.2">
      <c r="A181" s="147" t="s">
        <v>668</v>
      </c>
      <c r="B181" s="103"/>
      <c r="C181" s="94"/>
      <c r="D181" s="94"/>
      <c r="E181" s="94"/>
      <c r="F181" s="94"/>
      <c r="G181" s="94"/>
      <c r="H181" s="94"/>
      <c r="I181" s="94"/>
      <c r="J181" s="94"/>
      <c r="K181"/>
      <c r="L181"/>
      <c r="M181"/>
      <c r="N181"/>
      <c r="O181"/>
      <c r="P181"/>
      <c r="Q181"/>
      <c r="R181"/>
      <c r="S181"/>
      <c r="U181" s="54"/>
    </row>
    <row r="182" spans="1:21" x14ac:dyDescent="0.2">
      <c r="A182" s="258" t="s">
        <v>485</v>
      </c>
      <c r="B182" s="103"/>
      <c r="C182" s="94"/>
      <c r="D182" s="94">
        <f>Data!C$122</f>
        <v>25.048999999999999</v>
      </c>
      <c r="E182" s="94">
        <f>Data!D$122</f>
        <v>25.696000000000002</v>
      </c>
      <c r="F182" s="142">
        <f>Data!E$122</f>
        <v>27.106999999999999</v>
      </c>
      <c r="G182" s="142">
        <f>Data!F$122</f>
        <v>27.501000000000001</v>
      </c>
      <c r="H182" s="142">
        <f>Data!G$122</f>
        <v>27.895</v>
      </c>
      <c r="I182" s="142">
        <f>Data!H$122</f>
        <v>28.150000000000002</v>
      </c>
      <c r="J182" s="142">
        <f>Data!I$122</f>
        <v>28.214000000000002</v>
      </c>
      <c r="K182" s="99">
        <f t="shared" ref="K182:T182" si="93">J$182*IF(K$1="Proj Yr1",AVERAGE(H$182/G$182,I$182/H$182,J$182/I$182),J$182/I$182)</f>
        <v>28.456092198072195</v>
      </c>
      <c r="L182" s="99">
        <f t="shared" si="93"/>
        <v>28.700261685162868</v>
      </c>
      <c r="M182" s="99">
        <f t="shared" si="93"/>
        <v>28.946526285595567</v>
      </c>
      <c r="N182" s="99">
        <f t="shared" si="93"/>
        <v>29.194903976636692</v>
      </c>
      <c r="O182" s="99">
        <f t="shared" si="93"/>
        <v>29.445412889807834</v>
      </c>
      <c r="P182" s="99">
        <f t="shared" si="93"/>
        <v>29.698071312209368</v>
      </c>
      <c r="Q182" s="99">
        <f t="shared" si="93"/>
        <v>29.952897687855412</v>
      </c>
      <c r="R182" s="99">
        <f t="shared" si="93"/>
        <v>30.209910619020238</v>
      </c>
      <c r="S182" s="99">
        <f t="shared" si="93"/>
        <v>30.469128867596233</v>
      </c>
      <c r="T182" s="99">
        <f t="shared" si="93"/>
        <v>30.730571356463507</v>
      </c>
      <c r="U182" s="54"/>
    </row>
    <row r="183" spans="1:21" x14ac:dyDescent="0.2">
      <c r="A183" s="258" t="s">
        <v>256</v>
      </c>
      <c r="B183" s="103"/>
      <c r="C183" s="94"/>
      <c r="D183" s="94">
        <f>SUM(Data!C$73,Data!C$123,Data!C$125)</f>
        <v>1.8660000000000001</v>
      </c>
      <c r="E183" s="94">
        <f>SUM(Data!D$73,Data!D$123,Data!D$125)</f>
        <v>2.2199999999999998</v>
      </c>
      <c r="F183" s="142">
        <f>SUM(Data!E$73,Data!E$123,Data!E$125)</f>
        <v>1.478</v>
      </c>
      <c r="G183" s="142">
        <f>SUM(Data!F$73,Data!F$123,Data!F$125)</f>
        <v>1.585</v>
      </c>
      <c r="H183" s="142">
        <f>SUM(Data!G$73,Data!G$123,Data!G$125)</f>
        <v>1.6760000000000002</v>
      </c>
      <c r="I183" s="142">
        <f>SUM(Data!H$73,Data!H$123,Data!H$125)</f>
        <v>1.7079999999999997</v>
      </c>
      <c r="J183" s="142">
        <f>SUM(Data!I$73,Data!I$123,Data!I$125)</f>
        <v>2.0619999999999998</v>
      </c>
      <c r="K183" s="99">
        <f ca="1">J$183*(1+K$218)</f>
        <v>2.10324</v>
      </c>
      <c r="L183" s="99">
        <f t="shared" ref="L183:T183" ca="1" si="94">K$183*(1+L$218)</f>
        <v>2.1453047999999999</v>
      </c>
      <c r="M183" s="99">
        <f t="shared" ca="1" si="94"/>
        <v>2.1882108959999997</v>
      </c>
      <c r="N183" s="99">
        <f t="shared" ca="1" si="94"/>
        <v>2.2319751139199999</v>
      </c>
      <c r="O183" s="99">
        <f t="shared" ca="1" si="94"/>
        <v>2.2766146161983998</v>
      </c>
      <c r="P183" s="99">
        <f t="shared" ca="1" si="94"/>
        <v>2.3221469085223676</v>
      </c>
      <c r="Q183" s="99">
        <f t="shared" ca="1" si="94"/>
        <v>2.368589846692815</v>
      </c>
      <c r="R183" s="99">
        <f t="shared" ca="1" si="94"/>
        <v>2.4159616436266713</v>
      </c>
      <c r="S183" s="99">
        <f t="shared" ca="1" si="94"/>
        <v>2.4642808764992048</v>
      </c>
      <c r="T183" s="99">
        <f t="shared" ca="1" si="94"/>
        <v>2.5135664940291891</v>
      </c>
      <c r="U183" s="54"/>
    </row>
    <row r="184" spans="1:21" x14ac:dyDescent="0.2">
      <c r="A184" s="258" t="s">
        <v>133</v>
      </c>
      <c r="B184" s="103"/>
      <c r="C184" s="94"/>
      <c r="D184" s="280">
        <f>Data!C$124</f>
        <v>0</v>
      </c>
      <c r="E184" s="280">
        <f>Data!D$124</f>
        <v>0</v>
      </c>
      <c r="F184" s="186">
        <f>Data!E$124</f>
        <v>0</v>
      </c>
      <c r="G184" s="186">
        <f>Data!F$124</f>
        <v>0</v>
      </c>
      <c r="H184" s="186">
        <f>Data!G$124</f>
        <v>0</v>
      </c>
      <c r="I184" s="186">
        <f>Data!H$124</f>
        <v>0</v>
      </c>
      <c r="J184" s="186">
        <f>Data!I$124</f>
        <v>0</v>
      </c>
      <c r="K184" s="107">
        <f>Tracks!H$118/1000</f>
        <v>0</v>
      </c>
      <c r="L184" s="107">
        <f>Tracks!I$118/1000</f>
        <v>0</v>
      </c>
      <c r="M184" s="107">
        <f>Tracks!J$118/1000</f>
        <v>0</v>
      </c>
      <c r="N184" s="107">
        <f>Tracks!K$118/1000</f>
        <v>0</v>
      </c>
      <c r="O184" s="107">
        <f>Tracks!L$118/1000</f>
        <v>0</v>
      </c>
      <c r="P184" s="107">
        <f>Tracks!M$118/1000</f>
        <v>0</v>
      </c>
      <c r="Q184" s="107">
        <f>Tracks!N$118/1000</f>
        <v>0</v>
      </c>
      <c r="R184" s="107">
        <f>Tracks!O$118/1000</f>
        <v>0</v>
      </c>
      <c r="S184" s="107">
        <f>Tracks!P$118/1000</f>
        <v>0</v>
      </c>
      <c r="T184" s="107">
        <f>Tracks!Q$118/1000</f>
        <v>0</v>
      </c>
      <c r="U184" s="54"/>
    </row>
    <row r="185" spans="1:21" x14ac:dyDescent="0.2">
      <c r="A185" s="43" t="s">
        <v>670</v>
      </c>
      <c r="B185" s="103"/>
      <c r="C185" s="94"/>
      <c r="D185" s="96">
        <f t="shared" ref="D185:T185" si="95">SUM(D$182:D$184)</f>
        <v>26.914999999999999</v>
      </c>
      <c r="E185" s="96">
        <f t="shared" si="95"/>
        <v>27.916</v>
      </c>
      <c r="F185" s="187">
        <f t="shared" si="95"/>
        <v>28.585000000000001</v>
      </c>
      <c r="G185" s="187">
        <f t="shared" si="95"/>
        <v>29.086000000000002</v>
      </c>
      <c r="H185" s="187">
        <f t="shared" si="95"/>
        <v>29.570999999999998</v>
      </c>
      <c r="I185" s="187">
        <f t="shared" si="95"/>
        <v>29.858000000000001</v>
      </c>
      <c r="J185" s="187">
        <f t="shared" si="95"/>
        <v>30.276000000000003</v>
      </c>
      <c r="K185" s="101">
        <f t="shared" ca="1" si="95"/>
        <v>30.559332198072195</v>
      </c>
      <c r="L185" s="101">
        <f t="shared" ca="1" si="95"/>
        <v>30.84556648516287</v>
      </c>
      <c r="M185" s="101">
        <f t="shared" ca="1" si="95"/>
        <v>31.134737181595568</v>
      </c>
      <c r="N185" s="101">
        <f t="shared" ca="1" si="95"/>
        <v>31.426879090556692</v>
      </c>
      <c r="O185" s="101">
        <f t="shared" ca="1" si="95"/>
        <v>31.722027506006235</v>
      </c>
      <c r="P185" s="101">
        <f t="shared" ca="1" si="95"/>
        <v>32.020218220731735</v>
      </c>
      <c r="Q185" s="101">
        <f t="shared" ca="1" si="95"/>
        <v>32.321487534548226</v>
      </c>
      <c r="R185" s="101">
        <f t="shared" ca="1" si="95"/>
        <v>32.625872262646908</v>
      </c>
      <c r="S185" s="101">
        <f t="shared" ca="1" si="95"/>
        <v>32.933409744095435</v>
      </c>
      <c r="T185" s="101">
        <f t="shared" ca="1" si="95"/>
        <v>33.244137850492699</v>
      </c>
      <c r="U185" s="54"/>
    </row>
    <row r="186" spans="1:21" x14ac:dyDescent="0.2">
      <c r="A186" s="43" t="s">
        <v>671</v>
      </c>
      <c r="B186" s="103"/>
      <c r="C186" s="94"/>
      <c r="D186" s="96">
        <f>SUM(Data!C$67,Data!C$68,Data!C$70,Data!C$71,Data!C$73)</f>
        <v>11.030999999999999</v>
      </c>
      <c r="E186" s="96">
        <f>SUM(Data!D$67,Data!D$68,Data!D$70,Data!D$71,Data!D$73)</f>
        <v>12.443</v>
      </c>
      <c r="F186" s="187">
        <f>SUM(Data!E$67,Data!E$68,Data!E$70,Data!E$71,Data!E$73)</f>
        <v>12.846</v>
      </c>
      <c r="G186" s="187">
        <f>SUM(Data!F$67,Data!F$68,Data!F$70,Data!F$71,Data!F$73)</f>
        <v>13.439</v>
      </c>
      <c r="H186" s="187">
        <f>SUM(Data!G$67,Data!G$68,Data!G$70,Data!G$71,Data!G$73)</f>
        <v>14.148999999999999</v>
      </c>
      <c r="I186" s="187">
        <f>SUM(Data!H$67,Data!H$68,Data!H$70,Data!H$71,Data!H$73)</f>
        <v>14.560000000000002</v>
      </c>
      <c r="J186" s="187">
        <f>SUM(Data!I$67,Data!I$68,Data!I$70,Data!I$71,Data!I$73)</f>
        <v>15.263000000000002</v>
      </c>
      <c r="K186" s="101">
        <f ca="1">J$186*(1+K$218)</f>
        <v>15.568260000000002</v>
      </c>
      <c r="L186" s="101">
        <f t="shared" ref="L186:T186" ca="1" si="96">K$186*(1+L$218)</f>
        <v>15.879625200000003</v>
      </c>
      <c r="M186" s="101">
        <f t="shared" ca="1" si="96"/>
        <v>16.197217704000003</v>
      </c>
      <c r="N186" s="101">
        <f t="shared" ca="1" si="96"/>
        <v>16.521162058080005</v>
      </c>
      <c r="O186" s="101">
        <f t="shared" ca="1" si="96"/>
        <v>16.851585299241606</v>
      </c>
      <c r="P186" s="101">
        <f t="shared" ca="1" si="96"/>
        <v>17.188617005226437</v>
      </c>
      <c r="Q186" s="101">
        <f t="shared" ca="1" si="96"/>
        <v>17.532389345330966</v>
      </c>
      <c r="R186" s="101">
        <f t="shared" ca="1" si="96"/>
        <v>17.883037132237586</v>
      </c>
      <c r="S186" s="101">
        <f t="shared" ca="1" si="96"/>
        <v>18.24069787488234</v>
      </c>
      <c r="T186" s="101">
        <f t="shared" ca="1" si="96"/>
        <v>18.605511832379985</v>
      </c>
      <c r="U186" s="54"/>
    </row>
    <row r="187" spans="1:21" x14ac:dyDescent="0.2">
      <c r="A187" s="258"/>
      <c r="B187" s="103"/>
      <c r="C187" s="94"/>
      <c r="D187" s="137"/>
      <c r="E187" s="137"/>
      <c r="F187" s="143"/>
      <c r="G187" s="143"/>
      <c r="H187" s="143"/>
      <c r="I187" s="143"/>
      <c r="J187" s="143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54"/>
    </row>
    <row r="188" spans="1:21" x14ac:dyDescent="0.2">
      <c r="A188" s="147" t="s">
        <v>672</v>
      </c>
      <c r="B188" s="103"/>
      <c r="C188" s="94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54"/>
    </row>
    <row r="189" spans="1:21" x14ac:dyDescent="0.2">
      <c r="A189" s="258" t="s">
        <v>500</v>
      </c>
      <c r="B189" s="103"/>
      <c r="C189" s="94"/>
      <c r="D189" s="94">
        <f>Data!C$75</f>
        <v>3.444</v>
      </c>
      <c r="E189" s="94">
        <f>Data!D$75</f>
        <v>3.53</v>
      </c>
      <c r="F189" s="142">
        <f>Data!E$75</f>
        <v>3.702</v>
      </c>
      <c r="G189" s="142">
        <f>Data!F$75</f>
        <v>3.883</v>
      </c>
      <c r="H189" s="142">
        <f>Data!G$75</f>
        <v>4.0730000000000004</v>
      </c>
      <c r="I189" s="142">
        <f>Data!H$75</f>
        <v>4.2729999999999997</v>
      </c>
      <c r="J189" s="142">
        <f>Data!I$75</f>
        <v>4.4820000000000002</v>
      </c>
      <c r="K189" s="136">
        <f ca="1">J$189*(1+K$218)</f>
        <v>4.5716400000000004</v>
      </c>
      <c r="L189" s="136">
        <f t="shared" ref="L189:T189" ca="1" si="97">K$189*(1+L$218)</f>
        <v>4.6630728000000001</v>
      </c>
      <c r="M189" s="136">
        <f t="shared" ca="1" si="97"/>
        <v>4.7563342560000006</v>
      </c>
      <c r="N189" s="136">
        <f t="shared" ca="1" si="97"/>
        <v>4.8514609411200009</v>
      </c>
      <c r="O189" s="136">
        <f t="shared" ca="1" si="97"/>
        <v>4.9484901599424012</v>
      </c>
      <c r="P189" s="136">
        <f t="shared" ca="1" si="97"/>
        <v>5.0474599631412493</v>
      </c>
      <c r="Q189" s="136">
        <f t="shared" ca="1" si="97"/>
        <v>5.1484091624040742</v>
      </c>
      <c r="R189" s="136">
        <f t="shared" ca="1" si="97"/>
        <v>5.2513773456521555</v>
      </c>
      <c r="S189" s="136">
        <f t="shared" ca="1" si="97"/>
        <v>5.356404892565199</v>
      </c>
      <c r="T189" s="136">
        <f t="shared" ca="1" si="97"/>
        <v>5.4635329904165033</v>
      </c>
      <c r="U189" s="54"/>
    </row>
    <row r="190" spans="1:21" x14ac:dyDescent="0.2">
      <c r="A190" s="258" t="s">
        <v>499</v>
      </c>
      <c r="B190" s="103"/>
      <c r="C190" s="94"/>
      <c r="D190" s="94">
        <f>Data!C$81</f>
        <v>7.1609999999999996</v>
      </c>
      <c r="E190" s="94">
        <f>Data!D$81</f>
        <v>8.2569999999999997</v>
      </c>
      <c r="F190" s="142">
        <f>Data!E$81</f>
        <v>9.322000000000001</v>
      </c>
      <c r="G190" s="142">
        <f>Data!F$81</f>
        <v>9.2829999999999995</v>
      </c>
      <c r="H190" s="142">
        <f>Data!G$81</f>
        <v>9.2170000000000005</v>
      </c>
      <c r="I190" s="142">
        <f>Data!H$81</f>
        <v>9.1370000000000005</v>
      </c>
      <c r="J190" s="142">
        <f>Data!I$81</f>
        <v>9.0570000000000004</v>
      </c>
      <c r="K190" s="136">
        <f>J$190*Tracks!N$18/Tracks!M$18</f>
        <v>9.0427087446332273</v>
      </c>
      <c r="L190" s="136">
        <f>K$190*Tracks!O$18/Tracks!N$18</f>
        <v>8.7812021926558383</v>
      </c>
      <c r="M190" s="136">
        <f>L$190*Tracks!P$18/Tracks!O$18</f>
        <v>8.6646871669532146</v>
      </c>
      <c r="N190" s="136">
        <f>M$190*Tracks!Q$18/Tracks!P$18</f>
        <v>8.5239774587855806</v>
      </c>
      <c r="O190" s="136">
        <f>N$190*Tracks!R$18/Tracks!Q$18</f>
        <v>8.354588975254158</v>
      </c>
      <c r="P190" s="136">
        <f>O$190*Tracks!S$18/Tracks!R$18</f>
        <v>8.1653708023917009</v>
      </c>
      <c r="Q190" s="136">
        <f>P$190*Tracks!T$18/Tracks!S$18</f>
        <v>7.9654821764838433</v>
      </c>
      <c r="R190" s="136">
        <f>Q$190*Tracks!U$18/Tracks!T$18</f>
        <v>7.7462575981679773</v>
      </c>
      <c r="S190" s="136">
        <f>R$190*Tracks!V$18/Tracks!U$18</f>
        <v>7.5189534157196185</v>
      </c>
      <c r="T190" s="136">
        <f>S$190*Tracks!W$18/Tracks!V$18</f>
        <v>7.2763326759680922</v>
      </c>
      <c r="U190" s="54"/>
    </row>
    <row r="191" spans="1:21" x14ac:dyDescent="0.2">
      <c r="A191" s="258" t="s">
        <v>501</v>
      </c>
      <c r="B191" s="103"/>
      <c r="C191" s="94"/>
      <c r="D191" s="94">
        <f>Data!C$126-SUM(D$189:D$190)</f>
        <v>7.2289999999999992</v>
      </c>
      <c r="E191" s="94">
        <f>Data!D$126-SUM(E$189:E$190)</f>
        <v>9.6829999999999998</v>
      </c>
      <c r="F191" s="142">
        <f>Data!E$126-SUM(F$189:F$190)+IF($I$1="Yes",F$275,0)</f>
        <v>9.5709999999999944</v>
      </c>
      <c r="G191" s="142">
        <f>Data!F$126-SUM(G$189:G$190)+IF($I$1="Yes",G$275,0)</f>
        <v>9.7159999999999975</v>
      </c>
      <c r="H191" s="142">
        <f>Data!G$126-SUM(H$189:H$190)+IF($I$1="Yes",H$275,0)</f>
        <v>9.8349999999999991</v>
      </c>
      <c r="I191" s="142">
        <f>Data!H$126-SUM(I$189:I$190)+IF($I$1="Yes",I$275,0)</f>
        <v>10.095999999999997</v>
      </c>
      <c r="J191" s="142">
        <f>Data!I$126-SUM(J$189:J$190)+IF($I$1="Yes",J$275,0)</f>
        <v>10.665999999999997</v>
      </c>
      <c r="K191" s="136">
        <f ca="1">J$191*(1+K$218)</f>
        <v>10.879319999999996</v>
      </c>
      <c r="L191" s="136">
        <f t="shared" ref="L191:T191" ca="1" si="98">K$191*(1+L$218)</f>
        <v>11.096906399999996</v>
      </c>
      <c r="M191" s="136">
        <f t="shared" ca="1" si="98"/>
        <v>11.318844527999996</v>
      </c>
      <c r="N191" s="136">
        <f t="shared" ca="1" si="98"/>
        <v>11.545221418559997</v>
      </c>
      <c r="O191" s="136">
        <f t="shared" ca="1" si="98"/>
        <v>11.776125846931198</v>
      </c>
      <c r="P191" s="136">
        <f t="shared" ca="1" si="98"/>
        <v>12.011648363869822</v>
      </c>
      <c r="Q191" s="136">
        <f t="shared" ca="1" si="98"/>
        <v>12.251881331147219</v>
      </c>
      <c r="R191" s="136">
        <f t="shared" ca="1" si="98"/>
        <v>12.496918957770164</v>
      </c>
      <c r="S191" s="136">
        <f t="shared" ca="1" si="98"/>
        <v>12.746857336925569</v>
      </c>
      <c r="T191" s="136">
        <f t="shared" ca="1" si="98"/>
        <v>13.00179448366408</v>
      </c>
      <c r="U191" s="54"/>
    </row>
    <row r="192" spans="1:21" x14ac:dyDescent="0.2">
      <c r="A192" s="93" t="s">
        <v>124</v>
      </c>
      <c r="B192" s="59"/>
      <c r="C192" s="94"/>
      <c r="D192" s="94">
        <f>Data!C$127</f>
        <v>0.70399999999999996</v>
      </c>
      <c r="E192" s="94">
        <f>Data!D$127</f>
        <v>0.56200000000000006</v>
      </c>
      <c r="F192" s="142">
        <f>Data!E$127</f>
        <v>0.56200000000000006</v>
      </c>
      <c r="G192" s="142">
        <f>Data!F$127</f>
        <v>0.56200000000000006</v>
      </c>
      <c r="H192" s="142">
        <f>Data!G$127</f>
        <v>0.56200000000000006</v>
      </c>
      <c r="I192" s="142">
        <f>Data!H$127</f>
        <v>0.56200000000000006</v>
      </c>
      <c r="J192" s="142">
        <f>Data!I$127</f>
        <v>0.56200000000000006</v>
      </c>
      <c r="K192" s="106">
        <f>Tracks!H$112</f>
        <v>0</v>
      </c>
      <c r="L192" s="106">
        <f>Tracks!I$112</f>
        <v>0</v>
      </c>
      <c r="M192" s="106">
        <f>Tracks!J$112</f>
        <v>0</v>
      </c>
      <c r="N192" s="106">
        <f>Tracks!K$112</f>
        <v>0</v>
      </c>
      <c r="O192" s="106">
        <f>Tracks!L$112</f>
        <v>0</v>
      </c>
      <c r="P192" s="106">
        <f>Tracks!M$112</f>
        <v>0</v>
      </c>
      <c r="Q192" s="106">
        <f>Tracks!N$112</f>
        <v>0</v>
      </c>
      <c r="R192" s="106">
        <f>Tracks!O$112</f>
        <v>0</v>
      </c>
      <c r="S192" s="106">
        <f>Tracks!P$112</f>
        <v>0</v>
      </c>
      <c r="T192" s="106">
        <f>Tracks!Q$112</f>
        <v>0</v>
      </c>
      <c r="U192" s="54"/>
    </row>
    <row r="193" spans="1:21" x14ac:dyDescent="0.2">
      <c r="A193" s="258" t="s">
        <v>132</v>
      </c>
      <c r="B193" s="103"/>
      <c r="C193" s="94"/>
      <c r="D193" s="280">
        <f>Data!C$128</f>
        <v>0</v>
      </c>
      <c r="E193" s="280">
        <f>Data!D$128</f>
        <v>0</v>
      </c>
      <c r="F193" s="186">
        <f>Data!E$128</f>
        <v>0.23899999999999999</v>
      </c>
      <c r="G193" s="186">
        <f>Data!F$128</f>
        <v>0.78100000000000003</v>
      </c>
      <c r="H193" s="186">
        <f>Data!G$128</f>
        <v>0.56399999999999995</v>
      </c>
      <c r="I193" s="186">
        <f>Data!H$128</f>
        <v>0.16200000000000001</v>
      </c>
      <c r="J193" s="186">
        <f>Data!I$128</f>
        <v>-0.34499999999999997</v>
      </c>
      <c r="K193" s="107">
        <f>Tracks!H$117/1000</f>
        <v>0</v>
      </c>
      <c r="L193" s="107">
        <f>Tracks!I$117/1000</f>
        <v>0</v>
      </c>
      <c r="M193" s="107">
        <f>Tracks!J$117/1000</f>
        <v>0</v>
      </c>
      <c r="N193" s="107">
        <f>Tracks!K$117/1000</f>
        <v>0</v>
      </c>
      <c r="O193" s="107">
        <f>Tracks!L$117/1000</f>
        <v>0</v>
      </c>
      <c r="P193" s="107">
        <f>Tracks!M$117/1000</f>
        <v>0</v>
      </c>
      <c r="Q193" s="107">
        <f>Tracks!N$117/1000</f>
        <v>0</v>
      </c>
      <c r="R193" s="107">
        <f>Tracks!O$117/1000</f>
        <v>0</v>
      </c>
      <c r="S193" s="107">
        <f>Tracks!P$117/1000</f>
        <v>0</v>
      </c>
      <c r="T193" s="107">
        <f>Tracks!Q$117/1000</f>
        <v>0</v>
      </c>
      <c r="U193" s="54"/>
    </row>
    <row r="194" spans="1:21" x14ac:dyDescent="0.2">
      <c r="A194" s="43" t="s">
        <v>257</v>
      </c>
      <c r="B194" s="59"/>
      <c r="C194" s="94"/>
      <c r="D194" s="96">
        <f t="shared" ref="D194:T194" si="99">SUM(D$189:D$193)</f>
        <v>18.538</v>
      </c>
      <c r="E194" s="96">
        <f t="shared" si="99"/>
        <v>22.032</v>
      </c>
      <c r="F194" s="187">
        <f t="shared" si="99"/>
        <v>23.395999999999997</v>
      </c>
      <c r="G194" s="187">
        <f t="shared" si="99"/>
        <v>24.224999999999998</v>
      </c>
      <c r="H194" s="187">
        <f t="shared" si="99"/>
        <v>24.251000000000001</v>
      </c>
      <c r="I194" s="187">
        <f t="shared" si="99"/>
        <v>24.229999999999997</v>
      </c>
      <c r="J194" s="187">
        <f t="shared" si="99"/>
        <v>24.422000000000001</v>
      </c>
      <c r="K194" s="101">
        <f t="shared" ca="1" si="99"/>
        <v>24.493668744633226</v>
      </c>
      <c r="L194" s="101">
        <f t="shared" ca="1" si="99"/>
        <v>24.541181392655837</v>
      </c>
      <c r="M194" s="101">
        <f t="shared" ca="1" si="99"/>
        <v>24.73986595095321</v>
      </c>
      <c r="N194" s="101">
        <f t="shared" ca="1" si="99"/>
        <v>24.92065981846558</v>
      </c>
      <c r="O194" s="101">
        <f t="shared" ca="1" si="99"/>
        <v>25.079204982127756</v>
      </c>
      <c r="P194" s="101">
        <f t="shared" ca="1" si="99"/>
        <v>25.224479129402773</v>
      </c>
      <c r="Q194" s="101">
        <f t="shared" ca="1" si="99"/>
        <v>25.365772670035135</v>
      </c>
      <c r="R194" s="101">
        <f t="shared" ca="1" si="99"/>
        <v>25.494553901590297</v>
      </c>
      <c r="S194" s="101">
        <f t="shared" ca="1" si="99"/>
        <v>25.622215645210385</v>
      </c>
      <c r="T194" s="101">
        <f t="shared" ca="1" si="99"/>
        <v>25.741660150048673</v>
      </c>
      <c r="U194" s="54"/>
    </row>
    <row r="195" spans="1:21" x14ac:dyDescent="0.2">
      <c r="A195" s="259" t="s">
        <v>505</v>
      </c>
      <c r="B195" s="59"/>
      <c r="C195" s="94"/>
      <c r="D195" s="281">
        <f>SUM(Data!C$76,Data!C$77,Data!C$82)-SUM(D$191:D$193)</f>
        <v>5.6680000000000001</v>
      </c>
      <c r="E195" s="281">
        <f>SUM(Data!D$76,Data!D$77,Data!D$82)-SUM(E$191:E$193)</f>
        <v>6.6949999999999985</v>
      </c>
      <c r="F195" s="253">
        <f>SUM(Data!E$76,Data!E$77,Data!E$82)-SUM(F$191:F$193)+IF($I$1="Yes",F$275,0)</f>
        <v>7.8440000000000065</v>
      </c>
      <c r="G195" s="253">
        <f>SUM(Data!F$76,Data!F$77,Data!F$82)-SUM(G$191:G$193)+IF($I$1="Yes",G$275,0)</f>
        <v>7.5750000000000028</v>
      </c>
      <c r="H195" s="253">
        <f>SUM(Data!G$76,Data!G$77,Data!G$82)-SUM(H$191:H$193)+IF($I$1="Yes",H$275,0)</f>
        <v>6.4720000000000013</v>
      </c>
      <c r="I195" s="253">
        <f>SUM(Data!H$76,Data!H$77,Data!H$82)-SUM(I$191:I$193)+IF($I$1="Yes",I$275,0)</f>
        <v>6.127000000000006</v>
      </c>
      <c r="J195" s="253">
        <f>SUM(Data!I$76,Data!I$77,Data!I$82)-SUM(J$191:J$193)+IF($I$1="Yes",J$275,0)</f>
        <v>5.7980000000000018</v>
      </c>
      <c r="K195" s="136">
        <f ca="1">J$195*(1+K$218)</f>
        <v>5.9139600000000021</v>
      </c>
      <c r="L195" s="136">
        <f t="shared" ref="L195:T195" ca="1" si="100">K$195*(1+L$218)</f>
        <v>6.032239200000002</v>
      </c>
      <c r="M195" s="136">
        <f t="shared" ca="1" si="100"/>
        <v>6.1528839840000025</v>
      </c>
      <c r="N195" s="136">
        <f t="shared" ca="1" si="100"/>
        <v>6.2759416636800029</v>
      </c>
      <c r="O195" s="136">
        <f t="shared" ca="1" si="100"/>
        <v>6.4014604969536029</v>
      </c>
      <c r="P195" s="136">
        <f t="shared" ca="1" si="100"/>
        <v>6.5294897068926749</v>
      </c>
      <c r="Q195" s="136">
        <f t="shared" ca="1" si="100"/>
        <v>6.6600795010305287</v>
      </c>
      <c r="R195" s="136">
        <f t="shared" ca="1" si="100"/>
        <v>6.7932810910511394</v>
      </c>
      <c r="S195" s="136">
        <f t="shared" ca="1" si="100"/>
        <v>6.9291467128721624</v>
      </c>
      <c r="T195" s="136">
        <f t="shared" ca="1" si="100"/>
        <v>7.0677296471296058</v>
      </c>
      <c r="U195" s="54"/>
    </row>
    <row r="196" spans="1:21" x14ac:dyDescent="0.2">
      <c r="A196" s="259" t="s">
        <v>502</v>
      </c>
      <c r="B196" s="59"/>
      <c r="C196" s="94"/>
      <c r="D196" s="280">
        <f t="shared" ref="D196:T196" si="101">D$128</f>
        <v>17.417999999999999</v>
      </c>
      <c r="E196" s="280">
        <f t="shared" si="101"/>
        <v>20.484000000000002</v>
      </c>
      <c r="F196" s="186">
        <f t="shared" si="101"/>
        <v>22.399000000000001</v>
      </c>
      <c r="G196" s="186">
        <f t="shared" si="101"/>
        <v>23.842000000000002</v>
      </c>
      <c r="H196" s="186">
        <f t="shared" si="101"/>
        <v>25.319000000000003</v>
      </c>
      <c r="I196" s="186">
        <f t="shared" si="101"/>
        <v>26.87</v>
      </c>
      <c r="J196" s="186">
        <f t="shared" si="101"/>
        <v>28.490000000000002</v>
      </c>
      <c r="K196" s="107">
        <f t="shared" si="101"/>
        <v>30.232620583894441</v>
      </c>
      <c r="L196" s="107">
        <f t="shared" si="101"/>
        <v>32.081830374507469</v>
      </c>
      <c r="M196" s="107">
        <f t="shared" si="101"/>
        <v>34.044149011910996</v>
      </c>
      <c r="N196" s="107">
        <f t="shared" si="101"/>
        <v>36.126494916766227</v>
      </c>
      <c r="O196" s="107">
        <f t="shared" si="101"/>
        <v>38.336209682154596</v>
      </c>
      <c r="P196" s="107">
        <f t="shared" si="101"/>
        <v>40.681083957360485</v>
      </c>
      <c r="Q196" s="107">
        <f t="shared" si="101"/>
        <v>43.169384914862562</v>
      </c>
      <c r="R196" s="107">
        <f t="shared" si="101"/>
        <v>45.80988539737227</v>
      </c>
      <c r="S196" s="107">
        <f t="shared" si="101"/>
        <v>48.611894847681363</v>
      </c>
      <c r="T196" s="107">
        <f t="shared" si="101"/>
        <v>51.585292130365865</v>
      </c>
      <c r="U196" s="54"/>
    </row>
    <row r="197" spans="1:21" x14ac:dyDescent="0.2">
      <c r="A197" s="43" t="s">
        <v>258</v>
      </c>
      <c r="B197" s="59"/>
      <c r="C197" s="94"/>
      <c r="D197" s="96">
        <f t="shared" ref="D197:T197" si="102">SUM(D$194:D$196)</f>
        <v>41.623999999999995</v>
      </c>
      <c r="E197" s="96">
        <f t="shared" si="102"/>
        <v>49.210999999999999</v>
      </c>
      <c r="F197" s="187">
        <f t="shared" si="102"/>
        <v>53.639000000000003</v>
      </c>
      <c r="G197" s="187">
        <f t="shared" si="102"/>
        <v>55.642000000000003</v>
      </c>
      <c r="H197" s="187">
        <f t="shared" si="102"/>
        <v>56.042000000000002</v>
      </c>
      <c r="I197" s="187">
        <f t="shared" si="102"/>
        <v>57.227000000000004</v>
      </c>
      <c r="J197" s="187">
        <f t="shared" si="102"/>
        <v>58.710000000000008</v>
      </c>
      <c r="K197" s="101">
        <f t="shared" ca="1" si="102"/>
        <v>60.640249328527673</v>
      </c>
      <c r="L197" s="101">
        <f t="shared" ca="1" si="102"/>
        <v>62.655250967163312</v>
      </c>
      <c r="M197" s="101">
        <f t="shared" ca="1" si="102"/>
        <v>64.936898946864204</v>
      </c>
      <c r="N197" s="101">
        <f t="shared" ca="1" si="102"/>
        <v>67.323096398911815</v>
      </c>
      <c r="O197" s="101">
        <f t="shared" ca="1" si="102"/>
        <v>69.816875161235956</v>
      </c>
      <c r="P197" s="101">
        <f t="shared" ca="1" si="102"/>
        <v>72.435052793655927</v>
      </c>
      <c r="Q197" s="101">
        <f t="shared" ca="1" si="102"/>
        <v>75.195237085928227</v>
      </c>
      <c r="R197" s="101">
        <f t="shared" ca="1" si="102"/>
        <v>78.097720390013706</v>
      </c>
      <c r="S197" s="101">
        <f t="shared" ca="1" si="102"/>
        <v>81.163257205763912</v>
      </c>
      <c r="T197" s="101">
        <f t="shared" ca="1" si="102"/>
        <v>84.394681927544141</v>
      </c>
      <c r="U197" s="54"/>
    </row>
    <row r="198" spans="1:21" x14ac:dyDescent="0.2">
      <c r="A198" s="43"/>
      <c r="B198" s="59"/>
      <c r="C198" s="100"/>
      <c r="D198" s="97"/>
      <c r="E198" s="97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U198" s="54"/>
    </row>
    <row r="199" spans="1:21" x14ac:dyDescent="0.2">
      <c r="A199" s="147" t="s">
        <v>674</v>
      </c>
      <c r="C199" s="100"/>
      <c r="D199" s="96">
        <f>Data!C$103</f>
        <v>10.734999999999999</v>
      </c>
      <c r="E199" s="96">
        <f>Data!D$103</f>
        <v>12.917999999999999</v>
      </c>
      <c r="F199" s="187">
        <f>Data!E$103</f>
        <v>15.24</v>
      </c>
      <c r="G199" s="187">
        <f>Data!F$103</f>
        <v>17.108000000000001</v>
      </c>
      <c r="H199" s="187">
        <f>Data!G$103</f>
        <v>19.382999999999999</v>
      </c>
      <c r="I199" s="187">
        <f>Data!H$103</f>
        <v>19.960999999999999</v>
      </c>
      <c r="J199" s="187">
        <f>Data!I$103</f>
        <v>21.306000000000001</v>
      </c>
      <c r="K199" s="101">
        <f ca="1">J$199*(1+K$215)</f>
        <v>22.285324976613254</v>
      </c>
      <c r="L199" s="101">
        <f t="shared" ref="L199:T199" ca="1" si="103">K$199*(1+L$215)</f>
        <v>23.313752836428183</v>
      </c>
      <c r="M199" s="101">
        <f t="shared" ca="1" si="103"/>
        <v>24.383341678808634</v>
      </c>
      <c r="N199" s="101">
        <f t="shared" ca="1" si="103"/>
        <v>25.475772198419591</v>
      </c>
      <c r="O199" s="101">
        <f t="shared" ca="1" si="103"/>
        <v>26.553707144502486</v>
      </c>
      <c r="P199" s="101">
        <f t="shared" ca="1" si="103"/>
        <v>27.669279984150528</v>
      </c>
      <c r="Q199" s="101">
        <f t="shared" ca="1" si="103"/>
        <v>28.825069098585452</v>
      </c>
      <c r="R199" s="101">
        <f t="shared" ca="1" si="103"/>
        <v>30.019833494774062</v>
      </c>
      <c r="S199" s="101">
        <f t="shared" ca="1" si="103"/>
        <v>31.263131566235479</v>
      </c>
      <c r="T199" s="101">
        <f t="shared" ca="1" si="103"/>
        <v>32.542776005423498</v>
      </c>
      <c r="U199" s="54"/>
    </row>
    <row r="200" spans="1:21" x14ac:dyDescent="0.2">
      <c r="A200" s="147"/>
      <c r="C200" s="100"/>
      <c r="D200" s="96"/>
      <c r="E200" s="96"/>
      <c r="F200" s="96"/>
      <c r="G200" s="96"/>
      <c r="H200"/>
      <c r="I200"/>
      <c r="J200"/>
      <c r="K200"/>
      <c r="L200"/>
      <c r="M200"/>
      <c r="N200"/>
      <c r="O200"/>
      <c r="P200"/>
      <c r="Q200"/>
      <c r="R200"/>
      <c r="S200"/>
      <c r="U200" s="54"/>
    </row>
    <row r="201" spans="1:21" x14ac:dyDescent="0.2">
      <c r="A201" s="147" t="s">
        <v>675</v>
      </c>
      <c r="C201" s="100"/>
      <c r="D201" s="96"/>
      <c r="E201" s="96"/>
      <c r="F201" s="187"/>
      <c r="G201" s="187"/>
      <c r="H201" s="187"/>
      <c r="I201" s="187"/>
      <c r="J201" s="187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54"/>
    </row>
    <row r="202" spans="1:21" x14ac:dyDescent="0.2">
      <c r="A202" s="43" t="s">
        <v>545</v>
      </c>
      <c r="C202" s="100"/>
      <c r="D202" s="96">
        <f>Data!C$102</f>
        <v>31.163</v>
      </c>
      <c r="E202" s="96">
        <f>Data!D$102</f>
        <v>33.192</v>
      </c>
      <c r="F202" s="187">
        <f>Data!E$102+IF($F$1="Yes",F$284,0)+IF($I$1="Yes",F$276,0)</f>
        <v>36.076999999999998</v>
      </c>
      <c r="G202" s="187">
        <f>Data!F$102+IF($F$1="Yes",G$284,0)+IF($I$1="Yes",G$276,0)</f>
        <v>39.951999999999998</v>
      </c>
      <c r="H202" s="187">
        <f>Data!G$102+IF($F$1="Yes",H$284,0)+IF($I$1="Yes",H$276,0)</f>
        <v>51.319000000000003</v>
      </c>
      <c r="I202" s="187">
        <f>Data!H$102+IF($F$1="Yes",I$284,0)+IF($I$1="Yes",I$276,0)</f>
        <v>61.548000000000002</v>
      </c>
      <c r="J202" s="187">
        <f>Data!I$102+IF($F$1="Yes",J$284,0)+IF($I$1="Yes",J$276,0)</f>
        <v>73.033999999999992</v>
      </c>
      <c r="K202" s="99">
        <f ca="1">SUM(J$202,J$203)+(K$33-J$33)-(K$35-J$35)-K$23-K$203</f>
        <v>84.07682615254447</v>
      </c>
      <c r="L202" s="99">
        <f t="shared" ref="L202:T202" ca="1" si="104">SUM(K$202,K$203)+(L$33-K$33)-(L$35-K$35)-L$23-L$203</f>
        <v>95.810337398406276</v>
      </c>
      <c r="M202" s="99">
        <f t="shared" ca="1" si="104"/>
        <v>107.38743229522788</v>
      </c>
      <c r="N202" s="99">
        <f t="shared" ca="1" si="104"/>
        <v>118.24072818100208</v>
      </c>
      <c r="O202" s="99">
        <f t="shared" ca="1" si="104"/>
        <v>129.11582231832182</v>
      </c>
      <c r="P202" s="99">
        <f t="shared" ca="1" si="104"/>
        <v>139.94861758136406</v>
      </c>
      <c r="Q202" s="99">
        <f t="shared" ca="1" si="104"/>
        <v>150.61642130401481</v>
      </c>
      <c r="R202" s="99">
        <f t="shared" ca="1" si="104"/>
        <v>161.5416186666917</v>
      </c>
      <c r="S202" s="99">
        <f t="shared" ca="1" si="104"/>
        <v>172.7132036961606</v>
      </c>
      <c r="T202" s="99">
        <f t="shared" ca="1" si="104"/>
        <v>184.09642907273047</v>
      </c>
      <c r="U202" s="54"/>
    </row>
    <row r="203" spans="1:21" x14ac:dyDescent="0.2">
      <c r="A203" s="259" t="s">
        <v>673</v>
      </c>
      <c r="C203" s="100"/>
      <c r="D203" s="280">
        <f>Data!C$94-Data!C$102</f>
        <v>4.7290000000000028</v>
      </c>
      <c r="E203" s="280">
        <f>Data!D$94-Data!D$102</f>
        <v>4.1439999999999984</v>
      </c>
      <c r="F203" s="186">
        <f>Data!E$94-Data!E$102</f>
        <v>4.4149999999999991</v>
      </c>
      <c r="G203" s="186">
        <f>Data!F$94-Data!F$102</f>
        <v>4.4339999999999975</v>
      </c>
      <c r="H203" s="186">
        <f>Data!G$94-Data!G$102</f>
        <v>4.4819999999999993</v>
      </c>
      <c r="I203" s="186">
        <f>Data!H$94-Data!H$102</f>
        <v>4.2259999999999991</v>
      </c>
      <c r="J203" s="186">
        <f>Data!I$94-Data!I$102</f>
        <v>3.7550000000000097</v>
      </c>
      <c r="K203" s="107">
        <f>SUM(J$203,(K$129-K$130)-(J$129-J$130),(K$138-K$139)-(J$138-J$139))</f>
        <v>4.5469613833009532</v>
      </c>
      <c r="L203" s="107">
        <f t="shared" ref="L203:T203" si="105">SUM(K$203,(L$129-L$130)-(K$129-K$130),(L$138-L$139)-(K$138-K$139))</f>
        <v>4.7683697160006746</v>
      </c>
      <c r="M203" s="107">
        <f t="shared" si="105"/>
        <v>5.0037110380448278</v>
      </c>
      <c r="N203" s="107">
        <f t="shared" si="105"/>
        <v>5.253865302294666</v>
      </c>
      <c r="O203" s="107">
        <f t="shared" si="105"/>
        <v>5.5197682544938802</v>
      </c>
      <c r="P203" s="107">
        <f t="shared" si="105"/>
        <v>5.8024149858165002</v>
      </c>
      <c r="Q203" s="107">
        <f t="shared" si="105"/>
        <v>6.1028637126494489</v>
      </c>
      <c r="R203" s="107">
        <f t="shared" si="105"/>
        <v>6.4222397982149007</v>
      </c>
      <c r="S203" s="107">
        <f t="shared" si="105"/>
        <v>6.761740031580989</v>
      </c>
      <c r="T203" s="107">
        <f t="shared" si="105"/>
        <v>7.122637180614297</v>
      </c>
      <c r="U203" s="54"/>
    </row>
    <row r="204" spans="1:21" x14ac:dyDescent="0.2">
      <c r="A204" s="43" t="s">
        <v>676</v>
      </c>
      <c r="C204" s="100"/>
      <c r="D204" s="96">
        <f t="shared" ref="D204:T204" si="106">SUM(D$202,D$203)</f>
        <v>35.892000000000003</v>
      </c>
      <c r="E204" s="96">
        <f t="shared" si="106"/>
        <v>37.335999999999999</v>
      </c>
      <c r="F204" s="187">
        <f t="shared" si="106"/>
        <v>40.491999999999997</v>
      </c>
      <c r="G204" s="187">
        <f t="shared" si="106"/>
        <v>44.385999999999996</v>
      </c>
      <c r="H204" s="187">
        <f t="shared" si="106"/>
        <v>55.801000000000002</v>
      </c>
      <c r="I204" s="187">
        <f t="shared" si="106"/>
        <v>65.774000000000001</v>
      </c>
      <c r="J204" s="187">
        <f t="shared" si="106"/>
        <v>76.789000000000001</v>
      </c>
      <c r="K204" s="101">
        <f t="shared" ca="1" si="106"/>
        <v>88.623787535845423</v>
      </c>
      <c r="L204" s="101">
        <f t="shared" ca="1" si="106"/>
        <v>100.57870711440695</v>
      </c>
      <c r="M204" s="101">
        <f t="shared" ca="1" si="106"/>
        <v>112.39114333327271</v>
      </c>
      <c r="N204" s="101">
        <f t="shared" ca="1" si="106"/>
        <v>123.49459348329675</v>
      </c>
      <c r="O204" s="101">
        <f t="shared" ca="1" si="106"/>
        <v>134.63559057281569</v>
      </c>
      <c r="P204" s="101">
        <f t="shared" ca="1" si="106"/>
        <v>145.75103256718057</v>
      </c>
      <c r="Q204" s="101">
        <f t="shared" ca="1" si="106"/>
        <v>156.71928501666426</v>
      </c>
      <c r="R204" s="101">
        <f t="shared" ca="1" si="106"/>
        <v>167.96385846490659</v>
      </c>
      <c r="S204" s="101">
        <f t="shared" ca="1" si="106"/>
        <v>179.47494372774159</v>
      </c>
      <c r="T204" s="101">
        <f t="shared" ca="1" si="106"/>
        <v>191.21906625334478</v>
      </c>
      <c r="U204" s="54"/>
    </row>
    <row r="205" spans="1:21" x14ac:dyDescent="0.2">
      <c r="A205" s="259" t="s">
        <v>396</v>
      </c>
      <c r="C205" s="100"/>
      <c r="D205" s="280">
        <f>Data!C$95</f>
        <v>0.91300000000000003</v>
      </c>
      <c r="E205" s="280">
        <f>Data!D$95</f>
        <v>0.40899999999999997</v>
      </c>
      <c r="F205" s="186">
        <f>Data!E$95</f>
        <v>0.64900000000000002</v>
      </c>
      <c r="G205" s="186">
        <f>Data!F$95</f>
        <v>0.75700000000000001</v>
      </c>
      <c r="H205" s="186">
        <f>Data!G$95</f>
        <v>0.88100000000000001</v>
      </c>
      <c r="I205" s="186">
        <f>Data!H$95</f>
        <v>1.032</v>
      </c>
      <c r="J205" s="186">
        <f>Data!I$95</f>
        <v>1.2070000000000001</v>
      </c>
      <c r="K205" s="107">
        <f t="shared" ref="K205:T205" si="107">K$123-K$122</f>
        <v>1.0529913138489881</v>
      </c>
      <c r="L205" s="107">
        <f t="shared" si="107"/>
        <v>1.1970052986359292</v>
      </c>
      <c r="M205" s="107">
        <f t="shared" si="107"/>
        <v>1.3498646130236338</v>
      </c>
      <c r="N205" s="107">
        <f t="shared" si="107"/>
        <v>1.5116541805883159</v>
      </c>
      <c r="O205" s="107">
        <f t="shared" si="107"/>
        <v>1.6823307540817609</v>
      </c>
      <c r="P205" s="107">
        <f t="shared" si="107"/>
        <v>1.861752846594726</v>
      </c>
      <c r="Q205" s="107">
        <f t="shared" si="107"/>
        <v>2.0499093842033247</v>
      </c>
      <c r="R205" s="107">
        <f t="shared" si="107"/>
        <v>2.2445002107794778</v>
      </c>
      <c r="S205" s="107">
        <f t="shared" si="107"/>
        <v>2.4451982146128302</v>
      </c>
      <c r="T205" s="107">
        <f t="shared" si="107"/>
        <v>2.6515315743452419</v>
      </c>
      <c r="U205" s="54"/>
    </row>
    <row r="206" spans="1:21" x14ac:dyDescent="0.2">
      <c r="A206" s="43" t="s">
        <v>677</v>
      </c>
      <c r="C206" s="100"/>
      <c r="D206" s="96">
        <f t="shared" ref="D206:T206" si="108">SUM(D$204,D$205)</f>
        <v>36.805</v>
      </c>
      <c r="E206" s="96">
        <f t="shared" si="108"/>
        <v>37.744999999999997</v>
      </c>
      <c r="F206" s="187">
        <f t="shared" si="108"/>
        <v>41.140999999999998</v>
      </c>
      <c r="G206" s="187">
        <f t="shared" si="108"/>
        <v>45.142999999999994</v>
      </c>
      <c r="H206" s="187">
        <f t="shared" si="108"/>
        <v>56.682000000000002</v>
      </c>
      <c r="I206" s="187">
        <f t="shared" si="108"/>
        <v>66.805999999999997</v>
      </c>
      <c r="J206" s="187">
        <f t="shared" si="108"/>
        <v>77.995999999999995</v>
      </c>
      <c r="K206" s="101">
        <f t="shared" ca="1" si="108"/>
        <v>89.676778849694415</v>
      </c>
      <c r="L206" s="101">
        <f t="shared" ca="1" si="108"/>
        <v>101.77571241304288</v>
      </c>
      <c r="M206" s="101">
        <f t="shared" ca="1" si="108"/>
        <v>113.74100794629635</v>
      </c>
      <c r="N206" s="101">
        <f t="shared" ca="1" si="108"/>
        <v>125.00624766388506</v>
      </c>
      <c r="O206" s="101">
        <f t="shared" ca="1" si="108"/>
        <v>136.31792132689745</v>
      </c>
      <c r="P206" s="101">
        <f t="shared" ca="1" si="108"/>
        <v>147.6127854137753</v>
      </c>
      <c r="Q206" s="101">
        <f t="shared" ca="1" si="108"/>
        <v>158.76919440086758</v>
      </c>
      <c r="R206" s="101">
        <f t="shared" ca="1" si="108"/>
        <v>170.20835867568607</v>
      </c>
      <c r="S206" s="101">
        <f t="shared" ca="1" si="108"/>
        <v>181.92014194235441</v>
      </c>
      <c r="T206" s="101">
        <f t="shared" ca="1" si="108"/>
        <v>193.87059782769001</v>
      </c>
      <c r="U206" s="54"/>
    </row>
    <row r="207" spans="1:21" x14ac:dyDescent="0.2">
      <c r="A207" s="43"/>
      <c r="C207" s="100"/>
      <c r="D207" s="96"/>
      <c r="E207" s="96"/>
      <c r="F207" s="187"/>
      <c r="G207" s="187"/>
      <c r="H207" s="187"/>
      <c r="I207" s="187"/>
      <c r="J207" s="187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54"/>
    </row>
    <row r="208" spans="1:21" x14ac:dyDescent="0.2">
      <c r="A208" s="147" t="s">
        <v>417</v>
      </c>
      <c r="C208" s="100"/>
      <c r="D208" s="94">
        <f>SUM(Data!C$78,Data!C$199,-Data!C$200)</f>
        <v>6.1120000000000001</v>
      </c>
      <c r="E208" s="94">
        <f>SUM(Data!D$78,Data!D$199,-Data!D$200)</f>
        <v>6.3550000000000004</v>
      </c>
      <c r="F208" s="142">
        <f>SUM(Data!E$78,Data!E$199,-Data!E$200)</f>
        <v>6.3550000000000004</v>
      </c>
      <c r="G208" s="142">
        <f>SUM(Data!F$78,Data!F$199,-Data!F$200)</f>
        <v>6.3550000000000004</v>
      </c>
      <c r="H208" s="142">
        <f>SUM(Data!G$78,Data!G$199,-Data!G$200)</f>
        <v>6.3550000000000004</v>
      </c>
      <c r="I208" s="142">
        <f>SUM(Data!H$78,Data!H$199,-Data!H$200)</f>
        <v>6.3550000000000004</v>
      </c>
      <c r="J208" s="142">
        <f>SUM(Data!I$78,Data!I$199,-Data!I$200)</f>
        <v>6.3550000000000004</v>
      </c>
      <c r="K208" s="99">
        <f ca="1">OFFSET(Scenarios!$A$47,0,$C$1)</f>
        <v>6.3550000000000004</v>
      </c>
      <c r="L208" s="99">
        <f ca="1">OFFSET(Scenarios!$A$47,0,$C$1)</f>
        <v>6.3550000000000004</v>
      </c>
      <c r="M208" s="99">
        <f ca="1">OFFSET(Scenarios!$A$47,0,$C$1)</f>
        <v>6.3550000000000004</v>
      </c>
      <c r="N208" s="99">
        <f ca="1">OFFSET(Scenarios!$A$47,0,$C$1)</f>
        <v>6.3550000000000004</v>
      </c>
      <c r="O208" s="99">
        <f ca="1">OFFSET(Scenarios!$A$47,0,$C$1)</f>
        <v>6.3550000000000004</v>
      </c>
      <c r="P208" s="99">
        <f ca="1">OFFSET(Scenarios!$A$47,0,$C$1)</f>
        <v>6.3550000000000004</v>
      </c>
      <c r="Q208" s="99">
        <f ca="1">OFFSET(Scenarios!$A$47,0,$C$1)</f>
        <v>6.3550000000000004</v>
      </c>
      <c r="R208" s="99">
        <f ca="1">OFFSET(Scenarios!$A$47,0,$C$1)</f>
        <v>6.3550000000000004</v>
      </c>
      <c r="S208" s="99">
        <f ca="1">OFFSET(Scenarios!$A$47,0,$C$1)</f>
        <v>6.3550000000000004</v>
      </c>
      <c r="T208" s="99">
        <f ca="1">OFFSET(Scenarios!$A$47,0,$C$1)</f>
        <v>6.3550000000000004</v>
      </c>
      <c r="U208" s="54"/>
    </row>
    <row r="209" spans="1:21" x14ac:dyDescent="0.2">
      <c r="A209" s="147" t="s">
        <v>418</v>
      </c>
      <c r="C209" s="100"/>
      <c r="D209" s="94">
        <f t="shared" ref="D209:J209" si="109">C$209</f>
        <v>0</v>
      </c>
      <c r="E209" s="94">
        <f t="shared" si="109"/>
        <v>0</v>
      </c>
      <c r="F209" s="142">
        <f t="shared" si="109"/>
        <v>0</v>
      </c>
      <c r="G209" s="142">
        <f t="shared" si="109"/>
        <v>0</v>
      </c>
      <c r="H209" s="142">
        <f t="shared" si="109"/>
        <v>0</v>
      </c>
      <c r="I209" s="142">
        <f t="shared" si="109"/>
        <v>0</v>
      </c>
      <c r="J209" s="142">
        <f t="shared" si="109"/>
        <v>0</v>
      </c>
      <c r="K209" s="99">
        <f ca="1">IF(OFFSET(Scenarios!$A$44,0,$C$1)="Yes",MAX(MIN(OFFSET(Scenarios!$A$45,0,$C$1)-SUM($H$209:J$209),SUM(K$160,K$166,K$170,K$174,K$178,K$185)-SUM(J$160,J$166,J$170,J$174,J$185)-(K$35-J$35)-K$23+K$123-J$123),0),0)</f>
        <v>0</v>
      </c>
      <c r="L209" s="99">
        <f ca="1">IF(OFFSET(Scenarios!$A$44,0,$C$1)="Yes",MAX(MIN(OFFSET(Scenarios!$A$45,0,$C$1)-SUM($H$209:K$209),SUM(L$160,L$166,L$170,L$174,L$178,L$185)-SUM(K$160,K$166,K$170,K$174,K$185)-(L$35-K$35)-L$23+L$123-K$123),0),0)</f>
        <v>0</v>
      </c>
      <c r="M209" s="99">
        <f ca="1">IF(OFFSET(Scenarios!$A$44,0,$C$1)="Yes",MAX(MIN(OFFSET(Scenarios!$A$45,0,$C$1)-SUM($H$209:L$209),SUM(M$160,M$166,M$170,M$174,M$178,M$185)-SUM(L$160,L$166,L$170,L$174,L$185)-(M$35-L$35)-M$23+M$123-L$123),0),0)</f>
        <v>0</v>
      </c>
      <c r="N209" s="99">
        <f ca="1">IF(OFFSET(Scenarios!$A$44,0,$C$1)="Yes",MAX(MIN(OFFSET(Scenarios!$A$45,0,$C$1)-SUM($H$209:M$209),SUM(N$160,N$166,N$170,N$174,N$178,N$185)-SUM(M$160,M$166,M$170,M$174,M$185)-(N$35-M$35)-N$23+N$123-M$123),0),0)</f>
        <v>0</v>
      </c>
      <c r="O209" s="99">
        <f ca="1">IF(OFFSET(Scenarios!$A$44,0,$C$1)="Yes",MAX(MIN(OFFSET(Scenarios!$A$45,0,$C$1)-SUM($H$209:N$209),SUM(O$160,O$166,O$170,O$174,O$178,O$185)-SUM(N$160,N$166,N$170,N$174,N$185)-(O$35-N$35)-O$23+O$123-N$123),0),0)</f>
        <v>0</v>
      </c>
      <c r="P209" s="99">
        <f ca="1">IF(OFFSET(Scenarios!$A$44,0,$C$1)="Yes",MAX(MIN(OFFSET(Scenarios!$A$45,0,$C$1)-SUM($H$209:O$209),SUM(P$160,P$166,P$170,P$174,P$178,P$185)-SUM(O$160,O$166,O$170,O$174,O$185)-(P$35-O$35)-P$23+P$123-O$123),0),0)</f>
        <v>0</v>
      </c>
      <c r="Q209" s="99">
        <f ca="1">IF(OFFSET(Scenarios!$A$44,0,$C$1)="Yes",MAX(MIN(OFFSET(Scenarios!$A$45,0,$C$1)-SUM($H$209:P$209),SUM(Q$160,Q$166,Q$170,Q$174,Q$178,Q$185)-SUM(P$160,P$166,P$170,P$174,P$185)-(Q$35-P$35)-Q$23+Q$123-P$123),0),0)</f>
        <v>0</v>
      </c>
      <c r="R209" s="99">
        <f ca="1">IF(OFFSET(Scenarios!$A$44,0,$C$1)="Yes",MAX(MIN(OFFSET(Scenarios!$A$45,0,$C$1)-SUM($H$209:Q$209),SUM(R$160,R$166,R$170,R$174,R$178,R$185)-SUM(Q$160,Q$166,Q$170,Q$174,Q$185)-(R$35-Q$35)-R$23+R$123-Q$123),0),0)</f>
        <v>0</v>
      </c>
      <c r="S209" s="99">
        <f ca="1">IF(OFFSET(Scenarios!$A$44,0,$C$1)="Yes",MAX(MIN(OFFSET(Scenarios!$A$45,0,$C$1)-SUM($H$209:R$209),SUM(S$160,S$166,S$170,S$174,S$178,S$185)-SUM(R$160,R$166,R$170,R$174,R$185)-(S$35-R$35)-S$23+S$123-R$123),0),0)</f>
        <v>0</v>
      </c>
      <c r="T209" s="99">
        <f ca="1">IF(OFFSET(Scenarios!$A$44,0,$C$1)="Yes",MAX(MIN(OFFSET(Scenarios!$A$45,0,$C$1)-SUM($H$209:S$209),SUM(T$160,T$166,T$170,T$174,T$178,T$185)-SUM(S$160,S$166,S$170,S$174,S$185)-(T$35-S$35)-T$23+T$123-S$123),0),0)</f>
        <v>0</v>
      </c>
      <c r="U209" s="54"/>
    </row>
    <row r="210" spans="1:21" x14ac:dyDescent="0.2">
      <c r="A210" s="147"/>
      <c r="C210" s="100"/>
      <c r="D210" s="97"/>
      <c r="E210" s="97"/>
      <c r="F210" s="97"/>
      <c r="G210" s="97"/>
      <c r="H210" s="97"/>
      <c r="I210" s="97"/>
      <c r="J210" s="97"/>
      <c r="K210" s="317"/>
      <c r="L210" s="317"/>
      <c r="M210" s="317"/>
      <c r="N210" s="317"/>
      <c r="O210" s="317"/>
      <c r="P210" s="317"/>
      <c r="Q210" s="317"/>
      <c r="R210" s="317"/>
      <c r="S210" s="317"/>
      <c r="T210" s="317"/>
      <c r="U210" s="54"/>
    </row>
    <row r="211" spans="1:21" ht="15.75" x14ac:dyDescent="0.25">
      <c r="A211" s="249" t="s">
        <v>639</v>
      </c>
      <c r="D211" s="97"/>
      <c r="E211" s="97"/>
      <c r="F211"/>
      <c r="G211"/>
      <c r="H211"/>
      <c r="I211"/>
      <c r="J211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54"/>
    </row>
    <row r="212" spans="1:21" x14ac:dyDescent="0.2">
      <c r="A212" s="43" t="s">
        <v>193</v>
      </c>
      <c r="D212" s="94">
        <f>Data!C$203</f>
        <v>132.38900000000001</v>
      </c>
      <c r="E212" s="94">
        <f>Data!D$203</f>
        <v>135.821</v>
      </c>
      <c r="F212" s="180">
        <f>Data!E$203</f>
        <v>135.94545041674729</v>
      </c>
      <c r="G212" s="180">
        <f>Data!F$203</f>
        <v>137.71374685559184</v>
      </c>
      <c r="H212" s="180">
        <f>Data!G$203</f>
        <v>142.23952817811403</v>
      </c>
      <c r="I212" s="180">
        <f>Data!H$203</f>
        <v>147.9035276342839</v>
      </c>
      <c r="J212" s="180">
        <f>Data!I$203</f>
        <v>153.34078751093</v>
      </c>
      <c r="K212" s="99">
        <f ca="1">J$212*(1+K$231)*(K$223*(1-K$226)*K$229)/(J$223*(1-J$226)*J$229)</f>
        <v>157.24417506671574</v>
      </c>
      <c r="L212" s="99">
        <f t="shared" ref="L212:T212" ca="1" si="110">K$212*(1+L$231)*(L$223*(1-L$226)*L$229)/(K$223*(1-K$226)*K$229)</f>
        <v>161.27520813653311</v>
      </c>
      <c r="M212" s="99">
        <f t="shared" ca="1" si="110"/>
        <v>165.36685835619699</v>
      </c>
      <c r="N212" s="99">
        <f t="shared" ca="1" si="110"/>
        <v>169.38792050000532</v>
      </c>
      <c r="O212" s="99">
        <f t="shared" ca="1" si="110"/>
        <v>173.09322477679015</v>
      </c>
      <c r="P212" s="99">
        <f t="shared" ca="1" si="110"/>
        <v>176.82863482962179</v>
      </c>
      <c r="Q212" s="99">
        <f t="shared" ca="1" si="110"/>
        <v>180.60298388299981</v>
      </c>
      <c r="R212" s="99">
        <f t="shared" ca="1" si="110"/>
        <v>184.40074513748479</v>
      </c>
      <c r="S212" s="99">
        <f t="shared" ca="1" si="110"/>
        <v>188.27241745546362</v>
      </c>
      <c r="T212" s="99">
        <f t="shared" ca="1" si="110"/>
        <v>192.13595615051429</v>
      </c>
      <c r="U212" s="54"/>
    </row>
    <row r="213" spans="1:21" x14ac:dyDescent="0.2">
      <c r="A213" s="260" t="s">
        <v>172</v>
      </c>
      <c r="D213" s="174"/>
      <c r="E213" s="174">
        <f t="shared" ref="E213:T213" si="111">E$212/D$212-1</f>
        <v>2.5923603924797201E-2</v>
      </c>
      <c r="F213" s="178">
        <f t="shared" si="111"/>
        <v>9.1628258330667123E-4</v>
      </c>
      <c r="G213" s="178">
        <f t="shared" si="111"/>
        <v>1.3007396962706252E-2</v>
      </c>
      <c r="H213" s="178">
        <f t="shared" si="111"/>
        <v>3.2863685912692286E-2</v>
      </c>
      <c r="I213" s="178">
        <f t="shared" si="111"/>
        <v>3.98201507606053E-2</v>
      </c>
      <c r="J213" s="178">
        <f t="shared" si="111"/>
        <v>3.6762205497157696E-2</v>
      </c>
      <c r="K213" s="175">
        <f t="shared" ca="1" si="111"/>
        <v>2.5455637858306401E-2</v>
      </c>
      <c r="L213" s="175">
        <f t="shared" ca="1" si="111"/>
        <v>2.5635500126520272E-2</v>
      </c>
      <c r="M213" s="175">
        <f t="shared" ca="1" si="111"/>
        <v>2.5370608830341368E-2</v>
      </c>
      <c r="N213" s="175">
        <f t="shared" ca="1" si="111"/>
        <v>2.4316009772327174E-2</v>
      </c>
      <c r="O213" s="175">
        <f t="shared" ca="1" si="111"/>
        <v>2.1874666539664522E-2</v>
      </c>
      <c r="P213" s="175">
        <f t="shared" ca="1" si="111"/>
        <v>2.1580336594043903E-2</v>
      </c>
      <c r="Q213" s="175">
        <f t="shared" ca="1" si="111"/>
        <v>2.1344671110618885E-2</v>
      </c>
      <c r="R213" s="175">
        <f t="shared" ca="1" si="111"/>
        <v>2.1028230945205673E-2</v>
      </c>
      <c r="S213" s="175">
        <f t="shared" ca="1" si="111"/>
        <v>2.0995968943033239E-2</v>
      </c>
      <c r="T213" s="175">
        <f t="shared" ca="1" si="111"/>
        <v>2.0521002211938866E-2</v>
      </c>
      <c r="U213" s="54"/>
    </row>
    <row r="214" spans="1:21" x14ac:dyDescent="0.2">
      <c r="A214" s="43" t="s">
        <v>148</v>
      </c>
      <c r="D214" s="94">
        <f>Data!C$204</f>
        <v>168.571</v>
      </c>
      <c r="E214" s="94">
        <f>Data!D$204</f>
        <v>179.048</v>
      </c>
      <c r="F214" s="180">
        <f ca="1">IF($F$1="Yes",OFFSET(ReadyReckoner!$A$34,0,F$260),Data!E$204)</f>
        <v>181.13885057739157</v>
      </c>
      <c r="G214" s="180">
        <f ca="1">IF($F$1="Yes",OFFSET(ReadyReckoner!$A$34,0,G$260),Data!F$204)</f>
        <v>184.50602822682566</v>
      </c>
      <c r="H214" s="180">
        <f ca="1">IF($F$1="Yes",OFFSET(ReadyReckoner!$A$34,0,H$260),Data!G$204)</f>
        <v>193.90799432322186</v>
      </c>
      <c r="I214" s="180">
        <f ca="1">IF($F$1="Yes",OFFSET(ReadyReckoner!$A$34,0,I$260),Data!H$204)</f>
        <v>205.38873623897788</v>
      </c>
      <c r="J214" s="180">
        <f ca="1">IF($F$1="Yes",OFFSET(ReadyReckoner!$A$34,0,J$260),Data!I$204)</f>
        <v>216.52261434577596</v>
      </c>
      <c r="K214" s="99">
        <f ca="1">K$212*(J$214/J$212)*(1+K$218)</f>
        <v>226.47502231678965</v>
      </c>
      <c r="L214" s="99">
        <f t="shared" ref="L214:T214" ca="1" si="112">L$212*(K$214/K$212)*(1+L$218)</f>
        <v>236.92643923564631</v>
      </c>
      <c r="M214" s="99">
        <f t="shared" ca="1" si="112"/>
        <v>247.79615539200074</v>
      </c>
      <c r="N214" s="99">
        <f t="shared" ca="1" si="112"/>
        <v>258.89800051061889</v>
      </c>
      <c r="O214" s="99">
        <f t="shared" ca="1" si="112"/>
        <v>269.85253409836611</v>
      </c>
      <c r="P214" s="99">
        <f t="shared" ca="1" si="112"/>
        <v>281.18956346726384</v>
      </c>
      <c r="Q214" s="99">
        <f t="shared" ca="1" si="112"/>
        <v>292.93529146359532</v>
      </c>
      <c r="R214" s="99">
        <f t="shared" ca="1" si="112"/>
        <v>305.07710647298279</v>
      </c>
      <c r="S214" s="99">
        <f t="shared" ca="1" si="112"/>
        <v>317.71214584423439</v>
      </c>
      <c r="T214" s="99">
        <f t="shared" ca="1" si="112"/>
        <v>330.71655584170105</v>
      </c>
      <c r="U214" s="54"/>
    </row>
    <row r="215" spans="1:21" x14ac:dyDescent="0.2">
      <c r="A215" s="260" t="s">
        <v>172</v>
      </c>
      <c r="D215" s="174"/>
      <c r="E215" s="174">
        <f t="shared" ref="E215:T215" si="113">E$214/D$214-1</f>
        <v>6.2151852928439721E-2</v>
      </c>
      <c r="F215" s="178">
        <f t="shared" ca="1" si="113"/>
        <v>1.1677598059691041E-2</v>
      </c>
      <c r="G215" s="178">
        <f t="shared" ca="1" si="113"/>
        <v>1.8588931301600997E-2</v>
      </c>
      <c r="H215" s="178">
        <f t="shared" ca="1" si="113"/>
        <v>5.0957500883590301E-2</v>
      </c>
      <c r="I215" s="178">
        <f t="shared" ca="1" si="113"/>
        <v>5.9207161395414154E-2</v>
      </c>
      <c r="J215" s="178">
        <f t="shared" ca="1" si="113"/>
        <v>5.4208805753804157E-2</v>
      </c>
      <c r="K215" s="175">
        <f t="shared" ca="1" si="113"/>
        <v>4.5964750615472338E-2</v>
      </c>
      <c r="L215" s="175">
        <f t="shared" ca="1" si="113"/>
        <v>4.6148210129050682E-2</v>
      </c>
      <c r="M215" s="175">
        <f t="shared" ca="1" si="113"/>
        <v>4.5878021006948266E-2</v>
      </c>
      <c r="N215" s="175">
        <f t="shared" ca="1" si="113"/>
        <v>4.480232996777378E-2</v>
      </c>
      <c r="O215" s="175">
        <f t="shared" ca="1" si="113"/>
        <v>4.2312159870457888E-2</v>
      </c>
      <c r="P215" s="175">
        <f t="shared" ca="1" si="113"/>
        <v>4.2011943325924728E-2</v>
      </c>
      <c r="Q215" s="175">
        <f t="shared" ca="1" si="113"/>
        <v>4.1771564532831373E-2</v>
      </c>
      <c r="R215" s="175">
        <f t="shared" ca="1" si="113"/>
        <v>4.1448795564109853E-2</v>
      </c>
      <c r="S215" s="175">
        <f t="shared" ca="1" si="113"/>
        <v>4.1415888321894023E-2</v>
      </c>
      <c r="T215" s="175">
        <f t="shared" ca="1" si="113"/>
        <v>4.093142225617763E-2</v>
      </c>
      <c r="U215" s="54"/>
    </row>
    <row r="216" spans="1:21" x14ac:dyDescent="0.2">
      <c r="A216" s="48" t="s">
        <v>163</v>
      </c>
      <c r="D216" s="97"/>
      <c r="E216" s="97"/>
      <c r="T216" s="99"/>
      <c r="U216" s="54"/>
    </row>
    <row r="217" spans="1:21" x14ac:dyDescent="0.2">
      <c r="A217" s="47" t="s">
        <v>149</v>
      </c>
      <c r="D217" s="284">
        <f>Data!C$205</f>
        <v>1020</v>
      </c>
      <c r="E217" s="284">
        <f>Data!D$205</f>
        <v>1061</v>
      </c>
      <c r="F217" s="273">
        <f>IF($F$1="Yes",E$217*(1+E$218),Data!E$205)</f>
        <v>1085.6289999999999</v>
      </c>
      <c r="G217" s="273">
        <f>IF($F$1="Yes",F$217*(1+F$218),Data!F$205)</f>
        <v>1110.3489999999999</v>
      </c>
      <c r="H217" s="273">
        <f>IF($F$1="Yes",G$217*(1+G$218),Data!G$205)</f>
        <v>1131.556</v>
      </c>
      <c r="I217" s="273">
        <f>IF($F$1="Yes",H$217*(1+H$218),Data!H$205)</f>
        <v>1153.1769999999999</v>
      </c>
      <c r="J217" s="273">
        <f>IF($F$1="Yes",I$217*(1+I$218),Data!I$205)</f>
        <v>1174.567</v>
      </c>
      <c r="K217" s="274">
        <f ca="1">J$217*(1+K$218)</f>
        <v>1198.05834</v>
      </c>
      <c r="L217" s="274">
        <f t="shared" ref="L217:T217" ca="1" si="114">K$217*(1+L$218)</f>
        <v>1222.0195068</v>
      </c>
      <c r="M217" s="274">
        <f t="shared" ca="1" si="114"/>
        <v>1246.4598969360002</v>
      </c>
      <c r="N217" s="274">
        <f t="shared" ca="1" si="114"/>
        <v>1271.3890948747203</v>
      </c>
      <c r="O217" s="274">
        <f t="shared" ca="1" si="114"/>
        <v>1296.8168767722148</v>
      </c>
      <c r="P217" s="274">
        <f t="shared" ca="1" si="114"/>
        <v>1322.7532143076592</v>
      </c>
      <c r="Q217" s="274">
        <f t="shared" ca="1" si="114"/>
        <v>1349.2082785938123</v>
      </c>
      <c r="R217" s="274">
        <f t="shared" ca="1" si="114"/>
        <v>1376.1924441656886</v>
      </c>
      <c r="S217" s="274">
        <f t="shared" ca="1" si="114"/>
        <v>1403.7162930490024</v>
      </c>
      <c r="T217" s="274">
        <f t="shared" ca="1" si="114"/>
        <v>1431.7906189099824</v>
      </c>
      <c r="U217" s="54"/>
    </row>
    <row r="218" spans="1:21" x14ac:dyDescent="0.2">
      <c r="A218" s="260" t="s">
        <v>172</v>
      </c>
      <c r="D218" s="174"/>
      <c r="E218" s="174">
        <f>E$217/D$217-1</f>
        <v>4.0196078431372628E-2</v>
      </c>
      <c r="F218" s="178">
        <f ca="1">IF($F$1="Yes",OFFSET(ReadyReckoner!$A$35,0,F$260),F$217/E$217-1)</f>
        <v>2.3213006597549324E-2</v>
      </c>
      <c r="G218" s="178">
        <f ca="1">IF($F$1="Yes",OFFSET(ReadyReckoner!$A$35,0,G$260),G$217/F$217-1)</f>
        <v>2.277020971252619E-2</v>
      </c>
      <c r="H218" s="178">
        <f ca="1">IF($F$1="Yes",OFFSET(ReadyReckoner!$A$35,0,H$260),H$217/G$217-1)</f>
        <v>1.9099400278651313E-2</v>
      </c>
      <c r="I218" s="178">
        <f ca="1">IF($F$1="Yes",OFFSET(ReadyReckoner!$A$35,0,I$260),I$217/H$217-1)</f>
        <v>1.91073177111869E-2</v>
      </c>
      <c r="J218" s="178">
        <f ca="1">IF($F$1="Yes",OFFSET(ReadyReckoner!$A$35,0,J$260),J$217/I$217-1)</f>
        <v>1.8548757042500919E-2</v>
      </c>
      <c r="K218" s="175">
        <f ca="1">IF(J$218&lt;OFFSET(Scenarios!$A$7,0,$C$1),MIN(J$218+OFFSET(Scenarios!$A$13,0,$C$1),OFFSET(Scenarios!$A$7,0,$C$1)),MAX(J$218-OFFSET(Scenarios!$A$13,0,$C$1),OFFSET(Scenarios!$A$7,0,$C$1)))</f>
        <v>0.02</v>
      </c>
      <c r="L218" s="175">
        <f ca="1">IF(K$218&lt;OFFSET(Scenarios!$A$7,0,$C$1),MIN(K$218+OFFSET(Scenarios!$A$13,0,$C$1),OFFSET(Scenarios!$A$7,0,$C$1)),MAX(K$218-OFFSET(Scenarios!$A$13,0,$C$1),OFFSET(Scenarios!$A$7,0,$C$1)))</f>
        <v>0.02</v>
      </c>
      <c r="M218" s="175">
        <f ca="1">IF(L$218&lt;OFFSET(Scenarios!$A$7,0,$C$1),MIN(L$218+OFFSET(Scenarios!$A$13,0,$C$1),OFFSET(Scenarios!$A$7,0,$C$1)),MAX(L$218-OFFSET(Scenarios!$A$13,0,$C$1),OFFSET(Scenarios!$A$7,0,$C$1)))</f>
        <v>0.02</v>
      </c>
      <c r="N218" s="175">
        <f ca="1">IF(M$218&lt;OFFSET(Scenarios!$A$7,0,$C$1),MIN(M$218+OFFSET(Scenarios!$A$13,0,$C$1),OFFSET(Scenarios!$A$7,0,$C$1)),MAX(M$218-OFFSET(Scenarios!$A$13,0,$C$1),OFFSET(Scenarios!$A$7,0,$C$1)))</f>
        <v>0.02</v>
      </c>
      <c r="O218" s="175">
        <f ca="1">IF(N$218&lt;OFFSET(Scenarios!$A$7,0,$C$1),MIN(N$218+OFFSET(Scenarios!$A$13,0,$C$1),OFFSET(Scenarios!$A$7,0,$C$1)),MAX(N$218-OFFSET(Scenarios!$A$13,0,$C$1),OFFSET(Scenarios!$A$7,0,$C$1)))</f>
        <v>0.02</v>
      </c>
      <c r="P218" s="175">
        <f ca="1">IF(O$218&lt;OFFSET(Scenarios!$A$7,0,$C$1),MIN(O$218+OFFSET(Scenarios!$A$13,0,$C$1),OFFSET(Scenarios!$A$7,0,$C$1)),MAX(O$218-OFFSET(Scenarios!$A$13,0,$C$1),OFFSET(Scenarios!$A$7,0,$C$1)))</f>
        <v>0.02</v>
      </c>
      <c r="Q218" s="175">
        <f ca="1">IF(P$218&lt;OFFSET(Scenarios!$A$7,0,$C$1),MIN(P$218+OFFSET(Scenarios!$A$13,0,$C$1),OFFSET(Scenarios!$A$7,0,$C$1)),MAX(P$218-OFFSET(Scenarios!$A$13,0,$C$1),OFFSET(Scenarios!$A$7,0,$C$1)))</f>
        <v>0.02</v>
      </c>
      <c r="R218" s="175">
        <f ca="1">IF(Q$218&lt;OFFSET(Scenarios!$A$7,0,$C$1),MIN(Q$218+OFFSET(Scenarios!$A$13,0,$C$1),OFFSET(Scenarios!$A$7,0,$C$1)),MAX(Q$218-OFFSET(Scenarios!$A$13,0,$C$1),OFFSET(Scenarios!$A$7,0,$C$1)))</f>
        <v>0.02</v>
      </c>
      <c r="S218" s="175">
        <f ca="1">IF(R$218&lt;OFFSET(Scenarios!$A$7,0,$C$1),MIN(R$218+OFFSET(Scenarios!$A$13,0,$C$1),OFFSET(Scenarios!$A$7,0,$C$1)),MAX(R$218-OFFSET(Scenarios!$A$13,0,$C$1),OFFSET(Scenarios!$A$7,0,$C$1)))</f>
        <v>0.02</v>
      </c>
      <c r="T218" s="175">
        <f ca="1">IF(S$218&lt;OFFSET(Scenarios!$A$7,0,$C$1),MIN(S$218+OFFSET(Scenarios!$A$13,0,$C$1),OFFSET(Scenarios!$A$7,0,$C$1)),MAX(S$218-OFFSET(Scenarios!$A$13,0,$C$1),OFFSET(Scenarios!$A$7,0,$C$1)))</f>
        <v>0.02</v>
      </c>
      <c r="U218" s="54"/>
    </row>
    <row r="219" spans="1:21" x14ac:dyDescent="0.2">
      <c r="A219" s="47" t="s">
        <v>192</v>
      </c>
      <c r="D219" s="174">
        <f>Data!C$206</f>
        <v>6.3100000000000003E-2</v>
      </c>
      <c r="E219" s="174">
        <f>Data!D$206</f>
        <v>6.4399999999999999E-2</v>
      </c>
      <c r="F219" s="178">
        <f ca="1">IF($F$1="Yes",OFFSET(ReadyReckoner!$A$36,0,F$260),Data!E$206)</f>
        <v>5.8999999999999997E-2</v>
      </c>
      <c r="G219" s="178">
        <f ca="1">IF($F$1="Yes",OFFSET(ReadyReckoner!$A$36,0,G$260),Data!F$206)</f>
        <v>5.7000000000000002E-2</v>
      </c>
      <c r="H219" s="178">
        <f ca="1">IF($F$1="Yes",OFFSET(ReadyReckoner!$A$36,0,H$260),Data!G$206)</f>
        <v>5.8999999999999997E-2</v>
      </c>
      <c r="I219" s="178">
        <f ca="1">IF($F$1="Yes",OFFSET(ReadyReckoner!$A$36,0,I$260),Data!H$206)</f>
        <v>0.06</v>
      </c>
      <c r="J219" s="178">
        <f ca="1">IF($F$1="Yes",OFFSET(ReadyReckoner!$A$36,0,J$260),Data!I$206)</f>
        <v>0.06</v>
      </c>
      <c r="K219" s="175">
        <f ca="1">IF(J$219&lt;OFFSET(Scenarios!$A$8,0,$C$1),MIN(J$219+OFFSET(Scenarios!$A$14,0,$C$1),OFFSET(Scenarios!$A$8,0,$C$1)),MAX(J$219-OFFSET(Scenarios!$A$14,0,$C$1),OFFSET(Scenarios!$A$8,0,$C$1)))</f>
        <v>0.06</v>
      </c>
      <c r="L219" s="175">
        <f ca="1">IF(K$219&lt;OFFSET(Scenarios!$A$8,0,$C$1),MIN(K$219+OFFSET(Scenarios!$A$14,0,$C$1),OFFSET(Scenarios!$A$8,0,$C$1)),MAX(K$219-OFFSET(Scenarios!$A$14,0,$C$1),OFFSET(Scenarios!$A$8,0,$C$1)))</f>
        <v>0.06</v>
      </c>
      <c r="M219" s="175">
        <f ca="1">IF(L$219&lt;OFFSET(Scenarios!$A$8,0,$C$1),MIN(L$219+OFFSET(Scenarios!$A$14,0,$C$1),OFFSET(Scenarios!$A$8,0,$C$1)),MAX(L$219-OFFSET(Scenarios!$A$14,0,$C$1),OFFSET(Scenarios!$A$8,0,$C$1)))</f>
        <v>0.06</v>
      </c>
      <c r="N219" s="175">
        <f ca="1">IF(M$219&lt;OFFSET(Scenarios!$A$8,0,$C$1),MIN(M$219+OFFSET(Scenarios!$A$14,0,$C$1),OFFSET(Scenarios!$A$8,0,$C$1)),MAX(M$219-OFFSET(Scenarios!$A$14,0,$C$1),OFFSET(Scenarios!$A$8,0,$C$1)))</f>
        <v>0.06</v>
      </c>
      <c r="O219" s="175">
        <f ca="1">IF(N$219&lt;OFFSET(Scenarios!$A$8,0,$C$1),MIN(N$219+OFFSET(Scenarios!$A$14,0,$C$1),OFFSET(Scenarios!$A$8,0,$C$1)),MAX(N$219-OFFSET(Scenarios!$A$14,0,$C$1),OFFSET(Scenarios!$A$8,0,$C$1)))</f>
        <v>0.06</v>
      </c>
      <c r="P219" s="175">
        <f ca="1">IF(O$219&lt;OFFSET(Scenarios!$A$8,0,$C$1),MIN(O$219+OFFSET(Scenarios!$A$14,0,$C$1),OFFSET(Scenarios!$A$8,0,$C$1)),MAX(O$219-OFFSET(Scenarios!$A$14,0,$C$1),OFFSET(Scenarios!$A$8,0,$C$1)))</f>
        <v>0.06</v>
      </c>
      <c r="Q219" s="175">
        <f ca="1">IF(P$219&lt;OFFSET(Scenarios!$A$8,0,$C$1),MIN(P$219+OFFSET(Scenarios!$A$14,0,$C$1),OFFSET(Scenarios!$A$8,0,$C$1)),MAX(P$219-OFFSET(Scenarios!$A$14,0,$C$1),OFFSET(Scenarios!$A$8,0,$C$1)))</f>
        <v>0.06</v>
      </c>
      <c r="R219" s="175">
        <f ca="1">IF(Q$219&lt;OFFSET(Scenarios!$A$8,0,$C$1),MIN(Q$219+OFFSET(Scenarios!$A$14,0,$C$1),OFFSET(Scenarios!$A$8,0,$C$1)),MAX(Q$219-OFFSET(Scenarios!$A$14,0,$C$1),OFFSET(Scenarios!$A$8,0,$C$1)))</f>
        <v>0.06</v>
      </c>
      <c r="S219" s="175">
        <f ca="1">IF(R$219&lt;OFFSET(Scenarios!$A$8,0,$C$1),MIN(R$219+OFFSET(Scenarios!$A$14,0,$C$1),OFFSET(Scenarios!$A$8,0,$C$1)),MAX(R$219-OFFSET(Scenarios!$A$14,0,$C$1),OFFSET(Scenarios!$A$8,0,$C$1)))</f>
        <v>0.06</v>
      </c>
      <c r="T219" s="175">
        <f ca="1">IF(S$219&lt;OFFSET(Scenarios!$A$8,0,$C$1),MIN(S$219+OFFSET(Scenarios!$A$14,0,$C$1),OFFSET(Scenarios!$A$8,0,$C$1)),MAX(S$219-OFFSET(Scenarios!$A$14,0,$C$1),OFFSET(Scenarios!$A$8,0,$C$1)))</f>
        <v>0.06</v>
      </c>
      <c r="U219" s="54"/>
    </row>
    <row r="220" spans="1:21" x14ac:dyDescent="0.2">
      <c r="A220" s="48" t="s">
        <v>164</v>
      </c>
      <c r="D220" s="285"/>
      <c r="E220" s="285"/>
      <c r="F220" s="188"/>
      <c r="G220" s="188"/>
      <c r="H220" s="188"/>
      <c r="I220" s="188"/>
      <c r="J220" s="188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54"/>
    </row>
    <row r="221" spans="1:21" x14ac:dyDescent="0.2">
      <c r="A221" s="47" t="s">
        <v>270</v>
      </c>
      <c r="D221" s="94">
        <f>SUM(Popn!D$24:D$99,Popn!D$118:D$193)/1000000</f>
        <v>3.3398500000000002</v>
      </c>
      <c r="E221" s="94">
        <f>SUM(Popn!E$24:E$99,Popn!E$118:E$193)/1000000</f>
        <v>3.3793000000000002</v>
      </c>
      <c r="F221" s="180">
        <f>SUM(Popn!F$24:F$99,Popn!F$118:F$193)/1000000</f>
        <v>3.4188000000000001</v>
      </c>
      <c r="G221" s="180">
        <f>SUM(Popn!G$24:G$99,Popn!G$118:G$193)/1000000</f>
        <v>3.45933</v>
      </c>
      <c r="H221" s="180">
        <f>SUM(Popn!H$24:H$99,Popn!H$118:H$193)/1000000</f>
        <v>3.49865</v>
      </c>
      <c r="I221" s="180">
        <f>SUM(Popn!I$24:I$99,Popn!I$118:I$193)/1000000</f>
        <v>3.5358900000000002</v>
      </c>
      <c r="J221" s="180">
        <f>SUM(Popn!J$24:J$99,Popn!J$118:J$193)/1000000</f>
        <v>3.5729700000000002</v>
      </c>
      <c r="K221" s="99">
        <f>SUM(Popn!K$24:K$99,Popn!K$118:K$193)/1000000</f>
        <v>3.6087799999999999</v>
      </c>
      <c r="L221" s="99">
        <f>SUM(Popn!L$24:L$99,Popn!L$118:L$193)/1000000</f>
        <v>3.64608</v>
      </c>
      <c r="M221" s="99">
        <f>SUM(Popn!M$24:M$99,Popn!M$118:M$193)/1000000</f>
        <v>3.6820400000000002</v>
      </c>
      <c r="N221" s="99">
        <f>SUM(Popn!N$24:N$99,Popn!N$118:N$193)/1000000</f>
        <v>3.7154400000000001</v>
      </c>
      <c r="O221" s="99">
        <f>SUM(Popn!O$24:O$99,Popn!O$118:O$193)/1000000</f>
        <v>3.7489699999999999</v>
      </c>
      <c r="P221" s="99">
        <f>SUM(Popn!P$24:P$99,Popn!P$118:P$193)/1000000</f>
        <v>3.78362</v>
      </c>
      <c r="Q221" s="99">
        <f>SUM(Popn!Q$24:Q$99,Popn!Q$118:Q$193)/1000000</f>
        <v>3.8177400000000001</v>
      </c>
      <c r="R221" s="99">
        <f>SUM(Popn!R$24:R$99,Popn!R$118:R$193)/1000000</f>
        <v>3.8532299999999999</v>
      </c>
      <c r="S221" s="99">
        <f>SUM(Popn!S$24:S$99,Popn!S$118:S$193)/1000000</f>
        <v>3.89066</v>
      </c>
      <c r="T221" s="99">
        <f>SUM(Popn!T$24:T$99,Popn!T$118:T$193)/1000000</f>
        <v>3.9278599999999999</v>
      </c>
      <c r="U221" s="54"/>
    </row>
    <row r="222" spans="1:21" x14ac:dyDescent="0.2">
      <c r="A222" s="260" t="s">
        <v>172</v>
      </c>
      <c r="D222" s="174"/>
      <c r="E222" s="174">
        <f t="shared" ref="E222:T222" si="115">E$221/D$221-1</f>
        <v>1.1811907720406634E-2</v>
      </c>
      <c r="F222" s="178">
        <f t="shared" si="115"/>
        <v>1.16888112922795E-2</v>
      </c>
      <c r="G222" s="178">
        <f t="shared" si="115"/>
        <v>1.1855036855036749E-2</v>
      </c>
      <c r="H222" s="178">
        <f t="shared" si="115"/>
        <v>1.1366362850609768E-2</v>
      </c>
      <c r="I222" s="178">
        <f t="shared" si="115"/>
        <v>1.0644105583582197E-2</v>
      </c>
      <c r="J222" s="178">
        <f t="shared" si="115"/>
        <v>1.0486751567497787E-2</v>
      </c>
      <c r="K222" s="175">
        <f t="shared" si="115"/>
        <v>1.0022474300092066E-2</v>
      </c>
      <c r="L222" s="175">
        <f t="shared" si="115"/>
        <v>1.0335902992147039E-2</v>
      </c>
      <c r="M222" s="175">
        <f t="shared" si="115"/>
        <v>9.8626470071967454E-3</v>
      </c>
      <c r="N222" s="175">
        <f t="shared" si="115"/>
        <v>9.0710584349980028E-3</v>
      </c>
      <c r="O222" s="175">
        <f t="shared" si="115"/>
        <v>9.0245031544042842E-3</v>
      </c>
      <c r="P222" s="175">
        <f t="shared" si="115"/>
        <v>9.2425386172736435E-3</v>
      </c>
      <c r="Q222" s="175">
        <f t="shared" si="115"/>
        <v>9.017818914161646E-3</v>
      </c>
      <c r="R222" s="175">
        <f t="shared" si="115"/>
        <v>9.2960756887581208E-3</v>
      </c>
      <c r="S222" s="175">
        <f t="shared" si="115"/>
        <v>9.7139283146867594E-3</v>
      </c>
      <c r="T222" s="175">
        <f t="shared" si="115"/>
        <v>9.5613597692936203E-3</v>
      </c>
      <c r="U222" s="54"/>
    </row>
    <row r="223" spans="1:21" x14ac:dyDescent="0.2">
      <c r="A223" s="47" t="s">
        <v>271</v>
      </c>
      <c r="D223" s="94">
        <f>Data!C$207</f>
        <v>2.2168000000000001</v>
      </c>
      <c r="E223" s="94">
        <f>Data!D$207</f>
        <v>2.2395</v>
      </c>
      <c r="F223" s="180">
        <f>Data!E$207</f>
        <v>2.2664</v>
      </c>
      <c r="G223" s="180">
        <f>Data!F$207</f>
        <v>2.2530000000000001</v>
      </c>
      <c r="H223" s="180">
        <f>Data!G$207</f>
        <v>2.2458</v>
      </c>
      <c r="I223" s="180">
        <f>Data!H$207</f>
        <v>2.2711000000000001</v>
      </c>
      <c r="J223" s="180">
        <f>Data!I$207</f>
        <v>2.3178000000000001</v>
      </c>
      <c r="K223" s="99">
        <f>Popn!K$259</f>
        <v>2.3392216086824771</v>
      </c>
      <c r="L223" s="99">
        <f>Popn!L$259</f>
        <v>2.3612578798619479</v>
      </c>
      <c r="M223" s="99">
        <f>Popn!M$259</f>
        <v>2.382888764524083</v>
      </c>
      <c r="N223" s="99">
        <f>Popn!N$259</f>
        <v>2.4024981857666261</v>
      </c>
      <c r="O223" s="99">
        <f>Popn!O$259</f>
        <v>2.418770475312729</v>
      </c>
      <c r="P223" s="99">
        <f>Popn!P$259</f>
        <v>2.4344515825750874</v>
      </c>
      <c r="Q223" s="99">
        <f>Popn!Q$259</f>
        <v>2.4496691142264813</v>
      </c>
      <c r="R223" s="99">
        <f>Popn!R$259</f>
        <v>2.464218051329826</v>
      </c>
      <c r="S223" s="99">
        <f>Popn!S$259</f>
        <v>2.4787750709403045</v>
      </c>
      <c r="T223" s="99">
        <f>Popn!T$259</f>
        <v>2.4922581474423349</v>
      </c>
      <c r="U223" s="54"/>
    </row>
    <row r="224" spans="1:21" x14ac:dyDescent="0.2">
      <c r="A224" s="260" t="s">
        <v>172</v>
      </c>
      <c r="D224" s="174"/>
      <c r="E224" s="174">
        <f t="shared" ref="E224:T224" si="116">E$223/D$223-1</f>
        <v>1.023998556477812E-2</v>
      </c>
      <c r="F224" s="178">
        <f t="shared" si="116"/>
        <v>1.2011609734315698E-2</v>
      </c>
      <c r="G224" s="178">
        <f t="shared" si="116"/>
        <v>-5.9124602894458089E-3</v>
      </c>
      <c r="H224" s="178">
        <f t="shared" si="116"/>
        <v>-3.1957390146472031E-3</v>
      </c>
      <c r="I224" s="178">
        <f t="shared" si="116"/>
        <v>1.1265473327989994E-2</v>
      </c>
      <c r="J224" s="178">
        <f t="shared" si="116"/>
        <v>2.0562722909603259E-2</v>
      </c>
      <c r="K224" s="175">
        <f t="shared" si="116"/>
        <v>9.2422161888330301E-3</v>
      </c>
      <c r="L224" s="175">
        <f t="shared" si="116"/>
        <v>9.4203435440571859E-3</v>
      </c>
      <c r="M224" s="175">
        <f t="shared" si="116"/>
        <v>9.160746416820853E-3</v>
      </c>
      <c r="N224" s="175">
        <f t="shared" si="116"/>
        <v>8.2292642168126928E-3</v>
      </c>
      <c r="O224" s="175">
        <f t="shared" si="116"/>
        <v>6.7730704824280341E-3</v>
      </c>
      <c r="P224" s="175">
        <f t="shared" si="116"/>
        <v>6.4830902404375834E-3</v>
      </c>
      <c r="Q224" s="175">
        <f t="shared" si="116"/>
        <v>6.2509074981467183E-3</v>
      </c>
      <c r="R224" s="175">
        <f t="shared" si="116"/>
        <v>5.939143788380008E-3</v>
      </c>
      <c r="S224" s="175">
        <f t="shared" si="116"/>
        <v>5.907358564564813E-3</v>
      </c>
      <c r="T224" s="175">
        <f t="shared" si="116"/>
        <v>5.439411046245457E-3</v>
      </c>
      <c r="U224" s="54"/>
    </row>
    <row r="225" spans="1:21" x14ac:dyDescent="0.2">
      <c r="A225" s="47" t="s">
        <v>174</v>
      </c>
      <c r="D225" s="174">
        <f t="shared" ref="D225:T225" si="117">D$223/D$221</f>
        <v>0.66374238363998384</v>
      </c>
      <c r="E225" s="174">
        <f t="shared" si="117"/>
        <v>0.6627112123812624</v>
      </c>
      <c r="F225" s="178">
        <f t="shared" si="117"/>
        <v>0.66292266292266289</v>
      </c>
      <c r="G225" s="178">
        <f t="shared" si="117"/>
        <v>0.65128218470050558</v>
      </c>
      <c r="H225" s="178">
        <f t="shared" si="117"/>
        <v>0.64190473468337783</v>
      </c>
      <c r="I225" s="178">
        <f t="shared" si="117"/>
        <v>0.64229939279785286</v>
      </c>
      <c r="J225" s="178">
        <f t="shared" si="117"/>
        <v>0.64870401934525057</v>
      </c>
      <c r="K225" s="175">
        <f t="shared" si="117"/>
        <v>0.64820288537469095</v>
      </c>
      <c r="L225" s="175">
        <f t="shared" si="117"/>
        <v>0.64761548837709204</v>
      </c>
      <c r="M225" s="175">
        <f t="shared" si="117"/>
        <v>0.64716536608078212</v>
      </c>
      <c r="N225" s="175">
        <f t="shared" si="117"/>
        <v>0.64662548332542746</v>
      </c>
      <c r="O225" s="175">
        <f t="shared" si="117"/>
        <v>0.64518267025682496</v>
      </c>
      <c r="P225" s="175">
        <f t="shared" si="117"/>
        <v>0.64341862622966561</v>
      </c>
      <c r="Q225" s="175">
        <f t="shared" si="117"/>
        <v>0.64165425467069026</v>
      </c>
      <c r="R225" s="175">
        <f t="shared" si="117"/>
        <v>0.63952010425794104</v>
      </c>
      <c r="S225" s="175">
        <f t="shared" si="117"/>
        <v>0.63710914624775861</v>
      </c>
      <c r="T225" s="175">
        <f t="shared" si="117"/>
        <v>0.63450788659533053</v>
      </c>
      <c r="U225" s="54"/>
    </row>
    <row r="226" spans="1:21" x14ac:dyDescent="0.2">
      <c r="A226" s="47" t="s">
        <v>150</v>
      </c>
      <c r="D226" s="174">
        <f>Data!C$208</f>
        <v>3.73E-2</v>
      </c>
      <c r="E226" s="174">
        <f>Data!D$208</f>
        <v>3.6299999999999999E-2</v>
      </c>
      <c r="F226" s="178">
        <f ca="1">IF($F$1="Yes",OFFSET(ReadyReckoner!$A$37,0,F$260),Data!E$208)</f>
        <v>4.6699999999999998E-2</v>
      </c>
      <c r="G226" s="178">
        <f ca="1">IF($F$1="Yes",OFFSET(ReadyReckoner!$A$37,0,G$260),Data!F$208)</f>
        <v>6.2399999999999997E-2</v>
      </c>
      <c r="H226" s="178">
        <f ca="1">IF($F$1="Yes",OFFSET(ReadyReckoner!$A$37,0,H$260),Data!G$208)</f>
        <v>6.3E-2</v>
      </c>
      <c r="I226" s="178">
        <f ca="1">IF($F$1="Yes",OFFSET(ReadyReckoner!$A$37,0,I$260),Data!H$208)</f>
        <v>5.5100000000000003E-2</v>
      </c>
      <c r="J226" s="178">
        <f ca="1">IF($F$1="Yes",OFFSET(ReadyReckoner!$A$37,0,J$260),Data!I$208)</f>
        <v>4.6899999999999997E-2</v>
      </c>
      <c r="K226" s="175">
        <f ca="1">IF(J$226&lt;OFFSET(Scenarios!$A$9,0,$C$1),MIN(J$226+OFFSET(Scenarios!$A$15,0,$C$1),OFFSET(Scenarios!$A$9,0,$C$1)),MAX(J$226-OFFSET(Scenarios!$A$15,0,$C$1),OFFSET(Scenarios!$A$9,0,$C$1)))</f>
        <v>4.5899999999999996E-2</v>
      </c>
      <c r="L226" s="175">
        <f ca="1">IF(K$226&lt;OFFSET(Scenarios!$A$9,0,$C$1),MIN(K$226+OFFSET(Scenarios!$A$15,0,$C$1),OFFSET(Scenarios!$A$9,0,$C$1)),MAX(K$226-OFFSET(Scenarios!$A$15,0,$C$1),OFFSET(Scenarios!$A$9,0,$C$1)))</f>
        <v>4.4899999999999995E-2</v>
      </c>
      <c r="M226" s="175">
        <f ca="1">IF(L$226&lt;OFFSET(Scenarios!$A$9,0,$C$1),MIN(L$226+OFFSET(Scenarios!$A$15,0,$C$1),OFFSET(Scenarios!$A$9,0,$C$1)),MAX(L$226-OFFSET(Scenarios!$A$15,0,$C$1),OFFSET(Scenarios!$A$9,0,$C$1)))</f>
        <v>4.3899999999999995E-2</v>
      </c>
      <c r="N226" s="175">
        <f ca="1">IF(M$226&lt;OFFSET(Scenarios!$A$9,0,$C$1),MIN(M$226+OFFSET(Scenarios!$A$15,0,$C$1),OFFSET(Scenarios!$A$9,0,$C$1)),MAX(M$226-OFFSET(Scenarios!$A$15,0,$C$1),OFFSET(Scenarios!$A$9,0,$C$1)))</f>
        <v>4.2999999999999997E-2</v>
      </c>
      <c r="O226" s="175">
        <f ca="1">IF(N$226&lt;OFFSET(Scenarios!$A$9,0,$C$1),MIN(N$226+OFFSET(Scenarios!$A$15,0,$C$1),OFFSET(Scenarios!$A$9,0,$C$1)),MAX(N$226-OFFSET(Scenarios!$A$15,0,$C$1),OFFSET(Scenarios!$A$9,0,$C$1)))</f>
        <v>4.2999999999999997E-2</v>
      </c>
      <c r="P226" s="175">
        <f ca="1">IF(O$226&lt;OFFSET(Scenarios!$A$9,0,$C$1),MIN(O$226+OFFSET(Scenarios!$A$15,0,$C$1),OFFSET(Scenarios!$A$9,0,$C$1)),MAX(O$226-OFFSET(Scenarios!$A$15,0,$C$1),OFFSET(Scenarios!$A$9,0,$C$1)))</f>
        <v>4.2999999999999997E-2</v>
      </c>
      <c r="Q226" s="175">
        <f ca="1">IF(P$226&lt;OFFSET(Scenarios!$A$9,0,$C$1),MIN(P$226+OFFSET(Scenarios!$A$15,0,$C$1),OFFSET(Scenarios!$A$9,0,$C$1)),MAX(P$226-OFFSET(Scenarios!$A$15,0,$C$1),OFFSET(Scenarios!$A$9,0,$C$1)))</f>
        <v>4.2999999999999997E-2</v>
      </c>
      <c r="R226" s="175">
        <f ca="1">IF(Q$226&lt;OFFSET(Scenarios!$A$9,0,$C$1),MIN(Q$226+OFFSET(Scenarios!$A$15,0,$C$1),OFFSET(Scenarios!$A$9,0,$C$1)),MAX(Q$226-OFFSET(Scenarios!$A$15,0,$C$1),OFFSET(Scenarios!$A$9,0,$C$1)))</f>
        <v>4.2999999999999997E-2</v>
      </c>
      <c r="S226" s="175">
        <f ca="1">IF(R$226&lt;OFFSET(Scenarios!$A$9,0,$C$1),MIN(R$226+OFFSET(Scenarios!$A$15,0,$C$1),OFFSET(Scenarios!$A$9,0,$C$1)),MAX(R$226-OFFSET(Scenarios!$A$15,0,$C$1),OFFSET(Scenarios!$A$9,0,$C$1)))</f>
        <v>4.2999999999999997E-2</v>
      </c>
      <c r="T226" s="175">
        <f ca="1">IF(S$226&lt;OFFSET(Scenarios!$A$9,0,$C$1),MIN(S$226+OFFSET(Scenarios!$A$15,0,$C$1),OFFSET(Scenarios!$A$9,0,$C$1)),MAX(S$226-OFFSET(Scenarios!$A$15,0,$C$1),OFFSET(Scenarios!$A$9,0,$C$1)))</f>
        <v>4.2999999999999997E-2</v>
      </c>
      <c r="U226" s="54"/>
    </row>
    <row r="227" spans="1:21" x14ac:dyDescent="0.2">
      <c r="A227" s="47" t="s">
        <v>842</v>
      </c>
      <c r="D227" s="94">
        <f t="shared" ref="D227:T227" si="118">D$223*(1-D$226)</f>
        <v>2.1341133600000002</v>
      </c>
      <c r="E227" s="94">
        <f t="shared" si="118"/>
        <v>2.1582061500000003</v>
      </c>
      <c r="F227" s="180">
        <f t="shared" ca="1" si="118"/>
        <v>2.1605591199999998</v>
      </c>
      <c r="G227" s="180">
        <f t="shared" ca="1" si="118"/>
        <v>2.1124128</v>
      </c>
      <c r="H227" s="180">
        <f t="shared" ca="1" si="118"/>
        <v>2.1043145999999999</v>
      </c>
      <c r="I227" s="180">
        <f t="shared" ca="1" si="118"/>
        <v>2.1459623900000002</v>
      </c>
      <c r="J227" s="180">
        <f t="shared" ca="1" si="118"/>
        <v>2.2090951800000003</v>
      </c>
      <c r="K227" s="99">
        <f t="shared" ca="1" si="118"/>
        <v>2.2318513368439512</v>
      </c>
      <c r="L227" s="99">
        <f t="shared" ca="1" si="118"/>
        <v>2.2552374010561467</v>
      </c>
      <c r="M227" s="99">
        <f t="shared" ca="1" si="118"/>
        <v>2.2782799477614755</v>
      </c>
      <c r="N227" s="99">
        <f t="shared" ca="1" si="118"/>
        <v>2.2991907637786611</v>
      </c>
      <c r="O227" s="99">
        <f t="shared" ca="1" si="118"/>
        <v>2.3147633448742817</v>
      </c>
      <c r="P227" s="99">
        <f t="shared" ca="1" si="118"/>
        <v>2.3297701645243585</v>
      </c>
      <c r="Q227" s="99">
        <f t="shared" ca="1" si="118"/>
        <v>2.3443333423147426</v>
      </c>
      <c r="R227" s="99">
        <f t="shared" ca="1" si="118"/>
        <v>2.3582566751226435</v>
      </c>
      <c r="S227" s="99">
        <f t="shared" ca="1" si="118"/>
        <v>2.3721877428898712</v>
      </c>
      <c r="T227" s="99">
        <f t="shared" ca="1" si="118"/>
        <v>2.3850910471023146</v>
      </c>
      <c r="U227" s="54"/>
    </row>
    <row r="228" spans="1:21" x14ac:dyDescent="0.2">
      <c r="A228" s="260" t="s">
        <v>172</v>
      </c>
      <c r="D228" s="174"/>
      <c r="E228" s="174">
        <f t="shared" ref="E228:T228" si="119">E$227/D$227-1</f>
        <v>1.1289367496392089E-2</v>
      </c>
      <c r="F228" s="178">
        <f t="shared" ca="1" si="119"/>
        <v>1.0902433949599999E-3</v>
      </c>
      <c r="G228" s="178">
        <f t="shared" ca="1" si="119"/>
        <v>-2.2284194657908651E-2</v>
      </c>
      <c r="H228" s="178">
        <f t="shared" ca="1" si="119"/>
        <v>-3.8336257004313312E-3</v>
      </c>
      <c r="I228" s="178">
        <f t="shared" ca="1" si="119"/>
        <v>1.9791617660211314E-2</v>
      </c>
      <c r="J228" s="178">
        <f t="shared" ca="1" si="119"/>
        <v>2.9419336654823658E-2</v>
      </c>
      <c r="K228" s="175">
        <f t="shared" ca="1" si="119"/>
        <v>1.030112104266645E-2</v>
      </c>
      <c r="L228" s="175">
        <f t="shared" ca="1" si="119"/>
        <v>1.0478325247803344E-2</v>
      </c>
      <c r="M228" s="175">
        <f t="shared" ca="1" si="119"/>
        <v>1.0217348601321508E-2</v>
      </c>
      <c r="N228" s="175">
        <f t="shared" ca="1" si="119"/>
        <v>9.1783347510614455E-3</v>
      </c>
      <c r="O228" s="175">
        <f t="shared" ca="1" si="119"/>
        <v>6.7730704824280341E-3</v>
      </c>
      <c r="P228" s="175">
        <f t="shared" ca="1" si="119"/>
        <v>6.4830902404373614E-3</v>
      </c>
      <c r="Q228" s="175">
        <f t="shared" ca="1" si="119"/>
        <v>6.2509074981467183E-3</v>
      </c>
      <c r="R228" s="175">
        <f t="shared" ca="1" si="119"/>
        <v>5.939143788380008E-3</v>
      </c>
      <c r="S228" s="175">
        <f t="shared" ca="1" si="119"/>
        <v>5.907358564564813E-3</v>
      </c>
      <c r="T228" s="175">
        <f t="shared" ca="1" si="119"/>
        <v>5.439411046245457E-3</v>
      </c>
      <c r="U228" s="54"/>
    </row>
    <row r="229" spans="1:21" x14ac:dyDescent="0.2">
      <c r="A229" s="47" t="s">
        <v>151</v>
      </c>
      <c r="D229" s="286">
        <f>Data!C$209</f>
        <v>38.1</v>
      </c>
      <c r="E229" s="286">
        <f>Data!D$209</f>
        <v>38</v>
      </c>
      <c r="F229" s="189">
        <f>Data!E$209</f>
        <v>37.700000000000003</v>
      </c>
      <c r="G229" s="189">
        <f>Data!F$209</f>
        <v>37.799999999999997</v>
      </c>
      <c r="H229" s="189">
        <f>Data!G$209</f>
        <v>37.799999999999997</v>
      </c>
      <c r="I229" s="189">
        <f>Data!H$209</f>
        <v>37.799999999999997</v>
      </c>
      <c r="J229" s="189">
        <f>Data!I$209</f>
        <v>37.799999999999997</v>
      </c>
      <c r="K229" s="223">
        <f>J$229</f>
        <v>37.799999999999997</v>
      </c>
      <c r="L229" s="223">
        <f t="shared" ref="L229:T229" si="120">K$229</f>
        <v>37.799999999999997</v>
      </c>
      <c r="M229" s="223">
        <f t="shared" si="120"/>
        <v>37.799999999999997</v>
      </c>
      <c r="N229" s="223">
        <f t="shared" si="120"/>
        <v>37.799999999999997</v>
      </c>
      <c r="O229" s="223">
        <f t="shared" si="120"/>
        <v>37.799999999999997</v>
      </c>
      <c r="P229" s="223">
        <f t="shared" si="120"/>
        <v>37.799999999999997</v>
      </c>
      <c r="Q229" s="223">
        <f t="shared" si="120"/>
        <v>37.799999999999997</v>
      </c>
      <c r="R229" s="223">
        <f t="shared" si="120"/>
        <v>37.799999999999997</v>
      </c>
      <c r="S229" s="223">
        <f t="shared" si="120"/>
        <v>37.799999999999997</v>
      </c>
      <c r="T229" s="223">
        <f t="shared" si="120"/>
        <v>37.799999999999997</v>
      </c>
      <c r="U229" s="54"/>
    </row>
    <row r="230" spans="1:21" x14ac:dyDescent="0.2">
      <c r="A230" s="47" t="s">
        <v>275</v>
      </c>
      <c r="D230" s="174">
        <f>Data!C$211</f>
        <v>4.7199999999999999E-2</v>
      </c>
      <c r="E230" s="174">
        <f>Data!D$211</f>
        <v>4.5100000000000001E-2</v>
      </c>
      <c r="F230" s="178">
        <f ca="1">IF($F$1="Yes",OFFSET(ReadyReckoner!$A$38,0,F$260),Data!E$211)</f>
        <v>5.21E-2</v>
      </c>
      <c r="G230" s="178">
        <f ca="1">IF($F$1="Yes",OFFSET(ReadyReckoner!$A$38,0,G$260),Data!F$211)</f>
        <v>4.1200000000000001E-2</v>
      </c>
      <c r="H230" s="178">
        <f ca="1">IF($F$1="Yes",OFFSET(ReadyReckoner!$A$38,0,H$260),Data!G$211)</f>
        <v>3.4500000000000003E-2</v>
      </c>
      <c r="I230" s="178">
        <f ca="1">IF($F$1="Yes",OFFSET(ReadyReckoner!$A$38,0,I$260),Data!H$211)</f>
        <v>2.9399999999999999E-2</v>
      </c>
      <c r="J230" s="178">
        <f ca="1">IF($F$1="Yes",OFFSET(ReadyReckoner!$A$38,0,J$260),Data!I$211)</f>
        <v>2.9499999999999998E-2</v>
      </c>
      <c r="K230" s="175">
        <f t="shared" ref="K230:T230" ca="1" si="121">(1+K$218)*(1+K$231)-1</f>
        <v>3.5299999999999887E-2</v>
      </c>
      <c r="L230" s="175">
        <f t="shared" ca="1" si="121"/>
        <v>3.5299999999999887E-2</v>
      </c>
      <c r="M230" s="175">
        <f t="shared" ca="1" si="121"/>
        <v>3.5299999999999887E-2</v>
      </c>
      <c r="N230" s="175">
        <f t="shared" ca="1" si="121"/>
        <v>3.5299999999999887E-2</v>
      </c>
      <c r="O230" s="175">
        <f t="shared" ca="1" si="121"/>
        <v>3.5299999999999887E-2</v>
      </c>
      <c r="P230" s="175">
        <f t="shared" ca="1" si="121"/>
        <v>3.5299999999999887E-2</v>
      </c>
      <c r="Q230" s="175">
        <f t="shared" ca="1" si="121"/>
        <v>3.5299999999999887E-2</v>
      </c>
      <c r="R230" s="175">
        <f t="shared" ca="1" si="121"/>
        <v>3.5299999999999887E-2</v>
      </c>
      <c r="S230" s="175">
        <f t="shared" ca="1" si="121"/>
        <v>3.5299999999999887E-2</v>
      </c>
      <c r="T230" s="175">
        <f t="shared" ca="1" si="121"/>
        <v>3.5299999999999887E-2</v>
      </c>
      <c r="U230" s="54"/>
    </row>
    <row r="231" spans="1:21" x14ac:dyDescent="0.2">
      <c r="A231" s="47" t="s">
        <v>394</v>
      </c>
      <c r="B231" s="174"/>
      <c r="D231" s="174">
        <f>Data!C$210</f>
        <v>1.6E-2</v>
      </c>
      <c r="E231" s="174">
        <f>Data!D$210</f>
        <v>2.6499999999999999E-2</v>
      </c>
      <c r="F231" s="178">
        <f>Data!E$210</f>
        <v>5.4000000000000003E-3</v>
      </c>
      <c r="G231" s="178">
        <f>Data!F$210</f>
        <v>3.5299999999999998E-2</v>
      </c>
      <c r="H231" s="178">
        <f>Data!G$210</f>
        <v>3.5999999999999997E-2</v>
      </c>
      <c r="I231" s="178">
        <f>Data!H$210</f>
        <v>1.9199999999999998E-2</v>
      </c>
      <c r="J231" s="178">
        <f>Data!I$210</f>
        <v>6.8999999999999999E-3</v>
      </c>
      <c r="K231" s="175">
        <f ca="1">OFFSET(Scenarios!$A$6,0,$C$1)</f>
        <v>1.4999999999999999E-2</v>
      </c>
      <c r="L231" s="175">
        <f ca="1">OFFSET(Scenarios!$A$6,0,$C$1)</f>
        <v>1.4999999999999999E-2</v>
      </c>
      <c r="M231" s="175">
        <f ca="1">OFFSET(Scenarios!$A$6,0,$C$1)</f>
        <v>1.4999999999999999E-2</v>
      </c>
      <c r="N231" s="175">
        <f ca="1">OFFSET(Scenarios!$A$6,0,$C$1)</f>
        <v>1.4999999999999999E-2</v>
      </c>
      <c r="O231" s="175">
        <f ca="1">OFFSET(Scenarios!$A$6,0,$C$1)</f>
        <v>1.4999999999999999E-2</v>
      </c>
      <c r="P231" s="175">
        <f ca="1">OFFSET(Scenarios!$A$6,0,$C$1)</f>
        <v>1.4999999999999999E-2</v>
      </c>
      <c r="Q231" s="175">
        <f ca="1">OFFSET(Scenarios!$A$6,0,$C$1)</f>
        <v>1.4999999999999999E-2</v>
      </c>
      <c r="R231" s="175">
        <f ca="1">OFFSET(Scenarios!$A$6,0,$C$1)</f>
        <v>1.4999999999999999E-2</v>
      </c>
      <c r="S231" s="175">
        <f ca="1">OFFSET(Scenarios!$A$6,0,$C$1)</f>
        <v>1.4999999999999999E-2</v>
      </c>
      <c r="T231" s="175">
        <f ca="1">OFFSET(Scenarios!$A$6,0,$C$1)</f>
        <v>1.4999999999999999E-2</v>
      </c>
      <c r="U231" s="54"/>
    </row>
    <row r="232" spans="1:21" x14ac:dyDescent="0.2">
      <c r="D232" s="97"/>
      <c r="E232" s="97"/>
      <c r="T232" s="99"/>
    </row>
    <row r="233" spans="1:21" ht="15.75" x14ac:dyDescent="0.25">
      <c r="A233" s="249" t="s">
        <v>395</v>
      </c>
      <c r="D233" s="97"/>
      <c r="E233" s="97"/>
      <c r="T233" s="99"/>
    </row>
    <row r="234" spans="1:21" x14ac:dyDescent="0.2">
      <c r="A234" s="43" t="s">
        <v>352</v>
      </c>
      <c r="D234" s="97"/>
      <c r="E234" s="97"/>
      <c r="T234" s="99"/>
    </row>
    <row r="235" spans="1:21" x14ac:dyDescent="0.2">
      <c r="A235" s="44" t="s">
        <v>250</v>
      </c>
      <c r="D235" s="97"/>
      <c r="E235" s="95">
        <f>Popn!E$201</f>
        <v>2.1017258073702694E-2</v>
      </c>
      <c r="F235" s="184">
        <f>Popn!F$201</f>
        <v>2.7055673323663987E-2</v>
      </c>
      <c r="G235" s="184">
        <f>Popn!G$201</f>
        <v>2.8497456230876406E-2</v>
      </c>
      <c r="H235" s="184">
        <f>Popn!H$201</f>
        <v>3.0647631453870172E-2</v>
      </c>
      <c r="I235" s="184">
        <f>Popn!I$201</f>
        <v>4.12823666051787E-2</v>
      </c>
      <c r="J235" s="184">
        <f>Popn!J$201</f>
        <v>3.8071024358238281E-2</v>
      </c>
      <c r="K235" s="224">
        <f>Popn!K$201</f>
        <v>3.5063047119426205E-2</v>
      </c>
      <c r="L235" s="224">
        <f>Popn!L$201</f>
        <v>3.4623311197618412E-2</v>
      </c>
      <c r="M235" s="224">
        <f>Popn!M$201</f>
        <v>3.2313753264574308E-2</v>
      </c>
      <c r="N235" s="224">
        <f>Popn!N$201</f>
        <v>3.1802524191358206E-2</v>
      </c>
      <c r="O235" s="224">
        <f>Popn!O$201</f>
        <v>3.0836150052640399E-2</v>
      </c>
      <c r="P235" s="224">
        <f>Popn!P$201</f>
        <v>3.1351627381944303E-2</v>
      </c>
      <c r="Q235" s="224">
        <f>Popn!Q$201</f>
        <v>3.1336729774453786E-2</v>
      </c>
      <c r="R235" s="224">
        <f>Popn!R$201</f>
        <v>3.2216494845360932E-2</v>
      </c>
      <c r="S235" s="224">
        <f>Popn!S$201</f>
        <v>3.1798487185136226E-2</v>
      </c>
      <c r="T235" s="224">
        <f>Popn!T$201</f>
        <v>3.1008303677342752E-2</v>
      </c>
    </row>
    <row r="236" spans="1:21" x14ac:dyDescent="0.2">
      <c r="A236" s="44" t="s">
        <v>314</v>
      </c>
      <c r="D236" s="97"/>
      <c r="E236" s="95">
        <f t="shared" ref="E236:T236" si="122">E$218</f>
        <v>4.0196078431372628E-2</v>
      </c>
      <c r="F236" s="184">
        <f t="shared" ca="1" si="122"/>
        <v>2.3213006597549324E-2</v>
      </c>
      <c r="G236" s="184">
        <f t="shared" ca="1" si="122"/>
        <v>2.277020971252619E-2</v>
      </c>
      <c r="H236" s="184">
        <f t="shared" ca="1" si="122"/>
        <v>1.9099400278651313E-2</v>
      </c>
      <c r="I236" s="184">
        <f t="shared" ca="1" si="122"/>
        <v>1.91073177111869E-2</v>
      </c>
      <c r="J236" s="184">
        <f t="shared" ca="1" si="122"/>
        <v>1.8548757042500919E-2</v>
      </c>
      <c r="K236" s="224">
        <f t="shared" ca="1" si="122"/>
        <v>0.02</v>
      </c>
      <c r="L236" s="224">
        <f t="shared" ca="1" si="122"/>
        <v>0.02</v>
      </c>
      <c r="M236" s="224">
        <f t="shared" ca="1" si="122"/>
        <v>0.02</v>
      </c>
      <c r="N236" s="224">
        <f t="shared" ca="1" si="122"/>
        <v>0.02</v>
      </c>
      <c r="O236" s="224">
        <f t="shared" ca="1" si="122"/>
        <v>0.02</v>
      </c>
      <c r="P236" s="224">
        <f t="shared" ca="1" si="122"/>
        <v>0.02</v>
      </c>
      <c r="Q236" s="224">
        <f t="shared" ca="1" si="122"/>
        <v>0.02</v>
      </c>
      <c r="R236" s="224">
        <f t="shared" ca="1" si="122"/>
        <v>0.02</v>
      </c>
      <c r="S236" s="224">
        <f t="shared" ca="1" si="122"/>
        <v>0.02</v>
      </c>
      <c r="T236" s="224">
        <f t="shared" ca="1" si="122"/>
        <v>0.02</v>
      </c>
    </row>
    <row r="237" spans="1:21" x14ac:dyDescent="0.2">
      <c r="A237" s="44" t="s">
        <v>251</v>
      </c>
      <c r="D237" s="97"/>
      <c r="E237" s="374">
        <f t="shared" ref="E237:T237" si="123">E$73/D$73 -(1+E$235+E$236)</f>
        <v>1.7788131923705874E-2</v>
      </c>
      <c r="F237" s="225">
        <f t="shared" ca="1" si="123"/>
        <v>4.7122672753028283E-3</v>
      </c>
      <c r="G237" s="225">
        <f t="shared" ca="1" si="123"/>
        <v>2.0326761301179497E-2</v>
      </c>
      <c r="H237" s="225">
        <f t="shared" ca="1" si="123"/>
        <v>2.3444252726368742E-2</v>
      </c>
      <c r="I237" s="225">
        <f t="shared" ca="1" si="123"/>
        <v>1.925137008632638E-2</v>
      </c>
      <c r="J237" s="225">
        <f t="shared" ca="1" si="123"/>
        <v>9.0425562615983335E-3</v>
      </c>
      <c r="K237" s="226">
        <f t="shared" ca="1" si="123"/>
        <v>1.3213180860967011E-2</v>
      </c>
      <c r="L237" s="226">
        <f t="shared" ca="1" si="123"/>
        <v>1.3160062709861364E-2</v>
      </c>
      <c r="M237" s="226">
        <f t="shared" ca="1" si="123"/>
        <v>1.3034857600878746E-2</v>
      </c>
      <c r="N237" s="226">
        <f t="shared" ca="1" si="123"/>
        <v>1.2966393725068803E-2</v>
      </c>
      <c r="O237" s="226">
        <f t="shared" ca="1" si="123"/>
        <v>1.288249412246012E-2</v>
      </c>
      <c r="P237" s="226">
        <f t="shared" ca="1" si="123"/>
        <v>1.284489491138685E-2</v>
      </c>
      <c r="Q237" s="226">
        <f t="shared" ca="1" si="123"/>
        <v>1.2789362657928516E-2</v>
      </c>
      <c r="R237" s="226">
        <f t="shared" ca="1" si="123"/>
        <v>1.6437242268040997E-2</v>
      </c>
      <c r="S237" s="226">
        <f t="shared" ca="1" si="123"/>
        <v>1.6422486597635233E-2</v>
      </c>
      <c r="T237" s="226">
        <f t="shared" ca="1" si="123"/>
        <v>1.6394593119809953E-2</v>
      </c>
    </row>
    <row r="238" spans="1:21" x14ac:dyDescent="0.2">
      <c r="A238" s="108" t="s">
        <v>252</v>
      </c>
      <c r="D238" s="97"/>
      <c r="E238" s="375">
        <f t="shared" ref="E238:T238" si="124">E$73/D$73 -1</f>
        <v>7.9001468428781196E-2</v>
      </c>
      <c r="F238" s="177">
        <f t="shared" ca="1" si="124"/>
        <v>5.4980947196516139E-2</v>
      </c>
      <c r="G238" s="177">
        <f t="shared" ca="1" si="124"/>
        <v>7.1594427244582093E-2</v>
      </c>
      <c r="H238" s="177">
        <f t="shared" ca="1" si="124"/>
        <v>7.3191284458890227E-2</v>
      </c>
      <c r="I238" s="177">
        <f t="shared" ca="1" si="124"/>
        <v>7.964105440269198E-2</v>
      </c>
      <c r="J238" s="177">
        <f t="shared" ca="1" si="124"/>
        <v>6.5662337662337533E-2</v>
      </c>
      <c r="K238" s="176">
        <f t="shared" ca="1" si="124"/>
        <v>6.8276227980393234E-2</v>
      </c>
      <c r="L238" s="176">
        <f t="shared" ca="1" si="124"/>
        <v>6.7783373907479794E-2</v>
      </c>
      <c r="M238" s="176">
        <f t="shared" ca="1" si="124"/>
        <v>6.5348610865453072E-2</v>
      </c>
      <c r="N238" s="176">
        <f t="shared" ca="1" si="124"/>
        <v>6.4768917916427027E-2</v>
      </c>
      <c r="O238" s="176">
        <f t="shared" ca="1" si="124"/>
        <v>6.3718644175100536E-2</v>
      </c>
      <c r="P238" s="176">
        <f t="shared" ca="1" si="124"/>
        <v>6.4196522293331171E-2</v>
      </c>
      <c r="Q238" s="176">
        <f t="shared" ca="1" si="124"/>
        <v>6.412609243238232E-2</v>
      </c>
      <c r="R238" s="176">
        <f t="shared" ca="1" si="124"/>
        <v>6.8653737113401947E-2</v>
      </c>
      <c r="S238" s="176">
        <f t="shared" ca="1" si="124"/>
        <v>6.8220973782771477E-2</v>
      </c>
      <c r="T238" s="176">
        <f t="shared" ca="1" si="124"/>
        <v>6.7402896797152723E-2</v>
      </c>
    </row>
    <row r="239" spans="1:21" x14ac:dyDescent="0.2">
      <c r="A239" s="43" t="s">
        <v>253</v>
      </c>
      <c r="D239" s="97"/>
      <c r="E239" s="97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21" x14ac:dyDescent="0.2">
      <c r="A240" s="44" t="s">
        <v>250</v>
      </c>
      <c r="D240" s="97"/>
      <c r="E240" s="95">
        <f>SUM(D$74*(E$86/D$86-1),D$75*(SUMPRODUCT(Popn!E$204:E$214,Tracks!$H$91:$H$101)+SUMPRODUCT(Popn!E$215:E$225,Tracks!$I$91:$I$101)),D$76*AVERAGE(Popn!E$197,Popn!E$202))/(D$77-D$73)</f>
        <v>-1.0968259568539349E-2</v>
      </c>
      <c r="F240" s="184">
        <f ca="1">SUM(E$74*(F$86/E$86-1),E$75*(SUMPRODUCT(Popn!F$204:F$214,Tracks!$H$91:$H$101)+SUMPRODUCT(Popn!F$215:F$225,Tracks!$I$91:$I$101)),E$76*AVERAGE(Popn!F$197,Popn!F$202))/(E$77-E$73)</f>
        <v>1.4828751408045359E-2</v>
      </c>
      <c r="G240" s="184">
        <f ca="1">SUM(F$74*(G$86/F$86-1),F$75*(SUMPRODUCT(Popn!G$204:G$214,Tracks!$H$91:$H$101)+SUMPRODUCT(Popn!G$215:G$225,Tracks!$I$91:$I$101)),F$76*AVERAGE(Popn!G$197,Popn!G$202))/(F$77-F$73)</f>
        <v>2.2826595907253968E-2</v>
      </c>
      <c r="H240" s="184">
        <f ca="1">SUM(G$74*(H$86/G$86-1),G$75*(SUMPRODUCT(Popn!H$204:H$214,Tracks!$H$91:$H$101)+SUMPRODUCT(Popn!H$215:H$225,Tracks!$I$91:$I$101)),G$76*AVERAGE(Popn!H$197,Popn!H$202))/(G$77-G$73)</f>
        <v>7.9013871239890909E-3</v>
      </c>
      <c r="I240" s="184">
        <f ca="1">SUM(H$74*(I$86/H$86-1),H$75*(SUMPRODUCT(Popn!I$204:I$214,Tracks!$H$91:$H$101)+SUMPRODUCT(Popn!I$215:I$225,Tracks!$I$91:$I$101)),H$76*AVERAGE(Popn!I$197,Popn!I$202))/(H$77-H$73)</f>
        <v>-2.4386035723690624E-3</v>
      </c>
      <c r="J240" s="184">
        <f ca="1">SUM(I$74*(J$86/I$86-1),I$75*(SUMPRODUCT(Popn!J$204:J$214,Tracks!$H$91:$H$101)+SUMPRODUCT(Popn!J$215:J$225,Tracks!$I$91:$I$101)),I$76*AVERAGE(Popn!J$197,Popn!J$202))/(I$77-I$73)</f>
        <v>-3.5797611545508598E-3</v>
      </c>
      <c r="K240" s="224">
        <f ca="1">SUM(J$74*(K$86/J$86-1),J$75*(SUMPRODUCT(Popn!K$204:K$214,Tracks!$H$91:$H$101)+SUMPRODUCT(Popn!K$215:K$225,Tracks!$I$91:$I$101)),J$76*AVERAGE(Popn!K$197,Popn!K$202))/(J$77-J$73)</f>
        <v>3.5963051183841611E-3</v>
      </c>
      <c r="L240" s="224">
        <f ca="1">SUM(K$74*(L$86/K$86-1),K$75*(SUMPRODUCT(Popn!L$204:L$214,Tracks!$H$91:$H$101)+SUMPRODUCT(Popn!L$215:L$225,Tracks!$I$91:$I$101)),K$76*AVERAGE(Popn!L$197,Popn!L$202))/(K$77-K$73)</f>
        <v>3.399750373100632E-3</v>
      </c>
      <c r="M240" s="224">
        <f ca="1">SUM(L$74*(M$86/L$86-1),L$75*(SUMPRODUCT(Popn!M$204:M$214,Tracks!$H$91:$H$101)+SUMPRODUCT(Popn!M$215:M$225,Tracks!$I$91:$I$101)),L$76*AVERAGE(Popn!M$197,Popn!M$202))/(L$77-L$73)</f>
        <v>3.5736471909377501E-3</v>
      </c>
      <c r="N240" s="224">
        <f ca="1">SUM(M$74*(N$86/M$86-1),M$75*(SUMPRODUCT(Popn!N$204:N$214,Tracks!$H$91:$H$101)+SUMPRODUCT(Popn!N$215:N$225,Tracks!$I$91:$I$101)),M$76*AVERAGE(Popn!N$197,Popn!N$202))/(M$77-M$73)</f>
        <v>3.7378021676178195E-3</v>
      </c>
      <c r="O240" s="224">
        <f ca="1">SUM(N$74*(O$86/N$86-1),N$75*(SUMPRODUCT(Popn!O$204:O$214,Tracks!$H$91:$H$101)+SUMPRODUCT(Popn!O$215:O$225,Tracks!$I$91:$I$101)),N$76*AVERAGE(Popn!O$197,Popn!O$202))/(N$77-N$73)</f>
        <v>4.7643165323413813E-3</v>
      </c>
      <c r="P240" s="224">
        <f ca="1">SUM(O$74*(P$86/O$86-1),O$75*(SUMPRODUCT(Popn!P$204:P$214,Tracks!$H$91:$H$101)+SUMPRODUCT(Popn!P$215:P$225,Tracks!$I$91:$I$101)),O$76*AVERAGE(Popn!P$197,Popn!P$202))/(O$77-O$73)</f>
        <v>4.7024326405649625E-3</v>
      </c>
      <c r="Q240" s="224">
        <f ca="1">SUM(P$74*(Q$86/P$86-1),P$75*(SUMPRODUCT(Popn!Q$204:Q$214,Tracks!$H$91:$H$101)+SUMPRODUCT(Popn!Q$215:Q$225,Tracks!$I$91:$I$101)),P$76*AVERAGE(Popn!Q$197,Popn!Q$202))/(P$77-P$73)</f>
        <v>4.0347644979651098E-3</v>
      </c>
      <c r="R240" s="224">
        <f ca="1">SUM(Q$74*(R$86/Q$86-1),Q$75*(SUMPRODUCT(Popn!R$204:R$214,Tracks!$H$91:$H$101)+SUMPRODUCT(Popn!R$215:R$225,Tracks!$I$91:$I$101)),Q$76*AVERAGE(Popn!R$197,Popn!R$202))/(Q$77-Q$73)</f>
        <v>4.0921225137020524E-3</v>
      </c>
      <c r="S240" s="224">
        <f ca="1">SUM(R$74*(S$86/R$86-1),R$75*(SUMPRODUCT(Popn!S$204:S$214,Tracks!$H$91:$H$101)+SUMPRODUCT(Popn!S$215:S$225,Tracks!$I$91:$I$101)),R$76*AVERAGE(Popn!S$197,Popn!S$202))/(R$77-R$73)</f>
        <v>4.5417190196854465E-3</v>
      </c>
      <c r="T240" s="224">
        <f ca="1">SUM(S$74*(T$86/S$86-1),S$75*(SUMPRODUCT(Popn!T$204:T$214,Tracks!$H$91:$H$101)+SUMPRODUCT(Popn!T$215:T$225,Tracks!$I$91:$I$101)),S$76*AVERAGE(Popn!T$197,Popn!T$202))/(S$77-S$73)</f>
        <v>4.2489438718986278E-3</v>
      </c>
    </row>
    <row r="241" spans="1:20" x14ac:dyDescent="0.2">
      <c r="A241" s="44" t="s">
        <v>314</v>
      </c>
      <c r="D241" s="97"/>
      <c r="E241" s="95">
        <f t="shared" ref="E241:T241" si="125">E$218</f>
        <v>4.0196078431372628E-2</v>
      </c>
      <c r="F241" s="184">
        <f t="shared" ca="1" si="125"/>
        <v>2.3213006597549324E-2</v>
      </c>
      <c r="G241" s="184">
        <f t="shared" ca="1" si="125"/>
        <v>2.277020971252619E-2</v>
      </c>
      <c r="H241" s="184">
        <f t="shared" ca="1" si="125"/>
        <v>1.9099400278651313E-2</v>
      </c>
      <c r="I241" s="184">
        <f t="shared" ca="1" si="125"/>
        <v>1.91073177111869E-2</v>
      </c>
      <c r="J241" s="184">
        <f t="shared" ca="1" si="125"/>
        <v>1.8548757042500919E-2</v>
      </c>
      <c r="K241" s="224">
        <f t="shared" ca="1" si="125"/>
        <v>0.02</v>
      </c>
      <c r="L241" s="224">
        <f t="shared" ca="1" si="125"/>
        <v>0.02</v>
      </c>
      <c r="M241" s="224">
        <f t="shared" ca="1" si="125"/>
        <v>0.02</v>
      </c>
      <c r="N241" s="224">
        <f t="shared" ca="1" si="125"/>
        <v>0.02</v>
      </c>
      <c r="O241" s="224">
        <f t="shared" ca="1" si="125"/>
        <v>0.02</v>
      </c>
      <c r="P241" s="224">
        <f t="shared" ca="1" si="125"/>
        <v>0.02</v>
      </c>
      <c r="Q241" s="224">
        <f t="shared" ca="1" si="125"/>
        <v>0.02</v>
      </c>
      <c r="R241" s="224">
        <f t="shared" ca="1" si="125"/>
        <v>0.02</v>
      </c>
      <c r="S241" s="224">
        <f t="shared" ca="1" si="125"/>
        <v>0.02</v>
      </c>
      <c r="T241" s="224">
        <f t="shared" ca="1" si="125"/>
        <v>0.02</v>
      </c>
    </row>
    <row r="242" spans="1:20" x14ac:dyDescent="0.2">
      <c r="A242" s="44" t="s">
        <v>259</v>
      </c>
      <c r="D242" s="97"/>
      <c r="E242" s="374">
        <f t="shared" ref="E242:T242" si="126">(E$77-E$73)/(D$77-D$73) -(1+E$240+E$241)</f>
        <v>2.8113012629433998E-2</v>
      </c>
      <c r="F242" s="225">
        <f t="shared" ca="1" si="126"/>
        <v>5.0475670050250887E-2</v>
      </c>
      <c r="G242" s="225">
        <f t="shared" ca="1" si="126"/>
        <v>1.6940067002617631E-3</v>
      </c>
      <c r="H242" s="225">
        <f t="shared" ca="1" si="126"/>
        <v>-3.8399109550852906E-3</v>
      </c>
      <c r="I242" s="225">
        <f t="shared" ca="1" si="126"/>
        <v>-1.4419410747352757E-3</v>
      </c>
      <c r="J242" s="225">
        <f t="shared" ca="1" si="126"/>
        <v>-1.4945011815012954E-3</v>
      </c>
      <c r="K242" s="226">
        <f t="shared" ca="1" si="126"/>
        <v>7.192610236761432E-5</v>
      </c>
      <c r="L242" s="226">
        <f t="shared" ca="1" si="126"/>
        <v>6.7995007462018364E-5</v>
      </c>
      <c r="M242" s="226">
        <f t="shared" ca="1" si="126"/>
        <v>7.147294381848468E-5</v>
      </c>
      <c r="N242" s="226">
        <f t="shared" ca="1" si="126"/>
        <v>7.4756043352497414E-5</v>
      </c>
      <c r="O242" s="226">
        <f t="shared" ca="1" si="126"/>
        <v>9.5286330646704442E-5</v>
      </c>
      <c r="P242" s="226">
        <f t="shared" ca="1" si="126"/>
        <v>9.4048652811373756E-5</v>
      </c>
      <c r="Q242" s="226">
        <f t="shared" ca="1" si="126"/>
        <v>8.06952899592428E-5</v>
      </c>
      <c r="R242" s="226">
        <f t="shared" ca="1" si="126"/>
        <v>8.1842450274427492E-5</v>
      </c>
      <c r="S242" s="226">
        <f t="shared" ca="1" si="126"/>
        <v>9.0834380393145508E-5</v>
      </c>
      <c r="T242" s="226">
        <f t="shared" ca="1" si="126"/>
        <v>8.4978877438413036E-5</v>
      </c>
    </row>
    <row r="243" spans="1:20" x14ac:dyDescent="0.2">
      <c r="A243" s="108" t="s">
        <v>252</v>
      </c>
      <c r="D243" s="97"/>
      <c r="E243" s="375">
        <f t="shared" ref="E243:T243" si="127">(E$77-E$73)/(D$77-D$73) -1</f>
        <v>5.7340831492267208E-2</v>
      </c>
      <c r="F243" s="177">
        <f t="shared" ca="1" si="127"/>
        <v>8.8517428055845615E-2</v>
      </c>
      <c r="G243" s="177">
        <f t="shared" ca="1" si="127"/>
        <v>4.7290812320041953E-2</v>
      </c>
      <c r="H243" s="177">
        <f t="shared" ca="1" si="127"/>
        <v>2.3160876447555045E-2</v>
      </c>
      <c r="I243" s="177">
        <f t="shared" ca="1" si="127"/>
        <v>1.522677306408271E-2</v>
      </c>
      <c r="J243" s="177">
        <f t="shared" ca="1" si="127"/>
        <v>1.3474494706448681E-2</v>
      </c>
      <c r="K243" s="176">
        <f t="shared" ca="1" si="127"/>
        <v>2.3668231220751901E-2</v>
      </c>
      <c r="L243" s="176">
        <f t="shared" ca="1" si="127"/>
        <v>2.3467745380562732E-2</v>
      </c>
      <c r="M243" s="176">
        <f t="shared" ca="1" si="127"/>
        <v>2.3645120134756281E-2</v>
      </c>
      <c r="N243" s="176">
        <f t="shared" ca="1" si="127"/>
        <v>2.381255821097028E-2</v>
      </c>
      <c r="O243" s="176">
        <f t="shared" ca="1" si="127"/>
        <v>2.4859602862988162E-2</v>
      </c>
      <c r="P243" s="176">
        <f t="shared" ca="1" si="127"/>
        <v>2.4796481293376305E-2</v>
      </c>
      <c r="Q243" s="176">
        <f t="shared" ca="1" si="127"/>
        <v>2.4115459787924287E-2</v>
      </c>
      <c r="R243" s="176">
        <f t="shared" ca="1" si="127"/>
        <v>2.4173964963976502E-2</v>
      </c>
      <c r="S243" s="176">
        <f t="shared" ca="1" si="127"/>
        <v>2.4632553400078638E-2</v>
      </c>
      <c r="T243" s="176">
        <f t="shared" ca="1" si="127"/>
        <v>2.43339227493371E-2</v>
      </c>
    </row>
    <row r="244" spans="1:20" x14ac:dyDescent="0.2">
      <c r="A244" s="43" t="s">
        <v>765</v>
      </c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</row>
    <row r="245" spans="1:20" x14ac:dyDescent="0.2">
      <c r="A245" s="44" t="s">
        <v>250</v>
      </c>
      <c r="D245" s="97"/>
      <c r="E245" s="95">
        <f t="shared" ref="E245:T245" si="128">SUM(E$91,E$92)/SUM(D$91,D$92)-1</f>
        <v>1.7189491730500661E-2</v>
      </c>
      <c r="F245" s="184">
        <f t="shared" si="128"/>
        <v>1.7116123193545496E-2</v>
      </c>
      <c r="G245" s="184">
        <f t="shared" si="128"/>
        <v>1.7717756031882415E-2</v>
      </c>
      <c r="H245" s="184">
        <f t="shared" si="128"/>
        <v>1.7519659920443464E-2</v>
      </c>
      <c r="I245" s="184">
        <f t="shared" si="128"/>
        <v>1.6973788783800847E-2</v>
      </c>
      <c r="J245" s="184">
        <f t="shared" si="128"/>
        <v>1.6121499056821476E-2</v>
      </c>
      <c r="K245" s="224">
        <f t="shared" si="128"/>
        <v>1.6197606456280766E-2</v>
      </c>
      <c r="L245" s="224">
        <f t="shared" si="128"/>
        <v>1.6692235372061548E-2</v>
      </c>
      <c r="M245" s="224">
        <f t="shared" si="128"/>
        <v>1.7093357878688709E-2</v>
      </c>
      <c r="N245" s="224">
        <f t="shared" si="128"/>
        <v>1.7432305055226083E-2</v>
      </c>
      <c r="O245" s="224">
        <f t="shared" si="128"/>
        <v>1.651879722039995E-2</v>
      </c>
      <c r="P245" s="224">
        <f t="shared" si="128"/>
        <v>1.6744988062017852E-2</v>
      </c>
      <c r="Q245" s="224">
        <f t="shared" si="128"/>
        <v>1.7097695378263333E-2</v>
      </c>
      <c r="R245" s="224">
        <f t="shared" si="128"/>
        <v>1.7694794762528332E-2</v>
      </c>
      <c r="S245" s="224">
        <f t="shared" si="128"/>
        <v>1.8463304765096833E-2</v>
      </c>
      <c r="T245" s="224">
        <f t="shared" si="128"/>
        <v>1.7172709574364786E-2</v>
      </c>
    </row>
    <row r="246" spans="1:20" x14ac:dyDescent="0.2">
      <c r="A246" s="44" t="s">
        <v>314</v>
      </c>
      <c r="D246" s="97"/>
      <c r="E246" s="95">
        <f t="shared" ref="E246:T246" si="129">E$218</f>
        <v>4.0196078431372628E-2</v>
      </c>
      <c r="F246" s="184">
        <f t="shared" ca="1" si="129"/>
        <v>2.3213006597549324E-2</v>
      </c>
      <c r="G246" s="184">
        <f t="shared" ca="1" si="129"/>
        <v>2.277020971252619E-2</v>
      </c>
      <c r="H246" s="184">
        <f t="shared" ca="1" si="129"/>
        <v>1.9099400278651313E-2</v>
      </c>
      <c r="I246" s="184">
        <f t="shared" ca="1" si="129"/>
        <v>1.91073177111869E-2</v>
      </c>
      <c r="J246" s="184">
        <f t="shared" ca="1" si="129"/>
        <v>1.8548757042500919E-2</v>
      </c>
      <c r="K246" s="224">
        <f t="shared" ca="1" si="129"/>
        <v>0.02</v>
      </c>
      <c r="L246" s="224">
        <f t="shared" ca="1" si="129"/>
        <v>0.02</v>
      </c>
      <c r="M246" s="224">
        <f t="shared" ca="1" si="129"/>
        <v>0.02</v>
      </c>
      <c r="N246" s="224">
        <f t="shared" ca="1" si="129"/>
        <v>0.02</v>
      </c>
      <c r="O246" s="224">
        <f t="shared" ca="1" si="129"/>
        <v>0.02</v>
      </c>
      <c r="P246" s="224">
        <f t="shared" ca="1" si="129"/>
        <v>0.02</v>
      </c>
      <c r="Q246" s="224">
        <f t="shared" ca="1" si="129"/>
        <v>0.02</v>
      </c>
      <c r="R246" s="224">
        <f t="shared" ca="1" si="129"/>
        <v>0.02</v>
      </c>
      <c r="S246" s="224">
        <f t="shared" ca="1" si="129"/>
        <v>0.02</v>
      </c>
      <c r="T246" s="224">
        <f t="shared" ca="1" si="129"/>
        <v>0.02</v>
      </c>
    </row>
    <row r="247" spans="1:20" x14ac:dyDescent="0.2">
      <c r="A247" s="44" t="s">
        <v>262</v>
      </c>
      <c r="D247" s="97"/>
      <c r="E247" s="374">
        <f t="shared" ref="E247:T247" ca="1" si="130">E$89/D$89 -(1+E$245+E$246)</f>
        <v>3.3584975468257117E-2</v>
      </c>
      <c r="F247" s="225">
        <f t="shared" ca="1" si="130"/>
        <v>8.1561637669292919E-2</v>
      </c>
      <c r="G247" s="225">
        <f t="shared" ca="1" si="130"/>
        <v>-3.4964847549679323E-2</v>
      </c>
      <c r="H247" s="225">
        <f t="shared" ca="1" si="130"/>
        <v>-3.8737704266891382E-2</v>
      </c>
      <c r="I247" s="225">
        <f t="shared" ca="1" si="130"/>
        <v>-3.6474280985826835E-2</v>
      </c>
      <c r="J247" s="225">
        <f t="shared" ca="1" si="130"/>
        <v>-3.0343635583274686E-2</v>
      </c>
      <c r="K247" s="226">
        <f t="shared" ca="1" si="130"/>
        <v>-2.0000000000000018E-2</v>
      </c>
      <c r="L247" s="226">
        <f t="shared" ca="1" si="130"/>
        <v>-2.0000000000000018E-2</v>
      </c>
      <c r="M247" s="226">
        <f t="shared" ca="1" si="130"/>
        <v>-1.9999999999999796E-2</v>
      </c>
      <c r="N247" s="226">
        <f t="shared" ca="1" si="130"/>
        <v>-2.0000000000000018E-2</v>
      </c>
      <c r="O247" s="226">
        <f t="shared" ca="1" si="130"/>
        <v>-1.9999999999999796E-2</v>
      </c>
      <c r="P247" s="226">
        <f t="shared" ca="1" si="130"/>
        <v>-2.0000000000000018E-2</v>
      </c>
      <c r="Q247" s="226">
        <f t="shared" ca="1" si="130"/>
        <v>-1.9999999999999796E-2</v>
      </c>
      <c r="R247" s="226">
        <f t="shared" ca="1" si="130"/>
        <v>-2.0000000000000018E-2</v>
      </c>
      <c r="S247" s="226">
        <f t="shared" ca="1" si="130"/>
        <v>-2.000000000000024E-2</v>
      </c>
      <c r="T247" s="226">
        <f t="shared" ca="1" si="130"/>
        <v>-2.0000000000000018E-2</v>
      </c>
    </row>
    <row r="248" spans="1:20" x14ac:dyDescent="0.2">
      <c r="A248" s="108" t="s">
        <v>252</v>
      </c>
      <c r="D248" s="97"/>
      <c r="E248" s="375">
        <f t="shared" ref="E248:T248" ca="1" si="131">E$89/D$89 -1</f>
        <v>9.0970545630130406E-2</v>
      </c>
      <c r="F248" s="177">
        <f t="shared" ca="1" si="131"/>
        <v>0.12189076746038774</v>
      </c>
      <c r="G248" s="177">
        <f t="shared" ca="1" si="131"/>
        <v>5.5231181947292818E-3</v>
      </c>
      <c r="H248" s="177">
        <f t="shared" ca="1" si="131"/>
        <v>-2.1186440677966045E-3</v>
      </c>
      <c r="I248" s="177">
        <f t="shared" ca="1" si="131"/>
        <v>-3.9317449083908773E-4</v>
      </c>
      <c r="J248" s="177">
        <f t="shared" ca="1" si="131"/>
        <v>4.3266205160477078E-3</v>
      </c>
      <c r="K248" s="176">
        <f t="shared" ca="1" si="131"/>
        <v>1.6197606456280766E-2</v>
      </c>
      <c r="L248" s="176">
        <f t="shared" ca="1" si="131"/>
        <v>1.6692235372061548E-2</v>
      </c>
      <c r="M248" s="176">
        <f t="shared" ca="1" si="131"/>
        <v>1.7093357878688931E-2</v>
      </c>
      <c r="N248" s="176">
        <f t="shared" ca="1" si="131"/>
        <v>1.7432305055226083E-2</v>
      </c>
      <c r="O248" s="176">
        <f t="shared" ca="1" si="131"/>
        <v>1.6518797220400172E-2</v>
      </c>
      <c r="P248" s="176">
        <f t="shared" ca="1" si="131"/>
        <v>1.6744988062017852E-2</v>
      </c>
      <c r="Q248" s="176">
        <f t="shared" ca="1" si="131"/>
        <v>1.7097695378263555E-2</v>
      </c>
      <c r="R248" s="176">
        <f t="shared" ca="1" si="131"/>
        <v>1.7694794762528332E-2</v>
      </c>
      <c r="S248" s="176">
        <f t="shared" ca="1" si="131"/>
        <v>1.8463304765096611E-2</v>
      </c>
      <c r="T248" s="176">
        <f t="shared" ca="1" si="131"/>
        <v>1.7172709574364786E-2</v>
      </c>
    </row>
    <row r="249" spans="1:20" x14ac:dyDescent="0.2">
      <c r="A249" s="43" t="s">
        <v>869</v>
      </c>
      <c r="D249" s="97"/>
      <c r="E249" s="95"/>
      <c r="F249" s="184"/>
      <c r="G249" s="184"/>
      <c r="H249" s="184"/>
      <c r="I249" s="184"/>
      <c r="J249" s="18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</row>
    <row r="250" spans="1:20" x14ac:dyDescent="0.2">
      <c r="A250" s="44" t="s">
        <v>250</v>
      </c>
      <c r="D250" s="97"/>
      <c r="E250" s="95">
        <f>AVERAGE(Popn!E$198:E$200)</f>
        <v>1.050387508174703E-2</v>
      </c>
      <c r="F250" s="184">
        <f>AVERAGE(Popn!F$198:F$200)</f>
        <v>9.2898060522879442E-3</v>
      </c>
      <c r="G250" s="184">
        <f>AVERAGE(Popn!G$198:G$200)</f>
        <v>9.1964106861265327E-3</v>
      </c>
      <c r="H250" s="184">
        <f>AVERAGE(Popn!H$198:H$200)</f>
        <v>6.4813484864216413E-3</v>
      </c>
      <c r="I250" s="184">
        <f>AVERAGE(Popn!I$198:I$200)</f>
        <v>2.9676004591795793E-3</v>
      </c>
      <c r="J250" s="184">
        <f>AVERAGE(Popn!J$198:J$200)</f>
        <v>4.3921875583396996E-4</v>
      </c>
      <c r="K250" s="224">
        <f>AVERAGE(Popn!K$198:K$200)</f>
        <v>-1.4129918535461898E-3</v>
      </c>
      <c r="L250" s="224">
        <f>AVERAGE(Popn!L$198:L$200)</f>
        <v>-3.4698319497405241E-3</v>
      </c>
      <c r="M250" s="224">
        <f>AVERAGE(Popn!M$198:M$200)</f>
        <v>-4.333652502099457E-3</v>
      </c>
      <c r="N250" s="224">
        <f>AVERAGE(Popn!N$198:N$200)</f>
        <v>-3.2994203536862074E-3</v>
      </c>
      <c r="O250" s="224">
        <f>AVERAGE(Popn!O$198:O$200)</f>
        <v>-2.251851116172543E-3</v>
      </c>
      <c r="P250" s="224">
        <f>AVERAGE(Popn!P$198:P$200)</f>
        <v>-1.3752784673047118E-3</v>
      </c>
      <c r="Q250" s="224">
        <f>AVERAGE(Popn!Q$198:Q$200)</f>
        <v>-2.0440162551587835E-3</v>
      </c>
      <c r="R250" s="224">
        <f>AVERAGE(Popn!R$198:R$200)</f>
        <v>-1.0197037167458307E-3</v>
      </c>
      <c r="S250" s="224">
        <f>AVERAGE(Popn!S$198:S$200)</f>
        <v>9.4720968538338412E-4</v>
      </c>
      <c r="T250" s="224">
        <f>AVERAGE(Popn!T$198:T$200)</f>
        <v>7.7574878958667581E-4</v>
      </c>
    </row>
    <row r="251" spans="1:20" x14ac:dyDescent="0.2">
      <c r="A251" s="44" t="s">
        <v>314</v>
      </c>
      <c r="D251" s="97"/>
      <c r="E251" s="95">
        <f t="shared" ref="E251:T251" si="132">E$218</f>
        <v>4.0196078431372628E-2</v>
      </c>
      <c r="F251" s="184">
        <f t="shared" ca="1" si="132"/>
        <v>2.3213006597549324E-2</v>
      </c>
      <c r="G251" s="184">
        <f t="shared" ca="1" si="132"/>
        <v>2.277020971252619E-2</v>
      </c>
      <c r="H251" s="184">
        <f t="shared" ca="1" si="132"/>
        <v>1.9099400278651313E-2</v>
      </c>
      <c r="I251" s="184">
        <f t="shared" ca="1" si="132"/>
        <v>1.91073177111869E-2</v>
      </c>
      <c r="J251" s="184">
        <f t="shared" ca="1" si="132"/>
        <v>1.8548757042500919E-2</v>
      </c>
      <c r="K251" s="224">
        <f t="shared" ca="1" si="132"/>
        <v>0.02</v>
      </c>
      <c r="L251" s="224">
        <f t="shared" ca="1" si="132"/>
        <v>0.02</v>
      </c>
      <c r="M251" s="224">
        <f t="shared" ca="1" si="132"/>
        <v>0.02</v>
      </c>
      <c r="N251" s="224">
        <f t="shared" ca="1" si="132"/>
        <v>0.02</v>
      </c>
      <c r="O251" s="224">
        <f t="shared" ca="1" si="132"/>
        <v>0.02</v>
      </c>
      <c r="P251" s="224">
        <f t="shared" ca="1" si="132"/>
        <v>0.02</v>
      </c>
      <c r="Q251" s="224">
        <f t="shared" ca="1" si="132"/>
        <v>0.02</v>
      </c>
      <c r="R251" s="224">
        <f t="shared" ca="1" si="132"/>
        <v>0.02</v>
      </c>
      <c r="S251" s="224">
        <f t="shared" ca="1" si="132"/>
        <v>0.02</v>
      </c>
      <c r="T251" s="224">
        <f t="shared" ca="1" si="132"/>
        <v>0.02</v>
      </c>
    </row>
    <row r="252" spans="1:20" x14ac:dyDescent="0.2">
      <c r="A252" s="44" t="s">
        <v>179</v>
      </c>
      <c r="D252" s="97"/>
      <c r="E252" s="374">
        <f t="shared" ref="E252:T252" ca="1" si="133">E$95/D$95 -(1+E$250+E$251)</f>
        <v>-2.0275959554763912E-2</v>
      </c>
      <c r="F252" s="225">
        <f t="shared" ca="1" si="133"/>
        <v>9.1882068514438808E-2</v>
      </c>
      <c r="G252" s="225">
        <f t="shared" ca="1" si="133"/>
        <v>3.2321876840364361E-3</v>
      </c>
      <c r="H252" s="225">
        <f t="shared" ca="1" si="133"/>
        <v>-8.9395685905655498E-3</v>
      </c>
      <c r="I252" s="225">
        <f t="shared" ca="1" si="133"/>
        <v>-1.1722768108430426E-2</v>
      </c>
      <c r="J252" s="225">
        <f t="shared" ca="1" si="133"/>
        <v>-1.2945415153795103E-2</v>
      </c>
      <c r="K252" s="226">
        <f t="shared" ca="1" si="133"/>
        <v>-2.0000000000000018E-2</v>
      </c>
      <c r="L252" s="226">
        <f t="shared" ca="1" si="133"/>
        <v>-2.0000000000000018E-2</v>
      </c>
      <c r="M252" s="226">
        <f t="shared" ca="1" si="133"/>
        <v>-1.9999999999999907E-2</v>
      </c>
      <c r="N252" s="226">
        <f t="shared" ca="1" si="133"/>
        <v>-1.9999999999999907E-2</v>
      </c>
      <c r="O252" s="226">
        <f t="shared" ca="1" si="133"/>
        <v>-1.9999999999999796E-2</v>
      </c>
      <c r="P252" s="226">
        <f t="shared" ca="1" si="133"/>
        <v>-2.0000000000000018E-2</v>
      </c>
      <c r="Q252" s="226">
        <f t="shared" ca="1" si="133"/>
        <v>-1.9999999999999907E-2</v>
      </c>
      <c r="R252" s="226">
        <f t="shared" ca="1" si="133"/>
        <v>-2.0000000000000129E-2</v>
      </c>
      <c r="S252" s="226">
        <f t="shared" ca="1" si="133"/>
        <v>-2.0000000000000018E-2</v>
      </c>
      <c r="T252" s="226">
        <f t="shared" ca="1" si="133"/>
        <v>-2.0000000000000018E-2</v>
      </c>
    </row>
    <row r="253" spans="1:20" x14ac:dyDescent="0.2">
      <c r="A253" s="108" t="s">
        <v>252</v>
      </c>
      <c r="D253" s="97"/>
      <c r="E253" s="375">
        <f t="shared" ref="E253:T253" ca="1" si="134">E$95/D$95 -1</f>
        <v>3.0423993958355711E-2</v>
      </c>
      <c r="F253" s="177">
        <f t="shared" ca="1" si="134"/>
        <v>0.12438488116427604</v>
      </c>
      <c r="G253" s="177">
        <f t="shared" ca="1" si="134"/>
        <v>3.519880808268927E-2</v>
      </c>
      <c r="H253" s="177">
        <f t="shared" ca="1" si="134"/>
        <v>1.6641180174507442E-2</v>
      </c>
      <c r="I253" s="177">
        <f t="shared" ca="1" si="134"/>
        <v>1.0352150061936127E-2</v>
      </c>
      <c r="J253" s="177">
        <f t="shared" ca="1" si="134"/>
        <v>6.042560644539785E-3</v>
      </c>
      <c r="K253" s="176">
        <f t="shared" ca="1" si="134"/>
        <v>-1.4129918535461528E-3</v>
      </c>
      <c r="L253" s="176">
        <f t="shared" ca="1" si="134"/>
        <v>-3.4698319497405983E-3</v>
      </c>
      <c r="M253" s="176">
        <f t="shared" ca="1" si="134"/>
        <v>-4.3336525020994943E-3</v>
      </c>
      <c r="N253" s="176">
        <f t="shared" ca="1" si="134"/>
        <v>-3.2994203536861333E-3</v>
      </c>
      <c r="O253" s="176">
        <f t="shared" ca="1" si="134"/>
        <v>-2.2518511161724319E-3</v>
      </c>
      <c r="P253" s="176">
        <f t="shared" ca="1" si="134"/>
        <v>-1.3752784673046747E-3</v>
      </c>
      <c r="Q253" s="176">
        <f t="shared" ca="1" si="134"/>
        <v>-2.0440162551588203E-3</v>
      </c>
      <c r="R253" s="176">
        <f t="shared" ca="1" si="134"/>
        <v>-1.0197037167459788E-3</v>
      </c>
      <c r="S253" s="176">
        <f t="shared" ca="1" si="134"/>
        <v>9.4720968538331007E-4</v>
      </c>
      <c r="T253" s="176">
        <f t="shared" ca="1" si="134"/>
        <v>7.7574878958674987E-4</v>
      </c>
    </row>
    <row r="254" spans="1:20" x14ac:dyDescent="0.2">
      <c r="A254" s="43" t="s">
        <v>263</v>
      </c>
      <c r="D254" s="97"/>
      <c r="E254" s="95"/>
      <c r="F254" s="184"/>
      <c r="G254" s="184"/>
      <c r="H254" s="184"/>
      <c r="I254" s="184"/>
      <c r="J254" s="18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</row>
    <row r="255" spans="1:20" x14ac:dyDescent="0.2">
      <c r="A255" s="44" t="s">
        <v>314</v>
      </c>
      <c r="D255" s="97"/>
      <c r="E255" s="95">
        <f t="shared" ref="E255:T255" si="135">E$218</f>
        <v>4.0196078431372628E-2</v>
      </c>
      <c r="F255" s="184">
        <f t="shared" ca="1" si="135"/>
        <v>2.3213006597549324E-2</v>
      </c>
      <c r="G255" s="184">
        <f t="shared" ca="1" si="135"/>
        <v>2.277020971252619E-2</v>
      </c>
      <c r="H255" s="184">
        <f t="shared" ca="1" si="135"/>
        <v>1.9099400278651313E-2</v>
      </c>
      <c r="I255" s="184">
        <f t="shared" ca="1" si="135"/>
        <v>1.91073177111869E-2</v>
      </c>
      <c r="J255" s="184">
        <f t="shared" ca="1" si="135"/>
        <v>1.8548757042500919E-2</v>
      </c>
      <c r="K255" s="224">
        <f t="shared" ca="1" si="135"/>
        <v>0.02</v>
      </c>
      <c r="L255" s="224">
        <f t="shared" ca="1" si="135"/>
        <v>0.02</v>
      </c>
      <c r="M255" s="224">
        <f t="shared" ca="1" si="135"/>
        <v>0.02</v>
      </c>
      <c r="N255" s="224">
        <f t="shared" ca="1" si="135"/>
        <v>0.02</v>
      </c>
      <c r="O255" s="224">
        <f t="shared" ca="1" si="135"/>
        <v>0.02</v>
      </c>
      <c r="P255" s="224">
        <f t="shared" ca="1" si="135"/>
        <v>0.02</v>
      </c>
      <c r="Q255" s="224">
        <f t="shared" ca="1" si="135"/>
        <v>0.02</v>
      </c>
      <c r="R255" s="224">
        <f t="shared" ca="1" si="135"/>
        <v>0.02</v>
      </c>
      <c r="S255" s="224">
        <f t="shared" ca="1" si="135"/>
        <v>0.02</v>
      </c>
      <c r="T255" s="224">
        <f t="shared" ca="1" si="135"/>
        <v>0.02</v>
      </c>
    </row>
    <row r="256" spans="1:20" x14ac:dyDescent="0.2">
      <c r="A256" s="44" t="s">
        <v>758</v>
      </c>
      <c r="D256" s="97"/>
      <c r="E256" s="374">
        <f t="shared" ref="E256:T256" ca="1" si="136">E$106/D$106 -(1+E$255)</f>
        <v>-5.5147539973978699E-3</v>
      </c>
      <c r="F256" s="225">
        <f t="shared" ca="1" si="136"/>
        <v>7.5825698183629608E-2</v>
      </c>
      <c r="G256" s="225">
        <f t="shared" ca="1" si="136"/>
        <v>-3.4221469926590253E-2</v>
      </c>
      <c r="H256" s="225">
        <f t="shared" ca="1" si="136"/>
        <v>-3.4525210861339306E-2</v>
      </c>
      <c r="I256" s="225">
        <f t="shared" ca="1" si="136"/>
        <v>-1.5264347390742339E-2</v>
      </c>
      <c r="J256" s="225">
        <f t="shared" ca="1" si="136"/>
        <v>2.0381686446514946E-2</v>
      </c>
      <c r="K256" s="226">
        <f t="shared" ca="1" si="136"/>
        <v>5.3555457383520633E-3</v>
      </c>
      <c r="L256" s="226">
        <f t="shared" ca="1" si="136"/>
        <v>-1.0690153796721225E-2</v>
      </c>
      <c r="M256" s="226">
        <f t="shared" ca="1" si="136"/>
        <v>-1.077681988105339E-2</v>
      </c>
      <c r="N256" s="226">
        <f t="shared" ca="1" si="136"/>
        <v>-1.1226078738865608E-2</v>
      </c>
      <c r="O256" s="226">
        <f t="shared" ca="1" si="136"/>
        <v>-1.1712932006764376E-2</v>
      </c>
      <c r="P256" s="226">
        <f t="shared" ca="1" si="136"/>
        <v>-1.7121117449895973E-2</v>
      </c>
      <c r="Q256" s="226">
        <f t="shared" ca="1" si="136"/>
        <v>-1.7911432190064858E-2</v>
      </c>
      <c r="R256" s="226">
        <f t="shared" ca="1" si="136"/>
        <v>-1.7874688193941335E-2</v>
      </c>
      <c r="S256" s="226">
        <f t="shared" ca="1" si="136"/>
        <v>-1.7660095551903066E-2</v>
      </c>
      <c r="T256" s="226">
        <f t="shared" ca="1" si="136"/>
        <v>-1.7862953353692701E-2</v>
      </c>
    </row>
    <row r="257" spans="1:20" x14ac:dyDescent="0.2">
      <c r="A257" s="108" t="s">
        <v>252</v>
      </c>
      <c r="D257" s="97"/>
      <c r="E257" s="375">
        <f t="shared" ref="E257:T257" ca="1" si="137">E$106/D$106 -1</f>
        <v>3.4681324433974758E-2</v>
      </c>
      <c r="F257" s="177">
        <f t="shared" ca="1" si="137"/>
        <v>9.9038704781178932E-2</v>
      </c>
      <c r="G257" s="177">
        <f t="shared" ca="1" si="137"/>
        <v>-1.1451260214064063E-2</v>
      </c>
      <c r="H257" s="177">
        <f t="shared" ca="1" si="137"/>
        <v>-1.5425810582687993E-2</v>
      </c>
      <c r="I257" s="177">
        <f t="shared" ca="1" si="137"/>
        <v>3.8429703204445609E-3</v>
      </c>
      <c r="J257" s="177">
        <f t="shared" ca="1" si="137"/>
        <v>3.8930443489015865E-2</v>
      </c>
      <c r="K257" s="176">
        <f t="shared" ca="1" si="137"/>
        <v>2.5355545738352081E-2</v>
      </c>
      <c r="L257" s="176">
        <f t="shared" ca="1" si="137"/>
        <v>9.3098462032787932E-3</v>
      </c>
      <c r="M257" s="176">
        <f t="shared" ca="1" si="137"/>
        <v>9.2231801189466278E-3</v>
      </c>
      <c r="N257" s="176">
        <f t="shared" ca="1" si="137"/>
        <v>8.7739212611344097E-3</v>
      </c>
      <c r="O257" s="176">
        <f t="shared" ca="1" si="137"/>
        <v>8.2870679932356417E-3</v>
      </c>
      <c r="P257" s="176">
        <f t="shared" ca="1" si="137"/>
        <v>2.8788825501040449E-3</v>
      </c>
      <c r="Q257" s="176">
        <f t="shared" ca="1" si="137"/>
        <v>2.0885678099351601E-3</v>
      </c>
      <c r="R257" s="176">
        <f t="shared" ca="1" si="137"/>
        <v>2.1253118060586829E-3</v>
      </c>
      <c r="S257" s="176">
        <f t="shared" ca="1" si="137"/>
        <v>2.3399044480969522E-3</v>
      </c>
      <c r="T257" s="176">
        <f t="shared" ca="1" si="137"/>
        <v>2.1370466463073168E-3</v>
      </c>
    </row>
    <row r="259" spans="1:20" x14ac:dyDescent="0.2">
      <c r="A259" s="43" t="s">
        <v>875</v>
      </c>
    </row>
    <row r="260" spans="1:20" x14ac:dyDescent="0.2">
      <c r="A260" s="44" t="s">
        <v>876</v>
      </c>
      <c r="D260" s="322" t="str">
        <f>IF(D$2&lt;=ReadyReckoner!$F$1,"History",D$2-ReadyReckoner!$F$1+1)</f>
        <v>History</v>
      </c>
      <c r="E260" s="322" t="str">
        <f>IF(E$2&lt;=ReadyReckoner!$F$1,"History",E$2-ReadyReckoner!$F$1+1)</f>
        <v>History</v>
      </c>
      <c r="F260" s="323">
        <f>IF(F$2&lt;=ReadyReckoner!$F$1,"History",F$2-ReadyReckoner!$F$1+1)</f>
        <v>2</v>
      </c>
      <c r="G260" s="323">
        <f>IF(G$2&lt;=ReadyReckoner!$F$1,"History",G$2-ReadyReckoner!$F$1+1)</f>
        <v>3</v>
      </c>
      <c r="H260" s="323">
        <f>IF(H$2&lt;=ReadyReckoner!$F$1,"History",H$2-ReadyReckoner!$F$1+1)</f>
        <v>4</v>
      </c>
      <c r="I260" s="323">
        <f>IF(I$2&lt;=ReadyReckoner!$F$1,"History",I$2-ReadyReckoner!$F$1+1)</f>
        <v>5</v>
      </c>
      <c r="J260" s="323">
        <f>IF(J$2&lt;=ReadyReckoner!$F$1,"History",J$2-ReadyReckoner!$F$1+1)</f>
        <v>6</v>
      </c>
    </row>
    <row r="261" spans="1:20" x14ac:dyDescent="0.2">
      <c r="A261"/>
    </row>
    <row r="262" spans="1:20" x14ac:dyDescent="0.2">
      <c r="A262" s="44" t="s">
        <v>888</v>
      </c>
      <c r="F262" s="54">
        <f ca="1">IF($I$1="Yes",OFFSET(ReadyReckoner!$A$9,0,F$260)/1000,0)</f>
        <v>0</v>
      </c>
      <c r="G262" s="54">
        <f ca="1">IF($I$1="Yes",OFFSET(ReadyReckoner!$A$9,0,G$260)/1000,0)</f>
        <v>0</v>
      </c>
      <c r="H262" s="54">
        <f ca="1">IF($I$1="Yes",OFFSET(ReadyReckoner!$A$9,0,H$260)/1000,0)</f>
        <v>0</v>
      </c>
      <c r="I262" s="54">
        <f ca="1">IF($I$1="Yes",OFFSET(ReadyReckoner!$A$9,0,I$260)/1000,0)</f>
        <v>0</v>
      </c>
      <c r="J262" s="54">
        <f ca="1">IF($I$1="Yes",OFFSET(ReadyReckoner!$A$9,0,J$260)/1000,0)</f>
        <v>0</v>
      </c>
    </row>
    <row r="263" spans="1:20" x14ac:dyDescent="0.2">
      <c r="A263" s="44" t="s">
        <v>889</v>
      </c>
      <c r="F263" s="54">
        <f ca="1">IF($I$1="Yes",OFFSET(ReadyReckoner!$A$10,0,F$260)/1000,0)</f>
        <v>0</v>
      </c>
      <c r="G263" s="54">
        <f ca="1">IF($I$1="Yes",OFFSET(ReadyReckoner!$A$10,0,G$260)/1000,0)</f>
        <v>0</v>
      </c>
      <c r="H263" s="54">
        <f ca="1">IF($I$1="Yes",OFFSET(ReadyReckoner!$A$10,0,H$260)/1000,0)</f>
        <v>0</v>
      </c>
      <c r="I263" s="54">
        <f ca="1">IF($I$1="Yes",OFFSET(ReadyReckoner!$A$10,0,I$260)/1000,0)</f>
        <v>0</v>
      </c>
      <c r="J263" s="54">
        <f ca="1">IF($I$1="Yes",OFFSET(ReadyReckoner!$A$10,0,J$260)/1000,0)</f>
        <v>0</v>
      </c>
    </row>
    <row r="264" spans="1:20" x14ac:dyDescent="0.2">
      <c r="A264" s="44" t="s">
        <v>907</v>
      </c>
      <c r="F264" s="54">
        <f ca="1">IF($I$1="Yes",OFFSET(ReadyReckoner!$A$11,0,F$260)/1000,0)</f>
        <v>0</v>
      </c>
      <c r="G264" s="54">
        <f ca="1">IF($I$1="Yes",OFFSET(ReadyReckoner!$A$11,0,G$260)/1000,0)</f>
        <v>0</v>
      </c>
      <c r="H264" s="54">
        <f ca="1">IF($I$1="Yes",OFFSET(ReadyReckoner!$A$11,0,H$260)/1000,0)</f>
        <v>0</v>
      </c>
      <c r="I264" s="54">
        <f ca="1">IF($I$1="Yes",OFFSET(ReadyReckoner!$A$11,0,I$260)/1000,0)</f>
        <v>0</v>
      </c>
      <c r="J264" s="54">
        <f ca="1">IF($I$1="Yes",OFFSET(ReadyReckoner!$A$11,0,J$260)/1000,0)</f>
        <v>0</v>
      </c>
    </row>
    <row r="265" spans="1:20" x14ac:dyDescent="0.2">
      <c r="A265" s="44" t="s">
        <v>877</v>
      </c>
      <c r="F265" s="54">
        <f>IF($I$1="Yes",F$219*SUM(E$273,F$273)/2,0)</f>
        <v>0</v>
      </c>
      <c r="G265" s="54">
        <f>IF($I$1="Yes",G$219*SUM(F$273,G$273)/2,0)</f>
        <v>0</v>
      </c>
      <c r="H265" s="54">
        <f>IF($I$1="Yes",H$219*SUM(G$273,H$273)/2,0)</f>
        <v>0</v>
      </c>
      <c r="I265" s="54">
        <f>IF($I$1="Yes",I$219*SUM(H$273,I$273)/2,0)</f>
        <v>0</v>
      </c>
      <c r="J265" s="54">
        <f>IF($I$1="Yes",J$219*SUM(I$273,J$273)/2,0)</f>
        <v>0</v>
      </c>
    </row>
    <row r="266" spans="1:20" x14ac:dyDescent="0.2">
      <c r="A266" s="44" t="s">
        <v>909</v>
      </c>
      <c r="F266" s="54">
        <f ca="1">IF($I$1="Yes",OFFSET(ReadyReckoner!$A$12,0,F$260)/1000,0)</f>
        <v>0</v>
      </c>
      <c r="G266" s="54">
        <f ca="1">IF($I$1="Yes",OFFSET(ReadyReckoner!$A$12,0,G$260)/1000,0)</f>
        <v>0</v>
      </c>
      <c r="H266" s="54">
        <f ca="1">IF($I$1="Yes",OFFSET(ReadyReckoner!$A$12,0,H$260)/1000,0)</f>
        <v>0</v>
      </c>
      <c r="I266" s="54">
        <f ca="1">IF($I$1="Yes",OFFSET(ReadyReckoner!$A$12,0,I$260)/1000,0)</f>
        <v>0</v>
      </c>
      <c r="J266" s="54">
        <f ca="1">IF($I$1="Yes",OFFSET(ReadyReckoner!$A$12,0,J$260)/1000,0)</f>
        <v>0</v>
      </c>
    </row>
    <row r="267" spans="1:20" x14ac:dyDescent="0.2">
      <c r="A267" s="44" t="s">
        <v>878</v>
      </c>
      <c r="F267" s="54">
        <f ca="1">IF($I$1="Yes",OFFSET(ReadyReckoner!$A$13,0,F$260)/1000,0)</f>
        <v>0</v>
      </c>
      <c r="G267" s="54">
        <f ca="1">IF($I$1="Yes",OFFSET(ReadyReckoner!$A$13,0,G$260)/1000,0)</f>
        <v>0</v>
      </c>
      <c r="H267" s="54">
        <f ca="1">IF($I$1="Yes",OFFSET(ReadyReckoner!$A$13,0,H$260)/1000,0)</f>
        <v>0</v>
      </c>
      <c r="I267" s="54">
        <f ca="1">IF($I$1="Yes",OFFSET(ReadyReckoner!$A$13,0,I$260)/1000,0)</f>
        <v>0</v>
      </c>
      <c r="J267" s="54">
        <f ca="1">IF($I$1="Yes",OFFSET(ReadyReckoner!$A$13,0,J$260)/1000,0)</f>
        <v>0</v>
      </c>
    </row>
    <row r="268" spans="1:20" x14ac:dyDescent="0.2">
      <c r="A268" s="44" t="s">
        <v>879</v>
      </c>
      <c r="F268" s="54">
        <f>IF($I$1="Yes",F$219*(SUM($E$266:E$267,SUM(F$266:F$267)/2)-SUM($E$262:E$265,SUM(F$262:F$265)/2)+SUM($E$270:E$270,F$270/2)),0)</f>
        <v>0</v>
      </c>
      <c r="G268" s="54">
        <f>IF($I$1="Yes",G$219*(SUM($E$266:F$267,SUM(G$266:G$267)/2)-SUM($E$262:F$265,SUM(G$262:G$265)/2)+SUM($E$270:F$270,G$270/2)),0)</f>
        <v>0</v>
      </c>
      <c r="H268" s="54">
        <f>IF($I$1="Yes",H$219*(SUM($E$266:G$267,SUM(H$266:H$267)/2)-SUM($E$262:G$265,SUM(H$262:H$265)/2)+SUM($E$270:G$270,H$270/2)),0)</f>
        <v>0</v>
      </c>
      <c r="I268" s="54">
        <f>IF($I$1="Yes",I$219*(SUM($E$266:H$267,SUM(I$266:I$267)/2)-SUM($E$262:H$265,SUM(I$262:I$265)/2)+SUM($E$270:H$270,I$270/2)),0)</f>
        <v>0</v>
      </c>
      <c r="J268" s="54">
        <f>IF($I$1="Yes",J$219*(SUM($E$266:I$267,SUM(J$266:J$267)/2)-SUM($E$262:I$265,SUM(J$262:J$265)/2)+SUM($E$270:I$270,J$270/2)),0)</f>
        <v>0</v>
      </c>
    </row>
    <row r="269" spans="1:20" x14ac:dyDescent="0.2">
      <c r="A269" s="318" t="s">
        <v>892</v>
      </c>
      <c r="F269" s="60">
        <f ca="1">SUM(F$262:F$265)-SUM(F$266:F$268)</f>
        <v>0</v>
      </c>
      <c r="G269" s="60">
        <f ca="1">SUM(G$262:G$265)-SUM(G$266:G$268)</f>
        <v>0</v>
      </c>
      <c r="H269" s="60">
        <f ca="1">SUM(H$262:H$265)-SUM(H$266:H$268)</f>
        <v>0</v>
      </c>
      <c r="I269" s="60">
        <f ca="1">SUM(I$262:I$265)-SUM(I$266:I$268)</f>
        <v>0</v>
      </c>
      <c r="J269" s="60">
        <f ca="1">SUM(J$262:J$265)-SUM(J$266:J$268)</f>
        <v>0</v>
      </c>
    </row>
    <row r="270" spans="1:20" x14ac:dyDescent="0.2">
      <c r="A270" s="44" t="s">
        <v>880</v>
      </c>
      <c r="F270" s="54">
        <f ca="1">IF($I$1="Yes",SUM(OFFSET(ReadyReckoner!$A$15,0,F$260),OFFSET(ReadyReckoner!$A$16,0,F$260),-OFFSET(ReadyReckoner!$A$17,0,F$260))/1000,0)</f>
        <v>0</v>
      </c>
      <c r="G270" s="54">
        <f ca="1">IF($I$1="Yes",SUM(OFFSET(ReadyReckoner!$A$15,0,G$260),OFFSET(ReadyReckoner!$A$16,0,G$260),-OFFSET(ReadyReckoner!$A$17,0,G$260))/1000,0)</f>
        <v>0</v>
      </c>
      <c r="H270" s="54">
        <f ca="1">IF($I$1="Yes",SUM(OFFSET(ReadyReckoner!$A$15,0,H$260),OFFSET(ReadyReckoner!$A$16,0,H$260),-OFFSET(ReadyReckoner!$A$17,0,H$260))/1000,0)</f>
        <v>0</v>
      </c>
      <c r="I270" s="54">
        <f ca="1">IF($I$1="Yes",SUM(OFFSET(ReadyReckoner!$A$15,0,I$260),OFFSET(ReadyReckoner!$A$16,0,I$260),-OFFSET(ReadyReckoner!$A$17,0,I$260))/1000,0)</f>
        <v>0</v>
      </c>
      <c r="J270" s="54">
        <f ca="1">IF($I$1="Yes",SUM(OFFSET(ReadyReckoner!$A$15,0,J$260),OFFSET(ReadyReckoner!$A$16,0,J$260),-OFFSET(ReadyReckoner!$A$17,0,J$260))/1000,0)</f>
        <v>0</v>
      </c>
    </row>
    <row r="271" spans="1:20" x14ac:dyDescent="0.2">
      <c r="A271" s="318" t="s">
        <v>881</v>
      </c>
      <c r="F271" s="60">
        <f ca="1">F$270-F$269</f>
        <v>0</v>
      </c>
      <c r="G271" s="60">
        <f ca="1">G$270-G$269</f>
        <v>0</v>
      </c>
      <c r="H271" s="60">
        <f ca="1">H$270-H$269</f>
        <v>0</v>
      </c>
      <c r="I271" s="60">
        <f ca="1">I$270-I$269</f>
        <v>0</v>
      </c>
      <c r="J271" s="60">
        <f ca="1">J$270-J$269</f>
        <v>0</v>
      </c>
    </row>
    <row r="272" spans="1:20" ht="13.5" x14ac:dyDescent="0.25">
      <c r="A272" s="319"/>
    </row>
    <row r="273" spans="1:11" x14ac:dyDescent="0.2">
      <c r="A273" s="44" t="s">
        <v>882</v>
      </c>
      <c r="F273" s="54">
        <f ca="1">IF($I$1="Yes",SUM(OFFSET(ReadyReckoner!$A$15,0,F$260)/1000,E$273),0)</f>
        <v>0</v>
      </c>
      <c r="G273" s="54">
        <f ca="1">IF($I$1="Yes",SUM(OFFSET(ReadyReckoner!$A$15,0,G$260)/1000,F$273),0)</f>
        <v>0</v>
      </c>
      <c r="H273" s="54">
        <f ca="1">IF($I$1="Yes",SUM(OFFSET(ReadyReckoner!$A$15,0,H$260)/1000,G$273),0)</f>
        <v>0</v>
      </c>
      <c r="I273" s="54">
        <f ca="1">IF($I$1="Yes",SUM(OFFSET(ReadyReckoner!$A$15,0,I$260)/1000,H$273),0)</f>
        <v>0</v>
      </c>
      <c r="J273" s="54">
        <f ca="1">IF($I$1="Yes",SUM(OFFSET(ReadyReckoner!$A$15,0,J$260)/1000,I$273),0)</f>
        <v>0</v>
      </c>
    </row>
    <row r="274" spans="1:11" x14ac:dyDescent="0.2">
      <c r="A274" s="44" t="s">
        <v>883</v>
      </c>
      <c r="F274" s="54">
        <f ca="1">IF($I$1="Yes",SUM(OFFSET(ReadyReckoner!$A$16,0,F$260)/1000,E$274),0)</f>
        <v>0</v>
      </c>
      <c r="G274" s="54">
        <f ca="1">IF($I$1="Yes",SUM(OFFSET(ReadyReckoner!$A$16,0,G$260)/1000,F$274),0)</f>
        <v>0</v>
      </c>
      <c r="H274" s="54">
        <f ca="1">IF($I$1="Yes",SUM(OFFSET(ReadyReckoner!$A$16,0,H$260)/1000,G$274),0)</f>
        <v>0</v>
      </c>
      <c r="I274" s="54">
        <f ca="1">IF($I$1="Yes",SUM(OFFSET(ReadyReckoner!$A$16,0,I$260)/1000,H$274),0)</f>
        <v>0</v>
      </c>
      <c r="J274" s="54">
        <f ca="1">IF($I$1="Yes",SUM(OFFSET(ReadyReckoner!$A$16,0,J$260)/1000,I$274),0)</f>
        <v>0</v>
      </c>
    </row>
    <row r="275" spans="1:11" x14ac:dyDescent="0.2">
      <c r="A275" s="44" t="s">
        <v>884</v>
      </c>
      <c r="F275" s="54">
        <f ca="1">IF($I$1="Yes",SUM(OFFSET(ReadyReckoner!$A$17,0,F$260)/1000,E$275),0)</f>
        <v>0</v>
      </c>
      <c r="G275" s="54">
        <f ca="1">IF($I$1="Yes",SUM(OFFSET(ReadyReckoner!$A$17,0,G$260)/1000,F$275),0)</f>
        <v>0</v>
      </c>
      <c r="H275" s="54">
        <f ca="1">IF($I$1="Yes",SUM(OFFSET(ReadyReckoner!$A$17,0,H$260)/1000,G$275),0)</f>
        <v>0</v>
      </c>
      <c r="I275" s="54">
        <f ca="1">IF($I$1="Yes",SUM(OFFSET(ReadyReckoner!$A$17,0,I$260)/1000,H$275),0)</f>
        <v>0</v>
      </c>
      <c r="J275" s="54">
        <f ca="1">IF($I$1="Yes",SUM(OFFSET(ReadyReckoner!$A$17,0,J$260)/1000,I$275),0)</f>
        <v>0</v>
      </c>
    </row>
    <row r="276" spans="1:11" x14ac:dyDescent="0.2">
      <c r="A276" s="44" t="s">
        <v>0</v>
      </c>
      <c r="F276" s="54">
        <f ca="1">SUM(E$276,F$271)</f>
        <v>0</v>
      </c>
      <c r="G276" s="54">
        <f ca="1">SUM(F$276,G$271)</f>
        <v>0</v>
      </c>
      <c r="H276" s="54">
        <f ca="1">SUM(G$276,H$271)</f>
        <v>0</v>
      </c>
      <c r="I276" s="54">
        <f ca="1">SUM(H$276,I$271)</f>
        <v>0</v>
      </c>
      <c r="J276" s="54">
        <f ca="1">SUM(I$276,J$271)</f>
        <v>0</v>
      </c>
    </row>
    <row r="277" spans="1:11" x14ac:dyDescent="0.2">
      <c r="A277" s="318" t="s">
        <v>1</v>
      </c>
      <c r="F277" s="60">
        <f ca="1">SUM(F$273,F$274)-SUM(F$275,F$276)</f>
        <v>0</v>
      </c>
      <c r="G277" s="60">
        <f ca="1">SUM(G$273,G$274)-SUM(G$275,G$276)</f>
        <v>0</v>
      </c>
      <c r="H277" s="60">
        <f ca="1">SUM(H$273,H$274)-SUM(H$275,H$276)</f>
        <v>0</v>
      </c>
      <c r="I277" s="60">
        <f ca="1">SUM(I$273,I$274)-SUM(I$275,I$276)</f>
        <v>0</v>
      </c>
      <c r="J277" s="60">
        <f ca="1">SUM(J$273,J$274)-SUM(J$275,J$276)</f>
        <v>0</v>
      </c>
    </row>
    <row r="278" spans="1:11" ht="13.5" x14ac:dyDescent="0.25">
      <c r="A278" s="319"/>
    </row>
    <row r="279" spans="1:11" x14ac:dyDescent="0.2">
      <c r="A279" s="44" t="s">
        <v>2</v>
      </c>
      <c r="F279" s="54">
        <f ca="1">IF($F$1="Yes",SUM(SUM(Data!E$131:E$138)*OFFSET(ReadyReckoner!$A$44,0,F$260),Data!E$106*OFFSET(ReadyReckoner!$A$45,0,F$260),AVERAGE(E$144,F$144)*OFFSET(ReadyReckoner!$A$50,0,F$260)/100,SUM(Data!E$108,Data!E$110)*OFFSET(ReadyReckoner!$A$47,0,F$260)),0)</f>
        <v>0</v>
      </c>
      <c r="G279" s="54">
        <f ca="1">IF($F$1="Yes",SUM(SUM(Data!F$131:F$138)*OFFSET(ReadyReckoner!$A$44,0,G$260),Data!F$106*OFFSET(ReadyReckoner!$A$45,0,G$260),AVERAGE(F$144,G$144)*OFFSET(ReadyReckoner!$A$50,0,G$260)/100,SUM(Data!F$108,Data!F$110)*OFFSET(ReadyReckoner!$A$47,0,G$260)),0)</f>
        <v>0</v>
      </c>
      <c r="H279" s="54">
        <f ca="1">IF($F$1="Yes",SUM(SUM(Data!G$131:G$138)*OFFSET(ReadyReckoner!$A$44,0,H$260),Data!G$106*OFFSET(ReadyReckoner!$A$45,0,H$260),AVERAGE(G$144,H$144)*OFFSET(ReadyReckoner!$A$50,0,H$260)/100,SUM(Data!G$108,Data!G$110)*OFFSET(ReadyReckoner!$A$47,0,H$260)),0)</f>
        <v>0</v>
      </c>
      <c r="I279" s="54">
        <f ca="1">IF($F$1="Yes",SUM(SUM(Data!H$131:H$138)*OFFSET(ReadyReckoner!$A$44,0,I$260),Data!H$106*OFFSET(ReadyReckoner!$A$45,0,I$260),AVERAGE(H$144,I$144)*OFFSET(ReadyReckoner!$A$50,0,I$260)/100,SUM(Data!H$108,Data!H$110)*OFFSET(ReadyReckoner!$A$47,0,I$260)),0)</f>
        <v>0</v>
      </c>
      <c r="J279" s="54">
        <f ca="1">IF($F$1="Yes",SUM(SUM(Data!I$131:I$138)*OFFSET(ReadyReckoner!$A$44,0,J$260),Data!I$106*OFFSET(ReadyReckoner!$A$45,0,J$260),AVERAGE(I$144,J$144)*OFFSET(ReadyReckoner!$A$50,0,J$260)/100,SUM(Data!I$108,Data!I$110)*OFFSET(ReadyReckoner!$A$47,0,J$260)),0)</f>
        <v>0</v>
      </c>
    </row>
    <row r="280" spans="1:11" x14ac:dyDescent="0.2">
      <c r="A280" s="44" t="s">
        <v>135</v>
      </c>
      <c r="F280" s="54">
        <f ca="1">IF($F$1="Yes",SUM(SUM(Data!E$140:E$141,Data!E$143:E$145)*(PRODUCT(OFFSET(ReadyReckoner!$A$49,0,2,1,F$260-1))-1),Data!E$143*OFFSET(ReadyReckoner!$A$46,0,F$260),SUM(Data!E$42:'Data'!E$51)*OFFSET(ReadyReckoner!$A$51,0,F$260)),0)</f>
        <v>0</v>
      </c>
      <c r="G280" s="54">
        <f ca="1">IF($F$1="Yes",SUM(SUM(Data!F$140:F$141,Data!F$143:F$145)*(PRODUCT(OFFSET(ReadyReckoner!$A$49,0,2,1,G$260-1))-1),Data!F$143*OFFSET(ReadyReckoner!$A$46,0,G$260),SUM(Data!F$42:'Data'!F$51)*OFFSET(ReadyReckoner!$A$51,0,G$260)),0)</f>
        <v>0</v>
      </c>
      <c r="H280" s="54">
        <f ca="1">IF($F$1="Yes",SUM(SUM(Data!G$140:G$141,Data!G$143:G$145)*(PRODUCT(OFFSET(ReadyReckoner!$A$49,0,2,1,H$260-1))-1),Data!G$143*OFFSET(ReadyReckoner!$A$46,0,H$260),SUM(Data!G$42:'Data'!G$51)*OFFSET(ReadyReckoner!$A$51,0,H$260)),0)</f>
        <v>0</v>
      </c>
      <c r="I280" s="54">
        <f ca="1">IF($F$1="Yes",SUM(SUM(Data!H$140:H$141,Data!H$143:H$145)*(PRODUCT(OFFSET(ReadyReckoner!$A$49,0,2,1,I$260-1))-1),Data!H$143*OFFSET(ReadyReckoner!$A$46,0,I$260),SUM(Data!H$42:'Data'!H$51)*OFFSET(ReadyReckoner!$A$51,0,I$260)),0)</f>
        <v>0</v>
      </c>
      <c r="J280" s="54">
        <f ca="1">IF($F$1="Yes",SUM(SUM(Data!I$140:I$141,Data!I$143:I$145)*(PRODUCT(OFFSET(ReadyReckoner!$A$49,0,2,1,J$260-1))-1),Data!I$143*OFFSET(ReadyReckoner!$A$46,0,J$260),SUM(Data!I$42:'Data'!I$51)*OFFSET(ReadyReckoner!$A$51,0,J$260)),0)</f>
        <v>0</v>
      </c>
    </row>
    <row r="281" spans="1:11" x14ac:dyDescent="0.2">
      <c r="A281" s="44" t="s">
        <v>136</v>
      </c>
      <c r="F281" s="54">
        <f ca="1">IF($F$1="Yes",F$219*(SUM($E$280:E$280,F$280/2)-SUM($E$279:E$279,F$279/2)) + MMULT(OFFSET(ReadyReckoner!$A$50,0,2,1,5),OFFSET(ReadyReckoner!$A$58,0,F$260,5,1))/1000,0)</f>
        <v>0</v>
      </c>
      <c r="G281" s="54">
        <f ca="1">IF($F$1="Yes",G$219*(SUM($E$280:F$280,G$280/2)-SUM($E$279:F$279,G$279/2)) + MMULT(OFFSET(ReadyReckoner!$A$50,0,2,1,5),OFFSET(ReadyReckoner!$A$58,0,G$260,5,1))/1000,0)</f>
        <v>0</v>
      </c>
      <c r="H281" s="54">
        <f ca="1">IF($F$1="Yes",H$219*(SUM($E$280:G$280,H$280/2)-SUM($E$279:G$279,H$279/2)) + MMULT(OFFSET(ReadyReckoner!$A$50,0,2,1,5),OFFSET(ReadyReckoner!$A$58,0,H$260,5,1))/1000,0)</f>
        <v>0</v>
      </c>
      <c r="I281" s="54">
        <f ca="1">IF($F$1="Yes",I$219*(SUM($E$280:H$280,I$280/2)-SUM($E$279:H$279,I$279/2)) + MMULT(OFFSET(ReadyReckoner!$A$50,0,2,1,5),OFFSET(ReadyReckoner!$A$58,0,I$260,5,1))/1000,0)</f>
        <v>0</v>
      </c>
      <c r="J281" s="54">
        <f ca="1">IF($F$1="Yes",J$219*(SUM($E$280:I$280,J$280/2)-SUM($E$279:I$279,J$279/2)) + MMULT(OFFSET(ReadyReckoner!$A$50,0,2,1,5),OFFSET(ReadyReckoner!$A$58,0,J$260,5,1))/1000,0)</f>
        <v>0</v>
      </c>
    </row>
    <row r="282" spans="1:11" x14ac:dyDescent="0.2">
      <c r="A282" s="318" t="s">
        <v>893</v>
      </c>
      <c r="F282" s="60">
        <f ca="1">F$279-SUM(F$280,F$281)</f>
        <v>0</v>
      </c>
      <c r="G282" s="60">
        <f ca="1">G$279-SUM(G$280,G$281)</f>
        <v>0</v>
      </c>
      <c r="H282" s="60">
        <f ca="1">H$279-SUM(H$280,H$281)</f>
        <v>0</v>
      </c>
      <c r="I282" s="60">
        <f ca="1">I$279-SUM(I$280,I$281)</f>
        <v>0</v>
      </c>
      <c r="J282" s="60">
        <f ca="1">J$279-SUM(J$280,J$281)</f>
        <v>0</v>
      </c>
    </row>
    <row r="283" spans="1:11" x14ac:dyDescent="0.2">
      <c r="A283" s="318" t="s">
        <v>137</v>
      </c>
      <c r="F283" s="60">
        <f ca="1">-F$282</f>
        <v>0</v>
      </c>
      <c r="G283" s="60">
        <f ca="1">-G$282</f>
        <v>0</v>
      </c>
      <c r="H283" s="60">
        <f ca="1">-H$282</f>
        <v>0</v>
      </c>
      <c r="I283" s="60">
        <f ca="1">-I$282</f>
        <v>0</v>
      </c>
      <c r="J283" s="60">
        <f ca="1">-J$282</f>
        <v>0</v>
      </c>
    </row>
    <row r="284" spans="1:11" x14ac:dyDescent="0.2">
      <c r="A284" s="318" t="s">
        <v>138</v>
      </c>
      <c r="F284" s="60">
        <f ca="1">SUM(E$284,F$283)</f>
        <v>0</v>
      </c>
      <c r="G284" s="60">
        <f ca="1">SUM(F$284,G$283)</f>
        <v>0</v>
      </c>
      <c r="H284" s="60">
        <f ca="1">SUM(G$284,H$283)</f>
        <v>0</v>
      </c>
      <c r="I284" s="60">
        <f ca="1">SUM(H$284,I$283)</f>
        <v>0</v>
      </c>
      <c r="J284" s="60">
        <f ca="1">SUM(I$284,J$283)</f>
        <v>0</v>
      </c>
    </row>
    <row r="285" spans="1:11" ht="13.5" x14ac:dyDescent="0.25">
      <c r="A285" s="319"/>
    </row>
    <row r="286" spans="1:11" x14ac:dyDescent="0.2">
      <c r="A286" s="318" t="s">
        <v>894</v>
      </c>
      <c r="F286" s="60">
        <f ca="1">SUM(F$269,F$282)</f>
        <v>0</v>
      </c>
      <c r="G286" s="60">
        <f ca="1">SUM(G$269,G$282)</f>
        <v>0</v>
      </c>
      <c r="H286" s="60">
        <f ca="1">SUM(H$269,H$282)</f>
        <v>0</v>
      </c>
      <c r="I286" s="60">
        <f ca="1">SUM(I$269,I$282)</f>
        <v>0</v>
      </c>
      <c r="J286" s="60">
        <f ca="1">SUM(J$269,J$282)</f>
        <v>0</v>
      </c>
    </row>
    <row r="287" spans="1:11" ht="13.5" x14ac:dyDescent="0.25">
      <c r="A287" s="319" t="s">
        <v>139</v>
      </c>
      <c r="F287" s="191" t="str">
        <f ca="1">IF(ROUND(Data!E$38-(F$16-F$286),3)=0,"OK","ERROR")</f>
        <v>OK</v>
      </c>
      <c r="G287" s="191" t="str">
        <f ca="1">IF(ROUND(Data!F$38-(G$16-G$286),3)=0,"OK","ERROR")</f>
        <v>OK</v>
      </c>
      <c r="H287" s="191" t="str">
        <f ca="1">IF(ROUND(Data!G$38-(H$16-H$286),3)=0,"OK","ERROR")</f>
        <v>OK</v>
      </c>
      <c r="I287" s="191" t="str">
        <f ca="1">IF(ROUND(Data!H$38-(I$16-I$286),3)=0,"OK","ERROR")</f>
        <v>OK</v>
      </c>
      <c r="J287" s="191" t="str">
        <f ca="1">IF(ROUND(Data!I$38-(J$16-J$286),3)=0,"OK","ERROR")</f>
        <v>OK</v>
      </c>
    </row>
    <row r="288" spans="1:11" ht="13.5" x14ac:dyDescent="0.25">
      <c r="A288" s="319"/>
      <c r="K288" s="182"/>
    </row>
    <row r="289" spans="1:11" x14ac:dyDescent="0.2">
      <c r="A289" s="318" t="s">
        <v>911</v>
      </c>
      <c r="F289" s="60">
        <f ca="1">SUM(F$276,F$284)</f>
        <v>0</v>
      </c>
      <c r="G289" s="60">
        <f ca="1">SUM(G$276,G$284)</f>
        <v>0</v>
      </c>
      <c r="H289" s="60">
        <f ca="1">SUM(H$276,H$284)</f>
        <v>0</v>
      </c>
      <c r="I289" s="60">
        <f ca="1">SUM(I$276,I$284)</f>
        <v>0</v>
      </c>
      <c r="J289" s="60">
        <f ca="1">SUM(J$276,J$284)</f>
        <v>0</v>
      </c>
    </row>
    <row r="290" spans="1:11" ht="13.5" x14ac:dyDescent="0.25">
      <c r="A290" s="319" t="s">
        <v>139</v>
      </c>
      <c r="F290" s="191" t="str">
        <f ca="1">IF(ROUND(Data!E$93-(F$27-F$289),3)=0,"OK","ERROR")</f>
        <v>OK</v>
      </c>
      <c r="G290" s="191" t="str">
        <f ca="1">IF(ROUND(Data!F$93-(G$27-G$289),3)=0,"OK","ERROR")</f>
        <v>OK</v>
      </c>
      <c r="H290" s="191" t="str">
        <f ca="1">IF(ROUND(Data!G$93-(H$27-H$289),3)=0,"OK","ERROR")</f>
        <v>OK</v>
      </c>
      <c r="I290" s="191" t="str">
        <f ca="1">IF(ROUND(Data!H$93-(I$27-I$289),3)=0,"OK","ERROR")</f>
        <v>OK</v>
      </c>
      <c r="J290" s="191" t="str">
        <f ca="1">IF(ROUND(Data!I$93-(J$27-J$289),3)=0,"OK","ERROR")</f>
        <v>OK</v>
      </c>
    </row>
    <row r="291" spans="1:11" x14ac:dyDescent="0.2">
      <c r="K291" s="182"/>
    </row>
    <row r="292" spans="1:11" x14ac:dyDescent="0.2">
      <c r="A292" s="318" t="s">
        <v>140</v>
      </c>
      <c r="F292" s="60">
        <f ca="1">SUM(F$277,-F$284)</f>
        <v>0</v>
      </c>
      <c r="G292" s="60">
        <f ca="1">SUM(G$277,-G$284)</f>
        <v>0</v>
      </c>
      <c r="H292" s="60">
        <f ca="1">SUM(H$277,-H$284)</f>
        <v>0</v>
      </c>
      <c r="I292" s="60">
        <f ca="1">SUM(I$277,-I$284)</f>
        <v>0</v>
      </c>
      <c r="J292" s="60">
        <f ca="1">SUM(J$277,-J$284)</f>
        <v>0</v>
      </c>
    </row>
    <row r="293" spans="1:11" ht="13.5" x14ac:dyDescent="0.25">
      <c r="A293" s="319" t="s">
        <v>139</v>
      </c>
      <c r="F293" s="191" t="str">
        <f ca="1">IF(ROUND(Data!E$84-(F$29-F$292),3)=0,"OK","ERROR")</f>
        <v>OK</v>
      </c>
      <c r="G293" s="191" t="str">
        <f ca="1">IF(ROUND(Data!F$84-(G$29-G$292),3)=0,"OK","ERROR")</f>
        <v>OK</v>
      </c>
      <c r="H293" s="191" t="str">
        <f ca="1">IF(ROUND(Data!G$84-(H$29-H$292),3)=0,"OK","ERROR")</f>
        <v>OK</v>
      </c>
      <c r="I293" s="191" t="str">
        <f ca="1">IF(ROUND(Data!H$84-(I$29-I$292),3)=0,"OK","ERROR")</f>
        <v>OK</v>
      </c>
      <c r="J293" s="191" t="str">
        <f ca="1">IF(ROUND(Data!I$84-(J$29-J$292),3)=0,"OK","ERROR")</f>
        <v>OK</v>
      </c>
    </row>
    <row r="294" spans="1:11" x14ac:dyDescent="0.2">
      <c r="K294" s="182"/>
    </row>
  </sheetData>
  <pageMargins left="0.75" right="0.75" top="1" bottom="1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8833" r:id="rId4" name="Drop Down 1">
              <controlPr defaultSize="0" autoLine="0" autoPict="0">
                <anchor moveWithCells="1">
                  <from>
                    <xdr:col>0</xdr:col>
                    <xdr:colOff>19050</xdr:colOff>
                    <xdr:row>4</xdr:row>
                    <xdr:rowOff>152400</xdr:rowOff>
                  </from>
                  <to>
                    <xdr:col>0</xdr:col>
                    <xdr:colOff>4362450</xdr:colOff>
                    <xdr:row>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1"/>
  <sheetViews>
    <sheetView workbookViewId="0">
      <selection activeCell="A32" sqref="A32"/>
    </sheetView>
  </sheetViews>
  <sheetFormatPr defaultRowHeight="12.75" x14ac:dyDescent="0.2"/>
  <cols>
    <col min="1" max="1" width="70.7109375" customWidth="1"/>
  </cols>
  <sheetData>
    <row r="1" spans="1:2" ht="15.75" x14ac:dyDescent="0.25">
      <c r="A1" s="11" t="s">
        <v>563</v>
      </c>
      <c r="B1">
        <v>29</v>
      </c>
    </row>
    <row r="2" spans="1:2" x14ac:dyDescent="0.2">
      <c r="A2" s="47" t="s">
        <v>554</v>
      </c>
      <c r="B2" s="49">
        <v>1</v>
      </c>
    </row>
    <row r="3" spans="1:2" x14ac:dyDescent="0.2">
      <c r="A3" s="47" t="s">
        <v>518</v>
      </c>
      <c r="B3" s="49">
        <v>2</v>
      </c>
    </row>
    <row r="4" spans="1:2" x14ac:dyDescent="0.2">
      <c r="A4" s="47" t="s">
        <v>519</v>
      </c>
      <c r="B4" s="49">
        <v>3</v>
      </c>
    </row>
    <row r="5" spans="1:2" x14ac:dyDescent="0.2">
      <c r="A5" s="47" t="s">
        <v>520</v>
      </c>
      <c r="B5" s="49">
        <v>4</v>
      </c>
    </row>
    <row r="6" spans="1:2" x14ac:dyDescent="0.2">
      <c r="A6" s="47" t="s">
        <v>522</v>
      </c>
      <c r="B6" s="49">
        <v>5</v>
      </c>
    </row>
    <row r="7" spans="1:2" x14ac:dyDescent="0.2">
      <c r="A7" s="47" t="s">
        <v>556</v>
      </c>
      <c r="B7" s="49">
        <v>6</v>
      </c>
    </row>
    <row r="8" spans="1:2" x14ac:dyDescent="0.2">
      <c r="A8" s="47"/>
      <c r="B8" s="49">
        <v>7</v>
      </c>
    </row>
    <row r="9" spans="1:2" x14ac:dyDescent="0.2">
      <c r="A9" s="47" t="s">
        <v>555</v>
      </c>
      <c r="B9" s="49">
        <v>8</v>
      </c>
    </row>
    <row r="10" spans="1:2" x14ac:dyDescent="0.2">
      <c r="A10" s="47"/>
      <c r="B10" s="49">
        <v>9</v>
      </c>
    </row>
    <row r="11" spans="1:2" x14ac:dyDescent="0.2">
      <c r="A11" s="47" t="s">
        <v>564</v>
      </c>
      <c r="B11" s="49">
        <v>10</v>
      </c>
    </row>
    <row r="12" spans="1:2" x14ac:dyDescent="0.2">
      <c r="A12" s="47" t="s">
        <v>523</v>
      </c>
      <c r="B12" s="49">
        <v>11</v>
      </c>
    </row>
    <row r="13" spans="1:2" x14ac:dyDescent="0.2">
      <c r="A13" s="47" t="s">
        <v>524</v>
      </c>
      <c r="B13" s="49">
        <v>12</v>
      </c>
    </row>
    <row r="14" spans="1:2" x14ac:dyDescent="0.2">
      <c r="A14" s="47" t="s">
        <v>525</v>
      </c>
      <c r="B14" s="49">
        <v>13</v>
      </c>
    </row>
    <row r="15" spans="1:2" x14ac:dyDescent="0.2">
      <c r="A15" s="47"/>
      <c r="B15" s="49">
        <v>14</v>
      </c>
    </row>
    <row r="16" spans="1:2" x14ac:dyDescent="0.2">
      <c r="A16" s="47" t="s">
        <v>565</v>
      </c>
      <c r="B16" s="49">
        <v>15</v>
      </c>
    </row>
    <row r="17" spans="1:2" x14ac:dyDescent="0.2">
      <c r="A17" s="47"/>
      <c r="B17" s="49">
        <v>16</v>
      </c>
    </row>
    <row r="18" spans="1:2" x14ac:dyDescent="0.2">
      <c r="A18" s="47"/>
      <c r="B18" s="49">
        <v>17</v>
      </c>
    </row>
    <row r="19" spans="1:2" x14ac:dyDescent="0.2">
      <c r="A19" s="47" t="s">
        <v>557</v>
      </c>
      <c r="B19" s="49">
        <v>18</v>
      </c>
    </row>
    <row r="20" spans="1:2" x14ac:dyDescent="0.2">
      <c r="A20" s="47" t="s">
        <v>558</v>
      </c>
      <c r="B20" s="49">
        <v>19</v>
      </c>
    </row>
    <row r="21" spans="1:2" x14ac:dyDescent="0.2">
      <c r="A21" s="47" t="s">
        <v>561</v>
      </c>
      <c r="B21" s="49">
        <v>20</v>
      </c>
    </row>
    <row r="22" spans="1:2" x14ac:dyDescent="0.2">
      <c r="A22" s="47" t="s">
        <v>562</v>
      </c>
      <c r="B22" s="49">
        <v>21</v>
      </c>
    </row>
    <row r="23" spans="1:2" x14ac:dyDescent="0.2">
      <c r="A23" s="47" t="s">
        <v>559</v>
      </c>
      <c r="B23" s="49">
        <v>22</v>
      </c>
    </row>
    <row r="24" spans="1:2" x14ac:dyDescent="0.2">
      <c r="A24" s="47" t="s">
        <v>560</v>
      </c>
      <c r="B24" s="49">
        <v>23</v>
      </c>
    </row>
    <row r="25" spans="1:2" x14ac:dyDescent="0.2">
      <c r="B25" s="49">
        <v>24</v>
      </c>
    </row>
    <row r="26" spans="1:2" x14ac:dyDescent="0.2">
      <c r="A26" s="47" t="s">
        <v>261</v>
      </c>
      <c r="B26" s="49">
        <v>25</v>
      </c>
    </row>
    <row r="27" spans="1:2" x14ac:dyDescent="0.2">
      <c r="A27" s="47" t="s">
        <v>566</v>
      </c>
      <c r="B27" s="49">
        <v>26</v>
      </c>
    </row>
    <row r="28" spans="1:2" x14ac:dyDescent="0.2">
      <c r="A28" s="47" t="s">
        <v>567</v>
      </c>
      <c r="B28" s="49">
        <v>27</v>
      </c>
    </row>
    <row r="29" spans="1:2" x14ac:dyDescent="0.2">
      <c r="A29" s="47" t="s">
        <v>568</v>
      </c>
      <c r="B29" s="49">
        <v>28</v>
      </c>
    </row>
    <row r="30" spans="1:2" x14ac:dyDescent="0.2">
      <c r="A30" s="47" t="s">
        <v>408</v>
      </c>
      <c r="B30" s="49">
        <v>29</v>
      </c>
    </row>
    <row r="31" spans="1:2" x14ac:dyDescent="0.2">
      <c r="A31" s="47" t="s">
        <v>905</v>
      </c>
      <c r="B31" s="49">
        <v>30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U287"/>
  <sheetViews>
    <sheetView workbookViewId="0">
      <pane xSplit="2" ySplit="2" topLeftCell="C3" activePane="bottomRight" state="frozen"/>
      <selection activeCell="I259" sqref="I259"/>
      <selection pane="topRight" activeCell="I259" sqref="I259"/>
      <selection pane="bottomLeft" activeCell="I259" sqref="I259"/>
      <selection pane="bottomRight" activeCell="A3" sqref="A3"/>
    </sheetView>
  </sheetViews>
  <sheetFormatPr defaultRowHeight="12.75" x14ac:dyDescent="0.2"/>
  <cols>
    <col min="1" max="1" width="40.7109375" customWidth="1"/>
    <col min="2" max="2" width="10.7109375" customWidth="1"/>
    <col min="3" max="47" width="8.7109375" customWidth="1"/>
  </cols>
  <sheetData>
    <row r="1" spans="1:47" ht="18.75" x14ac:dyDescent="0.3">
      <c r="A1" s="1" t="s">
        <v>7</v>
      </c>
      <c r="C1" s="330" t="s">
        <v>599</v>
      </c>
      <c r="F1" s="331" t="s">
        <v>600</v>
      </c>
      <c r="M1" s="330" t="s">
        <v>601</v>
      </c>
      <c r="Q1" s="331" t="s">
        <v>8</v>
      </c>
      <c r="R1" s="331"/>
      <c r="S1" s="331"/>
      <c r="T1" s="331"/>
    </row>
    <row r="2" spans="1:47" x14ac:dyDescent="0.2">
      <c r="C2" s="12" t="s">
        <v>780</v>
      </c>
      <c r="D2" s="12" t="s">
        <v>781</v>
      </c>
      <c r="E2" s="12" t="s">
        <v>782</v>
      </c>
      <c r="F2" s="12" t="s">
        <v>783</v>
      </c>
      <c r="G2" s="12" t="s">
        <v>784</v>
      </c>
      <c r="H2" s="12" t="s">
        <v>785</v>
      </c>
      <c r="I2" s="12" t="s">
        <v>786</v>
      </c>
      <c r="J2" s="12" t="s">
        <v>787</v>
      </c>
      <c r="K2" s="12" t="s">
        <v>788</v>
      </c>
      <c r="L2" s="12" t="s">
        <v>789</v>
      </c>
      <c r="M2" s="12" t="s">
        <v>790</v>
      </c>
      <c r="N2" s="12" t="s">
        <v>791</v>
      </c>
      <c r="O2" s="12" t="s">
        <v>792</v>
      </c>
      <c r="P2" s="12" t="s">
        <v>793</v>
      </c>
      <c r="Q2" s="12" t="s">
        <v>794</v>
      </c>
      <c r="R2" s="12" t="s">
        <v>795</v>
      </c>
      <c r="S2" s="12" t="s">
        <v>796</v>
      </c>
      <c r="T2" s="12" t="s">
        <v>797</v>
      </c>
      <c r="U2" s="12" t="s">
        <v>798</v>
      </c>
      <c r="V2" s="12" t="s">
        <v>799</v>
      </c>
      <c r="W2" s="12" t="s">
        <v>800</v>
      </c>
      <c r="X2" s="12" t="s">
        <v>801</v>
      </c>
      <c r="Y2" s="12" t="s">
        <v>802</v>
      </c>
      <c r="Z2" s="12" t="s">
        <v>803</v>
      </c>
      <c r="AA2" s="12" t="s">
        <v>804</v>
      </c>
      <c r="AB2" s="12" t="s">
        <v>805</v>
      </c>
      <c r="AC2" s="12" t="s">
        <v>806</v>
      </c>
      <c r="AD2" s="12" t="s">
        <v>807</v>
      </c>
      <c r="AE2" s="12" t="s">
        <v>808</v>
      </c>
      <c r="AF2" s="12" t="s">
        <v>809</v>
      </c>
      <c r="AG2" s="12" t="s">
        <v>810</v>
      </c>
      <c r="AH2" s="12" t="s">
        <v>811</v>
      </c>
      <c r="AI2" s="12" t="s">
        <v>812</v>
      </c>
      <c r="AJ2" s="12" t="s">
        <v>813</v>
      </c>
      <c r="AK2" s="12" t="s">
        <v>814</v>
      </c>
      <c r="AL2" s="12" t="s">
        <v>815</v>
      </c>
      <c r="AM2" s="12" t="s">
        <v>816</v>
      </c>
      <c r="AN2" s="12" t="s">
        <v>817</v>
      </c>
      <c r="AO2" s="12" t="s">
        <v>818</v>
      </c>
      <c r="AP2" s="12" t="s">
        <v>819</v>
      </c>
      <c r="AQ2" s="12" t="s">
        <v>820</v>
      </c>
      <c r="AR2" s="12" t="s">
        <v>821</v>
      </c>
      <c r="AS2" s="12" t="s">
        <v>822</v>
      </c>
      <c r="AT2" s="12" t="s">
        <v>823</v>
      </c>
      <c r="AU2" s="12" t="s">
        <v>824</v>
      </c>
    </row>
    <row r="4" spans="1:47" ht="18.75" x14ac:dyDescent="0.3">
      <c r="A4" s="1" t="s">
        <v>623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</row>
    <row r="5" spans="1:47" ht="15.75" x14ac:dyDescent="0.25">
      <c r="A5" s="11" t="s">
        <v>624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</row>
    <row r="6" spans="1:47" x14ac:dyDescent="0.2">
      <c r="A6" s="113" t="s">
        <v>106</v>
      </c>
      <c r="B6" s="8"/>
      <c r="C6" s="230">
        <f t="shared" ref="C6:AH6" si="0">SUM(C$9:C$99,C$103:C$193)/1000000</f>
        <v>4.1846300000000003</v>
      </c>
      <c r="D6" s="230">
        <f t="shared" si="0"/>
        <v>4.2282799999999998</v>
      </c>
      <c r="E6" s="230">
        <f t="shared" si="0"/>
        <v>4.2686599999999997</v>
      </c>
      <c r="F6" s="230">
        <f t="shared" si="0"/>
        <v>4.3100899999999998</v>
      </c>
      <c r="G6" s="230">
        <f t="shared" si="0"/>
        <v>4.3520099999999999</v>
      </c>
      <c r="H6" s="230">
        <f t="shared" si="0"/>
        <v>4.3932799999999999</v>
      </c>
      <c r="I6" s="230">
        <f t="shared" si="0"/>
        <v>4.4335699999999996</v>
      </c>
      <c r="J6" s="230">
        <f t="shared" si="0"/>
        <v>4.4732000000000003</v>
      </c>
      <c r="K6" s="230">
        <f t="shared" si="0"/>
        <v>4.5122499999999999</v>
      </c>
      <c r="L6" s="230">
        <f t="shared" si="0"/>
        <v>4.5507400000000002</v>
      </c>
      <c r="M6" s="230">
        <f t="shared" si="0"/>
        <v>4.5886800000000001</v>
      </c>
      <c r="N6" s="230">
        <f t="shared" si="0"/>
        <v>4.6261099999999997</v>
      </c>
      <c r="O6" s="230">
        <f t="shared" si="0"/>
        <v>4.6630500000000001</v>
      </c>
      <c r="P6" s="230">
        <f t="shared" si="0"/>
        <v>4.69937</v>
      </c>
      <c r="Q6" s="230">
        <f t="shared" si="0"/>
        <v>4.7353300000000003</v>
      </c>
      <c r="R6" s="230">
        <f t="shared" si="0"/>
        <v>4.77081</v>
      </c>
      <c r="S6" s="230">
        <f t="shared" si="0"/>
        <v>4.8057299999999996</v>
      </c>
      <c r="T6" s="230">
        <f t="shared" si="0"/>
        <v>4.8400800000000004</v>
      </c>
      <c r="U6" s="230">
        <f t="shared" si="0"/>
        <v>4.8737399999999997</v>
      </c>
      <c r="V6" s="230">
        <f t="shared" si="0"/>
        <v>4.9069099999999999</v>
      </c>
      <c r="W6" s="230">
        <f t="shared" si="0"/>
        <v>4.9393599999999998</v>
      </c>
      <c r="X6" s="230">
        <f t="shared" si="0"/>
        <v>4.9711600000000002</v>
      </c>
      <c r="Y6" s="230">
        <f t="shared" si="0"/>
        <v>5.0020600000000002</v>
      </c>
      <c r="Z6" s="230">
        <f t="shared" si="0"/>
        <v>5.0321899999999999</v>
      </c>
      <c r="AA6" s="230">
        <f t="shared" si="0"/>
        <v>5.0613799999999998</v>
      </c>
      <c r="AB6" s="230">
        <f t="shared" si="0"/>
        <v>5.0896100000000004</v>
      </c>
      <c r="AC6" s="230">
        <f t="shared" si="0"/>
        <v>5.11707</v>
      </c>
      <c r="AD6" s="230">
        <f t="shared" si="0"/>
        <v>5.1433999999999997</v>
      </c>
      <c r="AE6" s="230">
        <f t="shared" si="0"/>
        <v>5.1690199999999997</v>
      </c>
      <c r="AF6" s="230">
        <f t="shared" si="0"/>
        <v>5.1937300000000004</v>
      </c>
      <c r="AG6" s="230">
        <f t="shared" si="0"/>
        <v>5.21753</v>
      </c>
      <c r="AH6" s="230">
        <f t="shared" si="0"/>
        <v>5.2405900000000001</v>
      </c>
      <c r="AI6" s="230">
        <f t="shared" ref="AI6:AU6" si="1">SUM(AI$9:AI$99,AI$103:AI$193)/1000000</f>
        <v>5.2629400000000004</v>
      </c>
      <c r="AJ6" s="230">
        <f t="shared" si="1"/>
        <v>5.2844199999999999</v>
      </c>
      <c r="AK6" s="230">
        <f t="shared" si="1"/>
        <v>5.3052200000000003</v>
      </c>
      <c r="AL6" s="230">
        <f t="shared" si="1"/>
        <v>5.3251900000000001</v>
      </c>
      <c r="AM6" s="230">
        <f t="shared" si="1"/>
        <v>5.3444399999999996</v>
      </c>
      <c r="AN6" s="230">
        <f t="shared" si="1"/>
        <v>5.3628799999999996</v>
      </c>
      <c r="AO6" s="230">
        <f t="shared" si="1"/>
        <v>5.3806900000000004</v>
      </c>
      <c r="AP6" s="230">
        <f t="shared" si="1"/>
        <v>5.3974200000000003</v>
      </c>
      <c r="AQ6" s="230">
        <f t="shared" si="1"/>
        <v>5.4133899999999997</v>
      </c>
      <c r="AR6" s="230">
        <f t="shared" si="1"/>
        <v>5.4285100000000002</v>
      </c>
      <c r="AS6" s="230">
        <f t="shared" si="1"/>
        <v>5.4427500000000002</v>
      </c>
      <c r="AT6" s="230">
        <f t="shared" si="1"/>
        <v>5.4561200000000003</v>
      </c>
      <c r="AU6" s="230">
        <f t="shared" si="1"/>
        <v>5.4688299999999996</v>
      </c>
    </row>
    <row r="7" spans="1:47" x14ac:dyDescent="0.2">
      <c r="A7" s="113"/>
      <c r="B7" s="8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</row>
    <row r="8" spans="1:47" x14ac:dyDescent="0.2">
      <c r="A8" s="113" t="s">
        <v>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x14ac:dyDescent="0.2">
      <c r="A9" s="114" t="s">
        <v>10</v>
      </c>
      <c r="B9" s="8"/>
      <c r="C9" s="112">
        <v>30150</v>
      </c>
      <c r="D9" s="112">
        <v>31680</v>
      </c>
      <c r="E9" s="112">
        <v>32810</v>
      </c>
      <c r="F9" s="112">
        <v>31610</v>
      </c>
      <c r="G9" s="112">
        <v>31310</v>
      </c>
      <c r="H9" s="112">
        <v>31050</v>
      </c>
      <c r="I9" s="112">
        <v>30840</v>
      </c>
      <c r="J9" s="112">
        <v>30660</v>
      </c>
      <c r="K9" s="112">
        <v>30530</v>
      </c>
      <c r="L9" s="112">
        <v>30440</v>
      </c>
      <c r="M9" s="112">
        <v>30370</v>
      </c>
      <c r="N9" s="112">
        <v>30340</v>
      </c>
      <c r="O9" s="112">
        <v>30310</v>
      </c>
      <c r="P9" s="112">
        <v>30300</v>
      </c>
      <c r="Q9" s="112">
        <v>30300</v>
      </c>
      <c r="R9" s="112">
        <v>30290</v>
      </c>
      <c r="S9" s="112">
        <v>30300</v>
      </c>
      <c r="T9" s="112">
        <v>30300</v>
      </c>
      <c r="U9" s="112">
        <v>30310</v>
      </c>
      <c r="V9" s="112">
        <v>30320</v>
      </c>
      <c r="W9" s="112">
        <v>30330</v>
      </c>
      <c r="X9" s="112">
        <v>30320</v>
      </c>
      <c r="Y9" s="112">
        <v>30300</v>
      </c>
      <c r="Z9" s="112">
        <v>30260</v>
      </c>
      <c r="AA9" s="112">
        <v>30210</v>
      </c>
      <c r="AB9" s="112">
        <v>30160</v>
      </c>
      <c r="AC9" s="112">
        <v>30130</v>
      </c>
      <c r="AD9" s="112">
        <v>30110</v>
      </c>
      <c r="AE9" s="112">
        <v>30110</v>
      </c>
      <c r="AF9" s="112">
        <v>30140</v>
      </c>
      <c r="AG9" s="112">
        <v>30180</v>
      </c>
      <c r="AH9" s="112">
        <v>30250</v>
      </c>
      <c r="AI9" s="112">
        <v>30320</v>
      </c>
      <c r="AJ9" s="112">
        <v>30410</v>
      </c>
      <c r="AK9" s="112">
        <v>30490</v>
      </c>
      <c r="AL9" s="112">
        <v>30560</v>
      </c>
      <c r="AM9" s="112">
        <v>30610</v>
      </c>
      <c r="AN9" s="112">
        <v>30640</v>
      </c>
      <c r="AO9" s="112">
        <v>30660</v>
      </c>
      <c r="AP9" s="112">
        <v>30650</v>
      </c>
      <c r="AQ9" s="112">
        <v>30620</v>
      </c>
      <c r="AR9" s="112">
        <v>30590</v>
      </c>
      <c r="AS9" s="112">
        <v>30550</v>
      </c>
      <c r="AT9" s="112">
        <v>30510</v>
      </c>
      <c r="AU9" s="112">
        <v>30470</v>
      </c>
    </row>
    <row r="10" spans="1:47" x14ac:dyDescent="0.2">
      <c r="A10" s="114" t="s">
        <v>11</v>
      </c>
      <c r="B10" s="8"/>
      <c r="C10" s="112">
        <v>29380</v>
      </c>
      <c r="D10" s="112">
        <v>30130</v>
      </c>
      <c r="E10" s="112">
        <v>31570</v>
      </c>
      <c r="F10" s="112">
        <v>31830</v>
      </c>
      <c r="G10" s="112">
        <v>31690</v>
      </c>
      <c r="H10" s="112">
        <v>31380</v>
      </c>
      <c r="I10" s="112">
        <v>31120</v>
      </c>
      <c r="J10" s="112">
        <v>30910</v>
      </c>
      <c r="K10" s="112">
        <v>30740</v>
      </c>
      <c r="L10" s="112">
        <v>30610</v>
      </c>
      <c r="M10" s="112">
        <v>30520</v>
      </c>
      <c r="N10" s="112">
        <v>30450</v>
      </c>
      <c r="O10" s="112">
        <v>30410</v>
      </c>
      <c r="P10" s="112">
        <v>30390</v>
      </c>
      <c r="Q10" s="112">
        <v>30380</v>
      </c>
      <c r="R10" s="112">
        <v>30370</v>
      </c>
      <c r="S10" s="112">
        <v>30370</v>
      </c>
      <c r="T10" s="112">
        <v>30380</v>
      </c>
      <c r="U10" s="112">
        <v>30380</v>
      </c>
      <c r="V10" s="112">
        <v>30390</v>
      </c>
      <c r="W10" s="112">
        <v>30400</v>
      </c>
      <c r="X10" s="112">
        <v>30410</v>
      </c>
      <c r="Y10" s="112">
        <v>30410</v>
      </c>
      <c r="Z10" s="112">
        <v>30380</v>
      </c>
      <c r="AA10" s="112">
        <v>30340</v>
      </c>
      <c r="AB10" s="112">
        <v>30290</v>
      </c>
      <c r="AC10" s="112">
        <v>30250</v>
      </c>
      <c r="AD10" s="112">
        <v>30210</v>
      </c>
      <c r="AE10" s="112">
        <v>30190</v>
      </c>
      <c r="AF10" s="112">
        <v>30190</v>
      </c>
      <c r="AG10" s="112">
        <v>30220</v>
      </c>
      <c r="AH10" s="112">
        <v>30260</v>
      </c>
      <c r="AI10" s="112">
        <v>30330</v>
      </c>
      <c r="AJ10" s="112">
        <v>30410</v>
      </c>
      <c r="AK10" s="112">
        <v>30490</v>
      </c>
      <c r="AL10" s="112">
        <v>30570</v>
      </c>
      <c r="AM10" s="112">
        <v>30640</v>
      </c>
      <c r="AN10" s="112">
        <v>30690</v>
      </c>
      <c r="AO10" s="112">
        <v>30730</v>
      </c>
      <c r="AP10" s="112">
        <v>30740</v>
      </c>
      <c r="AQ10" s="112">
        <v>30730</v>
      </c>
      <c r="AR10" s="112">
        <v>30710</v>
      </c>
      <c r="AS10" s="112">
        <v>30670</v>
      </c>
      <c r="AT10" s="112">
        <v>30630</v>
      </c>
      <c r="AU10" s="112">
        <v>30590</v>
      </c>
    </row>
    <row r="11" spans="1:47" x14ac:dyDescent="0.2">
      <c r="A11" s="114" t="s">
        <v>12</v>
      </c>
      <c r="B11" s="8"/>
      <c r="C11" s="112">
        <v>29510</v>
      </c>
      <c r="D11" s="112">
        <v>29470</v>
      </c>
      <c r="E11" s="112">
        <v>30140</v>
      </c>
      <c r="F11" s="112">
        <v>31790</v>
      </c>
      <c r="G11" s="112">
        <v>31930</v>
      </c>
      <c r="H11" s="112">
        <v>31790</v>
      </c>
      <c r="I11" s="112">
        <v>31480</v>
      </c>
      <c r="J11" s="112">
        <v>31220</v>
      </c>
      <c r="K11" s="112">
        <v>31010</v>
      </c>
      <c r="L11" s="112">
        <v>30840</v>
      </c>
      <c r="M11" s="112">
        <v>30710</v>
      </c>
      <c r="N11" s="112">
        <v>30620</v>
      </c>
      <c r="O11" s="112">
        <v>30550</v>
      </c>
      <c r="P11" s="112">
        <v>30510</v>
      </c>
      <c r="Q11" s="112">
        <v>30490</v>
      </c>
      <c r="R11" s="112">
        <v>30480</v>
      </c>
      <c r="S11" s="112">
        <v>30480</v>
      </c>
      <c r="T11" s="112">
        <v>30470</v>
      </c>
      <c r="U11" s="112">
        <v>30480</v>
      </c>
      <c r="V11" s="112">
        <v>30490</v>
      </c>
      <c r="W11" s="112">
        <v>30500</v>
      </c>
      <c r="X11" s="112">
        <v>30500</v>
      </c>
      <c r="Y11" s="112">
        <v>30510</v>
      </c>
      <c r="Z11" s="112">
        <v>30510</v>
      </c>
      <c r="AA11" s="112">
        <v>30480</v>
      </c>
      <c r="AB11" s="112">
        <v>30440</v>
      </c>
      <c r="AC11" s="112">
        <v>30390</v>
      </c>
      <c r="AD11" s="112">
        <v>30350</v>
      </c>
      <c r="AE11" s="112">
        <v>30310</v>
      </c>
      <c r="AF11" s="112">
        <v>30290</v>
      </c>
      <c r="AG11" s="112">
        <v>30300</v>
      </c>
      <c r="AH11" s="112">
        <v>30320</v>
      </c>
      <c r="AI11" s="112">
        <v>30370</v>
      </c>
      <c r="AJ11" s="112">
        <v>30430</v>
      </c>
      <c r="AK11" s="112">
        <v>30510</v>
      </c>
      <c r="AL11" s="112">
        <v>30590</v>
      </c>
      <c r="AM11" s="112">
        <v>30670</v>
      </c>
      <c r="AN11" s="112">
        <v>30740</v>
      </c>
      <c r="AO11" s="112">
        <v>30800</v>
      </c>
      <c r="AP11" s="112">
        <v>30830</v>
      </c>
      <c r="AQ11" s="112">
        <v>30840</v>
      </c>
      <c r="AR11" s="112">
        <v>30840</v>
      </c>
      <c r="AS11" s="112">
        <v>30810</v>
      </c>
      <c r="AT11" s="112">
        <v>30780</v>
      </c>
      <c r="AU11" s="112">
        <v>30740</v>
      </c>
    </row>
    <row r="12" spans="1:47" x14ac:dyDescent="0.2">
      <c r="A12" s="114" t="s">
        <v>13</v>
      </c>
      <c r="B12" s="8"/>
      <c r="C12" s="112">
        <v>28800</v>
      </c>
      <c r="D12" s="112">
        <v>29640</v>
      </c>
      <c r="E12" s="112">
        <v>29490</v>
      </c>
      <c r="F12" s="112">
        <v>30410</v>
      </c>
      <c r="G12" s="112">
        <v>31890</v>
      </c>
      <c r="H12" s="112">
        <v>32040</v>
      </c>
      <c r="I12" s="112">
        <v>31890</v>
      </c>
      <c r="J12" s="112">
        <v>31590</v>
      </c>
      <c r="K12" s="112">
        <v>31330</v>
      </c>
      <c r="L12" s="112">
        <v>31120</v>
      </c>
      <c r="M12" s="112">
        <v>30950</v>
      </c>
      <c r="N12" s="112">
        <v>30820</v>
      </c>
      <c r="O12" s="112">
        <v>30720</v>
      </c>
      <c r="P12" s="112">
        <v>30660</v>
      </c>
      <c r="Q12" s="112">
        <v>30620</v>
      </c>
      <c r="R12" s="112">
        <v>30600</v>
      </c>
      <c r="S12" s="112">
        <v>30590</v>
      </c>
      <c r="T12" s="112">
        <v>30580</v>
      </c>
      <c r="U12" s="112">
        <v>30580</v>
      </c>
      <c r="V12" s="112">
        <v>30590</v>
      </c>
      <c r="W12" s="112">
        <v>30590</v>
      </c>
      <c r="X12" s="112">
        <v>30600</v>
      </c>
      <c r="Y12" s="112">
        <v>30610</v>
      </c>
      <c r="Z12" s="112">
        <v>30620</v>
      </c>
      <c r="AA12" s="112">
        <v>30620</v>
      </c>
      <c r="AB12" s="112">
        <v>30590</v>
      </c>
      <c r="AC12" s="112">
        <v>30550</v>
      </c>
      <c r="AD12" s="112">
        <v>30500</v>
      </c>
      <c r="AE12" s="112">
        <v>30460</v>
      </c>
      <c r="AF12" s="112">
        <v>30420</v>
      </c>
      <c r="AG12" s="112">
        <v>30400</v>
      </c>
      <c r="AH12" s="112">
        <v>30410</v>
      </c>
      <c r="AI12" s="112">
        <v>30430</v>
      </c>
      <c r="AJ12" s="112">
        <v>30480</v>
      </c>
      <c r="AK12" s="112">
        <v>30540</v>
      </c>
      <c r="AL12" s="112">
        <v>30620</v>
      </c>
      <c r="AM12" s="112">
        <v>30700</v>
      </c>
      <c r="AN12" s="112">
        <v>30780</v>
      </c>
      <c r="AO12" s="112">
        <v>30850</v>
      </c>
      <c r="AP12" s="112">
        <v>30910</v>
      </c>
      <c r="AQ12" s="112">
        <v>30940</v>
      </c>
      <c r="AR12" s="112">
        <v>30950</v>
      </c>
      <c r="AS12" s="112">
        <v>30940</v>
      </c>
      <c r="AT12" s="112">
        <v>30920</v>
      </c>
      <c r="AU12" s="112">
        <v>30890</v>
      </c>
    </row>
    <row r="13" spans="1:47" x14ac:dyDescent="0.2">
      <c r="A13" s="114" t="s">
        <v>14</v>
      </c>
      <c r="B13" s="8"/>
      <c r="C13" s="112">
        <v>28370</v>
      </c>
      <c r="D13" s="112">
        <v>28890</v>
      </c>
      <c r="E13" s="112">
        <v>29670</v>
      </c>
      <c r="F13" s="112">
        <v>29670</v>
      </c>
      <c r="G13" s="112">
        <v>30510</v>
      </c>
      <c r="H13" s="112">
        <v>32000</v>
      </c>
      <c r="I13" s="112">
        <v>32140</v>
      </c>
      <c r="J13" s="112">
        <v>32000</v>
      </c>
      <c r="K13" s="112">
        <v>31700</v>
      </c>
      <c r="L13" s="112">
        <v>31440</v>
      </c>
      <c r="M13" s="112">
        <v>31230</v>
      </c>
      <c r="N13" s="112">
        <v>31060</v>
      </c>
      <c r="O13" s="112">
        <v>30930</v>
      </c>
      <c r="P13" s="112">
        <v>30830</v>
      </c>
      <c r="Q13" s="112">
        <v>30770</v>
      </c>
      <c r="R13" s="112">
        <v>30730</v>
      </c>
      <c r="S13" s="112">
        <v>30710</v>
      </c>
      <c r="T13" s="112">
        <v>30700</v>
      </c>
      <c r="U13" s="112">
        <v>30690</v>
      </c>
      <c r="V13" s="112">
        <v>30690</v>
      </c>
      <c r="W13" s="112">
        <v>30690</v>
      </c>
      <c r="X13" s="112">
        <v>30700</v>
      </c>
      <c r="Y13" s="112">
        <v>30710</v>
      </c>
      <c r="Z13" s="112">
        <v>30720</v>
      </c>
      <c r="AA13" s="112">
        <v>30730</v>
      </c>
      <c r="AB13" s="112">
        <v>30720</v>
      </c>
      <c r="AC13" s="112">
        <v>30700</v>
      </c>
      <c r="AD13" s="112">
        <v>30660</v>
      </c>
      <c r="AE13" s="112">
        <v>30610</v>
      </c>
      <c r="AF13" s="112">
        <v>30570</v>
      </c>
      <c r="AG13" s="112">
        <v>30530</v>
      </c>
      <c r="AH13" s="112">
        <v>30510</v>
      </c>
      <c r="AI13" s="112">
        <v>30520</v>
      </c>
      <c r="AJ13" s="112">
        <v>30540</v>
      </c>
      <c r="AK13" s="112">
        <v>30590</v>
      </c>
      <c r="AL13" s="112">
        <v>30650</v>
      </c>
      <c r="AM13" s="112">
        <v>30730</v>
      </c>
      <c r="AN13" s="112">
        <v>30810</v>
      </c>
      <c r="AO13" s="112">
        <v>30890</v>
      </c>
      <c r="AP13" s="112">
        <v>30960</v>
      </c>
      <c r="AQ13" s="112">
        <v>31020</v>
      </c>
      <c r="AR13" s="112">
        <v>31050</v>
      </c>
      <c r="AS13" s="112">
        <v>31060</v>
      </c>
      <c r="AT13" s="112">
        <v>31050</v>
      </c>
      <c r="AU13" s="112">
        <v>31030</v>
      </c>
    </row>
    <row r="14" spans="1:47" x14ac:dyDescent="0.2">
      <c r="A14" s="114" t="s">
        <v>15</v>
      </c>
      <c r="B14" s="8"/>
      <c r="C14" s="112">
        <v>29670</v>
      </c>
      <c r="D14" s="112">
        <v>28450</v>
      </c>
      <c r="E14" s="112">
        <v>28940</v>
      </c>
      <c r="F14" s="112">
        <v>29810</v>
      </c>
      <c r="G14" s="112">
        <v>29770</v>
      </c>
      <c r="H14" s="112">
        <v>30620</v>
      </c>
      <c r="I14" s="112">
        <v>32110</v>
      </c>
      <c r="J14" s="112">
        <v>32250</v>
      </c>
      <c r="K14" s="112">
        <v>32100</v>
      </c>
      <c r="L14" s="112">
        <v>31800</v>
      </c>
      <c r="M14" s="112">
        <v>31540</v>
      </c>
      <c r="N14" s="112">
        <v>31330</v>
      </c>
      <c r="O14" s="112">
        <v>31160</v>
      </c>
      <c r="P14" s="112">
        <v>31030</v>
      </c>
      <c r="Q14" s="112">
        <v>30940</v>
      </c>
      <c r="R14" s="112">
        <v>30880</v>
      </c>
      <c r="S14" s="112">
        <v>30840</v>
      </c>
      <c r="T14" s="112">
        <v>30820</v>
      </c>
      <c r="U14" s="112">
        <v>30800</v>
      </c>
      <c r="V14" s="112">
        <v>30800</v>
      </c>
      <c r="W14" s="112">
        <v>30800</v>
      </c>
      <c r="X14" s="112">
        <v>30800</v>
      </c>
      <c r="Y14" s="112">
        <v>30810</v>
      </c>
      <c r="Z14" s="112">
        <v>30820</v>
      </c>
      <c r="AA14" s="112">
        <v>30830</v>
      </c>
      <c r="AB14" s="112">
        <v>30830</v>
      </c>
      <c r="AC14" s="112">
        <v>30830</v>
      </c>
      <c r="AD14" s="112">
        <v>30810</v>
      </c>
      <c r="AE14" s="112">
        <v>30770</v>
      </c>
      <c r="AF14" s="112">
        <v>30720</v>
      </c>
      <c r="AG14" s="112">
        <v>30670</v>
      </c>
      <c r="AH14" s="112">
        <v>30640</v>
      </c>
      <c r="AI14" s="112">
        <v>30620</v>
      </c>
      <c r="AJ14" s="112">
        <v>30620</v>
      </c>
      <c r="AK14" s="112">
        <v>30650</v>
      </c>
      <c r="AL14" s="112">
        <v>30690</v>
      </c>
      <c r="AM14" s="112">
        <v>30760</v>
      </c>
      <c r="AN14" s="112">
        <v>30830</v>
      </c>
      <c r="AO14" s="112">
        <v>30920</v>
      </c>
      <c r="AP14" s="112">
        <v>31000</v>
      </c>
      <c r="AQ14" s="112">
        <v>31070</v>
      </c>
      <c r="AR14" s="112">
        <v>31120</v>
      </c>
      <c r="AS14" s="112">
        <v>31160</v>
      </c>
      <c r="AT14" s="112">
        <v>31170</v>
      </c>
      <c r="AU14" s="112">
        <v>31160</v>
      </c>
    </row>
    <row r="15" spans="1:47" x14ac:dyDescent="0.2">
      <c r="A15" s="114" t="s">
        <v>16</v>
      </c>
      <c r="B15" s="8"/>
      <c r="C15" s="112">
        <v>30280</v>
      </c>
      <c r="D15" s="112">
        <v>29780</v>
      </c>
      <c r="E15" s="112">
        <v>28500</v>
      </c>
      <c r="F15" s="112">
        <v>29090</v>
      </c>
      <c r="G15" s="112">
        <v>29910</v>
      </c>
      <c r="H15" s="112">
        <v>29880</v>
      </c>
      <c r="I15" s="112">
        <v>30720</v>
      </c>
      <c r="J15" s="112">
        <v>32210</v>
      </c>
      <c r="K15" s="112">
        <v>32350</v>
      </c>
      <c r="L15" s="112">
        <v>32210</v>
      </c>
      <c r="M15" s="112">
        <v>31900</v>
      </c>
      <c r="N15" s="112">
        <v>31650</v>
      </c>
      <c r="O15" s="112">
        <v>31440</v>
      </c>
      <c r="P15" s="112">
        <v>31270</v>
      </c>
      <c r="Q15" s="112">
        <v>31140</v>
      </c>
      <c r="R15" s="112">
        <v>31040</v>
      </c>
      <c r="S15" s="112">
        <v>30980</v>
      </c>
      <c r="T15" s="112">
        <v>30940</v>
      </c>
      <c r="U15" s="112">
        <v>30920</v>
      </c>
      <c r="V15" s="112">
        <v>30910</v>
      </c>
      <c r="W15" s="112">
        <v>30900</v>
      </c>
      <c r="X15" s="112">
        <v>30900</v>
      </c>
      <c r="Y15" s="112">
        <v>30900</v>
      </c>
      <c r="Z15" s="112">
        <v>30910</v>
      </c>
      <c r="AA15" s="112">
        <v>30920</v>
      </c>
      <c r="AB15" s="112">
        <v>30930</v>
      </c>
      <c r="AC15" s="112">
        <v>30940</v>
      </c>
      <c r="AD15" s="112">
        <v>30940</v>
      </c>
      <c r="AE15" s="112">
        <v>30910</v>
      </c>
      <c r="AF15" s="112">
        <v>30870</v>
      </c>
      <c r="AG15" s="112">
        <v>30820</v>
      </c>
      <c r="AH15" s="112">
        <v>30780</v>
      </c>
      <c r="AI15" s="112">
        <v>30740</v>
      </c>
      <c r="AJ15" s="112">
        <v>30720</v>
      </c>
      <c r="AK15" s="112">
        <v>30730</v>
      </c>
      <c r="AL15" s="112">
        <v>30750</v>
      </c>
      <c r="AM15" s="112">
        <v>30800</v>
      </c>
      <c r="AN15" s="112">
        <v>30860</v>
      </c>
      <c r="AO15" s="112">
        <v>30940</v>
      </c>
      <c r="AP15" s="112">
        <v>31020</v>
      </c>
      <c r="AQ15" s="112">
        <v>31100</v>
      </c>
      <c r="AR15" s="112">
        <v>31170</v>
      </c>
      <c r="AS15" s="112">
        <v>31230</v>
      </c>
      <c r="AT15" s="112">
        <v>31260</v>
      </c>
      <c r="AU15" s="112">
        <v>31270</v>
      </c>
    </row>
    <row r="16" spans="1:47" x14ac:dyDescent="0.2">
      <c r="A16" s="114" t="s">
        <v>17</v>
      </c>
      <c r="B16" s="8"/>
      <c r="C16" s="112">
        <v>29500</v>
      </c>
      <c r="D16" s="112">
        <v>30370</v>
      </c>
      <c r="E16" s="112">
        <v>29780</v>
      </c>
      <c r="F16" s="112">
        <v>28660</v>
      </c>
      <c r="G16" s="112">
        <v>29190</v>
      </c>
      <c r="H16" s="112">
        <v>30020</v>
      </c>
      <c r="I16" s="112">
        <v>29980</v>
      </c>
      <c r="J16" s="112">
        <v>30830</v>
      </c>
      <c r="K16" s="112">
        <v>32310</v>
      </c>
      <c r="L16" s="112">
        <v>32460</v>
      </c>
      <c r="M16" s="112">
        <v>32310</v>
      </c>
      <c r="N16" s="112">
        <v>32010</v>
      </c>
      <c r="O16" s="112">
        <v>31750</v>
      </c>
      <c r="P16" s="112">
        <v>31540</v>
      </c>
      <c r="Q16" s="112">
        <v>31370</v>
      </c>
      <c r="R16" s="112">
        <v>31240</v>
      </c>
      <c r="S16" s="112">
        <v>31150</v>
      </c>
      <c r="T16" s="112">
        <v>31080</v>
      </c>
      <c r="U16" s="112">
        <v>31040</v>
      </c>
      <c r="V16" s="112">
        <v>31020</v>
      </c>
      <c r="W16" s="112">
        <v>31010</v>
      </c>
      <c r="X16" s="112">
        <v>31010</v>
      </c>
      <c r="Y16" s="112">
        <v>31010</v>
      </c>
      <c r="Z16" s="112">
        <v>31010</v>
      </c>
      <c r="AA16" s="112">
        <v>31020</v>
      </c>
      <c r="AB16" s="112">
        <v>31030</v>
      </c>
      <c r="AC16" s="112">
        <v>31040</v>
      </c>
      <c r="AD16" s="112">
        <v>31040</v>
      </c>
      <c r="AE16" s="112">
        <v>31040</v>
      </c>
      <c r="AF16" s="112">
        <v>31020</v>
      </c>
      <c r="AG16" s="112">
        <v>30980</v>
      </c>
      <c r="AH16" s="112">
        <v>30930</v>
      </c>
      <c r="AI16" s="112">
        <v>30880</v>
      </c>
      <c r="AJ16" s="112">
        <v>30850</v>
      </c>
      <c r="AK16" s="112">
        <v>30830</v>
      </c>
      <c r="AL16" s="112">
        <v>30830</v>
      </c>
      <c r="AM16" s="112">
        <v>30860</v>
      </c>
      <c r="AN16" s="112">
        <v>30900</v>
      </c>
      <c r="AO16" s="112">
        <v>30970</v>
      </c>
      <c r="AP16" s="112">
        <v>31040</v>
      </c>
      <c r="AQ16" s="112">
        <v>31130</v>
      </c>
      <c r="AR16" s="112">
        <v>31210</v>
      </c>
      <c r="AS16" s="112">
        <v>31280</v>
      </c>
      <c r="AT16" s="112">
        <v>31330</v>
      </c>
      <c r="AU16" s="112">
        <v>31370</v>
      </c>
    </row>
    <row r="17" spans="1:47" x14ac:dyDescent="0.2">
      <c r="A17" s="114" t="s">
        <v>18</v>
      </c>
      <c r="B17" s="8"/>
      <c r="C17" s="112">
        <v>29960</v>
      </c>
      <c r="D17" s="112">
        <v>29580</v>
      </c>
      <c r="E17" s="112">
        <v>30440</v>
      </c>
      <c r="F17" s="112">
        <v>29960</v>
      </c>
      <c r="G17" s="112">
        <v>28760</v>
      </c>
      <c r="H17" s="112">
        <v>29300</v>
      </c>
      <c r="I17" s="112">
        <v>30120</v>
      </c>
      <c r="J17" s="112">
        <v>30080</v>
      </c>
      <c r="K17" s="112">
        <v>30930</v>
      </c>
      <c r="L17" s="112">
        <v>32420</v>
      </c>
      <c r="M17" s="112">
        <v>32560</v>
      </c>
      <c r="N17" s="112">
        <v>32410</v>
      </c>
      <c r="O17" s="112">
        <v>32110</v>
      </c>
      <c r="P17" s="112">
        <v>31850</v>
      </c>
      <c r="Q17" s="112">
        <v>31640</v>
      </c>
      <c r="R17" s="112">
        <v>31470</v>
      </c>
      <c r="S17" s="112">
        <v>31340</v>
      </c>
      <c r="T17" s="112">
        <v>31250</v>
      </c>
      <c r="U17" s="112">
        <v>31190</v>
      </c>
      <c r="V17" s="112">
        <v>31150</v>
      </c>
      <c r="W17" s="112">
        <v>31130</v>
      </c>
      <c r="X17" s="112">
        <v>31120</v>
      </c>
      <c r="Y17" s="112">
        <v>31110</v>
      </c>
      <c r="Z17" s="112">
        <v>31110</v>
      </c>
      <c r="AA17" s="112">
        <v>31110</v>
      </c>
      <c r="AB17" s="112">
        <v>31120</v>
      </c>
      <c r="AC17" s="112">
        <v>31130</v>
      </c>
      <c r="AD17" s="112">
        <v>31140</v>
      </c>
      <c r="AE17" s="112">
        <v>31140</v>
      </c>
      <c r="AF17" s="112">
        <v>31140</v>
      </c>
      <c r="AG17" s="112">
        <v>31120</v>
      </c>
      <c r="AH17" s="112">
        <v>31080</v>
      </c>
      <c r="AI17" s="112">
        <v>31030</v>
      </c>
      <c r="AJ17" s="112">
        <v>30980</v>
      </c>
      <c r="AK17" s="112">
        <v>30950</v>
      </c>
      <c r="AL17" s="112">
        <v>30930</v>
      </c>
      <c r="AM17" s="112">
        <v>30930</v>
      </c>
      <c r="AN17" s="112">
        <v>30960</v>
      </c>
      <c r="AO17" s="112">
        <v>31010</v>
      </c>
      <c r="AP17" s="112">
        <v>31070</v>
      </c>
      <c r="AQ17" s="112">
        <v>31150</v>
      </c>
      <c r="AR17" s="112">
        <v>31230</v>
      </c>
      <c r="AS17" s="112">
        <v>31310</v>
      </c>
      <c r="AT17" s="112">
        <v>31380</v>
      </c>
      <c r="AU17" s="112">
        <v>31440</v>
      </c>
    </row>
    <row r="18" spans="1:47" x14ac:dyDescent="0.2">
      <c r="A18" s="114" t="s">
        <v>19</v>
      </c>
      <c r="B18" s="8"/>
      <c r="C18" s="112">
        <v>29820</v>
      </c>
      <c r="D18" s="112">
        <v>30050</v>
      </c>
      <c r="E18" s="112">
        <v>29620</v>
      </c>
      <c r="F18" s="112">
        <v>30560</v>
      </c>
      <c r="G18" s="112">
        <v>30060</v>
      </c>
      <c r="H18" s="112">
        <v>28860</v>
      </c>
      <c r="I18" s="112">
        <v>29400</v>
      </c>
      <c r="J18" s="112">
        <v>30220</v>
      </c>
      <c r="K18" s="112">
        <v>30190</v>
      </c>
      <c r="L18" s="112">
        <v>31030</v>
      </c>
      <c r="M18" s="112">
        <v>32520</v>
      </c>
      <c r="N18" s="112">
        <v>32660</v>
      </c>
      <c r="O18" s="112">
        <v>32520</v>
      </c>
      <c r="P18" s="112">
        <v>32210</v>
      </c>
      <c r="Q18" s="112">
        <v>31960</v>
      </c>
      <c r="R18" s="112">
        <v>31740</v>
      </c>
      <c r="S18" s="112">
        <v>31580</v>
      </c>
      <c r="T18" s="112">
        <v>31440</v>
      </c>
      <c r="U18" s="112">
        <v>31350</v>
      </c>
      <c r="V18" s="112">
        <v>31290</v>
      </c>
      <c r="W18" s="112">
        <v>31250</v>
      </c>
      <c r="X18" s="112">
        <v>31230</v>
      </c>
      <c r="Y18" s="112">
        <v>31220</v>
      </c>
      <c r="Z18" s="112">
        <v>31210</v>
      </c>
      <c r="AA18" s="112">
        <v>31210</v>
      </c>
      <c r="AB18" s="112">
        <v>31210</v>
      </c>
      <c r="AC18" s="112">
        <v>31220</v>
      </c>
      <c r="AD18" s="112">
        <v>31230</v>
      </c>
      <c r="AE18" s="112">
        <v>31240</v>
      </c>
      <c r="AF18" s="112">
        <v>31250</v>
      </c>
      <c r="AG18" s="112">
        <v>31250</v>
      </c>
      <c r="AH18" s="112">
        <v>31220</v>
      </c>
      <c r="AI18" s="112">
        <v>31180</v>
      </c>
      <c r="AJ18" s="112">
        <v>31130</v>
      </c>
      <c r="AK18" s="112">
        <v>31090</v>
      </c>
      <c r="AL18" s="112">
        <v>31050</v>
      </c>
      <c r="AM18" s="112">
        <v>31030</v>
      </c>
      <c r="AN18" s="112">
        <v>31040</v>
      </c>
      <c r="AO18" s="112">
        <v>31060</v>
      </c>
      <c r="AP18" s="112">
        <v>31110</v>
      </c>
      <c r="AQ18" s="112">
        <v>31170</v>
      </c>
      <c r="AR18" s="112">
        <v>31250</v>
      </c>
      <c r="AS18" s="112">
        <v>31330</v>
      </c>
      <c r="AT18" s="112">
        <v>31410</v>
      </c>
      <c r="AU18" s="112">
        <v>31480</v>
      </c>
    </row>
    <row r="19" spans="1:47" x14ac:dyDescent="0.2">
      <c r="A19" s="114" t="s">
        <v>20</v>
      </c>
      <c r="B19" s="8"/>
      <c r="C19" s="112">
        <v>31100</v>
      </c>
      <c r="D19" s="112">
        <v>29950</v>
      </c>
      <c r="E19" s="112">
        <v>30030</v>
      </c>
      <c r="F19" s="112">
        <v>29780</v>
      </c>
      <c r="G19" s="112">
        <v>30670</v>
      </c>
      <c r="H19" s="112">
        <v>30170</v>
      </c>
      <c r="I19" s="112">
        <v>28970</v>
      </c>
      <c r="J19" s="112">
        <v>29500</v>
      </c>
      <c r="K19" s="112">
        <v>30330</v>
      </c>
      <c r="L19" s="112">
        <v>30290</v>
      </c>
      <c r="M19" s="112">
        <v>31140</v>
      </c>
      <c r="N19" s="112">
        <v>32620</v>
      </c>
      <c r="O19" s="112">
        <v>32770</v>
      </c>
      <c r="P19" s="112">
        <v>32620</v>
      </c>
      <c r="Q19" s="112">
        <v>32320</v>
      </c>
      <c r="R19" s="112">
        <v>32060</v>
      </c>
      <c r="S19" s="112">
        <v>31850</v>
      </c>
      <c r="T19" s="112">
        <v>31680</v>
      </c>
      <c r="U19" s="112">
        <v>31550</v>
      </c>
      <c r="V19" s="112">
        <v>31460</v>
      </c>
      <c r="W19" s="112">
        <v>31390</v>
      </c>
      <c r="X19" s="112">
        <v>31360</v>
      </c>
      <c r="Y19" s="112">
        <v>31340</v>
      </c>
      <c r="Z19" s="112">
        <v>31320</v>
      </c>
      <c r="AA19" s="112">
        <v>31320</v>
      </c>
      <c r="AB19" s="112">
        <v>31320</v>
      </c>
      <c r="AC19" s="112">
        <v>31320</v>
      </c>
      <c r="AD19" s="112">
        <v>31330</v>
      </c>
      <c r="AE19" s="112">
        <v>31340</v>
      </c>
      <c r="AF19" s="112">
        <v>31350</v>
      </c>
      <c r="AG19" s="112">
        <v>31350</v>
      </c>
      <c r="AH19" s="112">
        <v>31350</v>
      </c>
      <c r="AI19" s="112">
        <v>31330</v>
      </c>
      <c r="AJ19" s="112">
        <v>31290</v>
      </c>
      <c r="AK19" s="112">
        <v>31240</v>
      </c>
      <c r="AL19" s="112">
        <v>31190</v>
      </c>
      <c r="AM19" s="112">
        <v>31160</v>
      </c>
      <c r="AN19" s="112">
        <v>31140</v>
      </c>
      <c r="AO19" s="112">
        <v>31140</v>
      </c>
      <c r="AP19" s="112">
        <v>31170</v>
      </c>
      <c r="AQ19" s="112">
        <v>31210</v>
      </c>
      <c r="AR19" s="112">
        <v>31280</v>
      </c>
      <c r="AS19" s="112">
        <v>31360</v>
      </c>
      <c r="AT19" s="112">
        <v>31440</v>
      </c>
      <c r="AU19" s="112">
        <v>31520</v>
      </c>
    </row>
    <row r="20" spans="1:47" x14ac:dyDescent="0.2">
      <c r="A20" s="114" t="s">
        <v>21</v>
      </c>
      <c r="B20" s="8"/>
      <c r="C20" s="112">
        <v>31570</v>
      </c>
      <c r="D20" s="112">
        <v>31190</v>
      </c>
      <c r="E20" s="112">
        <v>30000</v>
      </c>
      <c r="F20" s="112">
        <v>30250</v>
      </c>
      <c r="G20" s="112">
        <v>29890</v>
      </c>
      <c r="H20" s="112">
        <v>30770</v>
      </c>
      <c r="I20" s="112">
        <v>30270</v>
      </c>
      <c r="J20" s="112">
        <v>29070</v>
      </c>
      <c r="K20" s="112">
        <v>29610</v>
      </c>
      <c r="L20" s="112">
        <v>30430</v>
      </c>
      <c r="M20" s="112">
        <v>30400</v>
      </c>
      <c r="N20" s="112">
        <v>31240</v>
      </c>
      <c r="O20" s="112">
        <v>32730</v>
      </c>
      <c r="P20" s="112">
        <v>32870</v>
      </c>
      <c r="Q20" s="112">
        <v>32730</v>
      </c>
      <c r="R20" s="112">
        <v>32420</v>
      </c>
      <c r="S20" s="112">
        <v>32170</v>
      </c>
      <c r="T20" s="112">
        <v>31960</v>
      </c>
      <c r="U20" s="112">
        <v>31790</v>
      </c>
      <c r="V20" s="112">
        <v>31660</v>
      </c>
      <c r="W20" s="112">
        <v>31560</v>
      </c>
      <c r="X20" s="112">
        <v>31500</v>
      </c>
      <c r="Y20" s="112">
        <v>31460</v>
      </c>
      <c r="Z20" s="112">
        <v>31440</v>
      </c>
      <c r="AA20" s="112">
        <v>31430</v>
      </c>
      <c r="AB20" s="112">
        <v>31420</v>
      </c>
      <c r="AC20" s="112">
        <v>31420</v>
      </c>
      <c r="AD20" s="112">
        <v>31430</v>
      </c>
      <c r="AE20" s="112">
        <v>31430</v>
      </c>
      <c r="AF20" s="112">
        <v>31440</v>
      </c>
      <c r="AG20" s="112">
        <v>31450</v>
      </c>
      <c r="AH20" s="112">
        <v>31460</v>
      </c>
      <c r="AI20" s="112">
        <v>31460</v>
      </c>
      <c r="AJ20" s="112">
        <v>31430</v>
      </c>
      <c r="AK20" s="112">
        <v>31390</v>
      </c>
      <c r="AL20" s="112">
        <v>31350</v>
      </c>
      <c r="AM20" s="112">
        <v>31300</v>
      </c>
      <c r="AN20" s="112">
        <v>31260</v>
      </c>
      <c r="AO20" s="112">
        <v>31250</v>
      </c>
      <c r="AP20" s="112">
        <v>31250</v>
      </c>
      <c r="AQ20" s="112">
        <v>31270</v>
      </c>
      <c r="AR20" s="112">
        <v>31320</v>
      </c>
      <c r="AS20" s="112">
        <v>31380</v>
      </c>
      <c r="AT20" s="112">
        <v>31460</v>
      </c>
      <c r="AU20" s="112">
        <v>31540</v>
      </c>
    </row>
    <row r="21" spans="1:47" x14ac:dyDescent="0.2">
      <c r="A21" s="114" t="s">
        <v>22</v>
      </c>
      <c r="B21" s="8"/>
      <c r="C21" s="112">
        <v>31640</v>
      </c>
      <c r="D21" s="112">
        <v>31650</v>
      </c>
      <c r="E21" s="112">
        <v>31210</v>
      </c>
      <c r="F21" s="112">
        <v>30110</v>
      </c>
      <c r="G21" s="112">
        <v>30360</v>
      </c>
      <c r="H21" s="112">
        <v>29990</v>
      </c>
      <c r="I21" s="112">
        <v>30870</v>
      </c>
      <c r="J21" s="112">
        <v>30370</v>
      </c>
      <c r="K21" s="112">
        <v>29180</v>
      </c>
      <c r="L21" s="112">
        <v>29710</v>
      </c>
      <c r="M21" s="112">
        <v>30530</v>
      </c>
      <c r="N21" s="112">
        <v>30500</v>
      </c>
      <c r="O21" s="112">
        <v>31340</v>
      </c>
      <c r="P21" s="112">
        <v>32830</v>
      </c>
      <c r="Q21" s="112">
        <v>32970</v>
      </c>
      <c r="R21" s="112">
        <v>32830</v>
      </c>
      <c r="S21" s="112">
        <v>32530</v>
      </c>
      <c r="T21" s="112">
        <v>32270</v>
      </c>
      <c r="U21" s="112">
        <v>32060</v>
      </c>
      <c r="V21" s="112">
        <v>31890</v>
      </c>
      <c r="W21" s="112">
        <v>31760</v>
      </c>
      <c r="X21" s="112">
        <v>31670</v>
      </c>
      <c r="Y21" s="112">
        <v>31600</v>
      </c>
      <c r="Z21" s="112">
        <v>31570</v>
      </c>
      <c r="AA21" s="112">
        <v>31540</v>
      </c>
      <c r="AB21" s="112">
        <v>31530</v>
      </c>
      <c r="AC21" s="112">
        <v>31530</v>
      </c>
      <c r="AD21" s="112">
        <v>31530</v>
      </c>
      <c r="AE21" s="112">
        <v>31530</v>
      </c>
      <c r="AF21" s="112">
        <v>31540</v>
      </c>
      <c r="AG21" s="112">
        <v>31550</v>
      </c>
      <c r="AH21" s="112">
        <v>31560</v>
      </c>
      <c r="AI21" s="112">
        <v>31560</v>
      </c>
      <c r="AJ21" s="112">
        <v>31560</v>
      </c>
      <c r="AK21" s="112">
        <v>31540</v>
      </c>
      <c r="AL21" s="112">
        <v>31500</v>
      </c>
      <c r="AM21" s="112">
        <v>31450</v>
      </c>
      <c r="AN21" s="112">
        <v>31400</v>
      </c>
      <c r="AO21" s="112">
        <v>31370</v>
      </c>
      <c r="AP21" s="112">
        <v>31350</v>
      </c>
      <c r="AQ21" s="112">
        <v>31350</v>
      </c>
      <c r="AR21" s="112">
        <v>31380</v>
      </c>
      <c r="AS21" s="112">
        <v>31420</v>
      </c>
      <c r="AT21" s="112">
        <v>31490</v>
      </c>
      <c r="AU21" s="112">
        <v>31570</v>
      </c>
    </row>
    <row r="22" spans="1:47" x14ac:dyDescent="0.2">
      <c r="A22" s="114" t="s">
        <v>23</v>
      </c>
      <c r="B22" s="8"/>
      <c r="C22" s="112">
        <v>32400</v>
      </c>
      <c r="D22" s="112">
        <v>31740</v>
      </c>
      <c r="E22" s="112">
        <v>31670</v>
      </c>
      <c r="F22" s="112">
        <v>31400</v>
      </c>
      <c r="G22" s="112">
        <v>30220</v>
      </c>
      <c r="H22" s="112">
        <v>30460</v>
      </c>
      <c r="I22" s="112">
        <v>30100</v>
      </c>
      <c r="J22" s="112">
        <v>30980</v>
      </c>
      <c r="K22" s="112">
        <v>30480</v>
      </c>
      <c r="L22" s="112">
        <v>29280</v>
      </c>
      <c r="M22" s="112">
        <v>29820</v>
      </c>
      <c r="N22" s="112">
        <v>30640</v>
      </c>
      <c r="O22" s="112">
        <v>30610</v>
      </c>
      <c r="P22" s="112">
        <v>31450</v>
      </c>
      <c r="Q22" s="112">
        <v>32940</v>
      </c>
      <c r="R22" s="112">
        <v>33080</v>
      </c>
      <c r="S22" s="112">
        <v>32940</v>
      </c>
      <c r="T22" s="112">
        <v>32630</v>
      </c>
      <c r="U22" s="112">
        <v>32380</v>
      </c>
      <c r="V22" s="112">
        <v>32170</v>
      </c>
      <c r="W22" s="112">
        <v>32000</v>
      </c>
      <c r="X22" s="112">
        <v>31870</v>
      </c>
      <c r="Y22" s="112">
        <v>31770</v>
      </c>
      <c r="Z22" s="112">
        <v>31710</v>
      </c>
      <c r="AA22" s="112">
        <v>31670</v>
      </c>
      <c r="AB22" s="112">
        <v>31650</v>
      </c>
      <c r="AC22" s="112">
        <v>31640</v>
      </c>
      <c r="AD22" s="112">
        <v>31640</v>
      </c>
      <c r="AE22" s="112">
        <v>31630</v>
      </c>
      <c r="AF22" s="112">
        <v>31640</v>
      </c>
      <c r="AG22" s="112">
        <v>31650</v>
      </c>
      <c r="AH22" s="112">
        <v>31660</v>
      </c>
      <c r="AI22" s="112">
        <v>31670</v>
      </c>
      <c r="AJ22" s="112">
        <v>31670</v>
      </c>
      <c r="AK22" s="112">
        <v>31670</v>
      </c>
      <c r="AL22" s="112">
        <v>31650</v>
      </c>
      <c r="AM22" s="112">
        <v>31610</v>
      </c>
      <c r="AN22" s="112">
        <v>31560</v>
      </c>
      <c r="AO22" s="112">
        <v>31510</v>
      </c>
      <c r="AP22" s="112">
        <v>31480</v>
      </c>
      <c r="AQ22" s="112">
        <v>31460</v>
      </c>
      <c r="AR22" s="112">
        <v>31460</v>
      </c>
      <c r="AS22" s="112">
        <v>31490</v>
      </c>
      <c r="AT22" s="112">
        <v>31530</v>
      </c>
      <c r="AU22" s="112">
        <v>31600</v>
      </c>
    </row>
    <row r="23" spans="1:47" x14ac:dyDescent="0.2">
      <c r="A23" s="114" t="s">
        <v>24</v>
      </c>
      <c r="B23" s="8"/>
      <c r="C23" s="112">
        <v>32800</v>
      </c>
      <c r="D23" s="112">
        <v>32500</v>
      </c>
      <c r="E23" s="112">
        <v>31790</v>
      </c>
      <c r="F23" s="112">
        <v>31880</v>
      </c>
      <c r="G23" s="112">
        <v>31520</v>
      </c>
      <c r="H23" s="112">
        <v>30340</v>
      </c>
      <c r="I23" s="112">
        <v>30580</v>
      </c>
      <c r="J23" s="112">
        <v>30220</v>
      </c>
      <c r="K23" s="112">
        <v>31100</v>
      </c>
      <c r="L23" s="112">
        <v>30600</v>
      </c>
      <c r="M23" s="112">
        <v>29400</v>
      </c>
      <c r="N23" s="112">
        <v>29940</v>
      </c>
      <c r="O23" s="112">
        <v>30760</v>
      </c>
      <c r="P23" s="112">
        <v>30730</v>
      </c>
      <c r="Q23" s="112">
        <v>31570</v>
      </c>
      <c r="R23" s="112">
        <v>33060</v>
      </c>
      <c r="S23" s="112">
        <v>33200</v>
      </c>
      <c r="T23" s="112">
        <v>33060</v>
      </c>
      <c r="U23" s="112">
        <v>32750</v>
      </c>
      <c r="V23" s="112">
        <v>32500</v>
      </c>
      <c r="W23" s="112">
        <v>32290</v>
      </c>
      <c r="X23" s="112">
        <v>32120</v>
      </c>
      <c r="Y23" s="112">
        <v>31990</v>
      </c>
      <c r="Z23" s="112">
        <v>31900</v>
      </c>
      <c r="AA23" s="112">
        <v>31830</v>
      </c>
      <c r="AB23" s="112">
        <v>31800</v>
      </c>
      <c r="AC23" s="112">
        <v>31770</v>
      </c>
      <c r="AD23" s="112">
        <v>31760</v>
      </c>
      <c r="AE23" s="112">
        <v>31760</v>
      </c>
      <c r="AF23" s="112">
        <v>31760</v>
      </c>
      <c r="AG23" s="112">
        <v>31760</v>
      </c>
      <c r="AH23" s="112">
        <v>31770</v>
      </c>
      <c r="AI23" s="112">
        <v>31780</v>
      </c>
      <c r="AJ23" s="112">
        <v>31790</v>
      </c>
      <c r="AK23" s="112">
        <v>31790</v>
      </c>
      <c r="AL23" s="112">
        <v>31790</v>
      </c>
      <c r="AM23" s="112">
        <v>31770</v>
      </c>
      <c r="AN23" s="112">
        <v>31730</v>
      </c>
      <c r="AO23" s="112">
        <v>31680</v>
      </c>
      <c r="AP23" s="112">
        <v>31640</v>
      </c>
      <c r="AQ23" s="112">
        <v>31600</v>
      </c>
      <c r="AR23" s="112">
        <v>31580</v>
      </c>
      <c r="AS23" s="112">
        <v>31590</v>
      </c>
      <c r="AT23" s="112">
        <v>31610</v>
      </c>
      <c r="AU23" s="112">
        <v>31660</v>
      </c>
    </row>
    <row r="24" spans="1:47" x14ac:dyDescent="0.2">
      <c r="A24" s="114" t="s">
        <v>25</v>
      </c>
      <c r="B24" s="8"/>
      <c r="C24" s="112">
        <v>33590</v>
      </c>
      <c r="D24" s="112">
        <v>32930</v>
      </c>
      <c r="E24" s="112">
        <v>32550</v>
      </c>
      <c r="F24" s="112">
        <v>32000</v>
      </c>
      <c r="G24" s="112">
        <v>32030</v>
      </c>
      <c r="H24" s="112">
        <v>31670</v>
      </c>
      <c r="I24" s="112">
        <v>30490</v>
      </c>
      <c r="J24" s="112">
        <v>30730</v>
      </c>
      <c r="K24" s="112">
        <v>30370</v>
      </c>
      <c r="L24" s="112">
        <v>31250</v>
      </c>
      <c r="M24" s="112">
        <v>30750</v>
      </c>
      <c r="N24" s="112">
        <v>29560</v>
      </c>
      <c r="O24" s="112">
        <v>30090</v>
      </c>
      <c r="P24" s="112">
        <v>30910</v>
      </c>
      <c r="Q24" s="112">
        <v>30880</v>
      </c>
      <c r="R24" s="112">
        <v>31720</v>
      </c>
      <c r="S24" s="112">
        <v>33210</v>
      </c>
      <c r="T24" s="112">
        <v>33350</v>
      </c>
      <c r="U24" s="112">
        <v>33210</v>
      </c>
      <c r="V24" s="112">
        <v>32900</v>
      </c>
      <c r="W24" s="112">
        <v>32650</v>
      </c>
      <c r="X24" s="112">
        <v>32440</v>
      </c>
      <c r="Y24" s="112">
        <v>32270</v>
      </c>
      <c r="Z24" s="112">
        <v>32140</v>
      </c>
      <c r="AA24" s="112">
        <v>32050</v>
      </c>
      <c r="AB24" s="112">
        <v>31980</v>
      </c>
      <c r="AC24" s="112">
        <v>31950</v>
      </c>
      <c r="AD24" s="112">
        <v>31930</v>
      </c>
      <c r="AE24" s="112">
        <v>31920</v>
      </c>
      <c r="AF24" s="112">
        <v>31910</v>
      </c>
      <c r="AG24" s="112">
        <v>31910</v>
      </c>
      <c r="AH24" s="112">
        <v>31910</v>
      </c>
      <c r="AI24" s="112">
        <v>31920</v>
      </c>
      <c r="AJ24" s="112">
        <v>31930</v>
      </c>
      <c r="AK24" s="112">
        <v>31940</v>
      </c>
      <c r="AL24" s="112">
        <v>31950</v>
      </c>
      <c r="AM24" s="112">
        <v>31950</v>
      </c>
      <c r="AN24" s="112">
        <v>31920</v>
      </c>
      <c r="AO24" s="112">
        <v>31880</v>
      </c>
      <c r="AP24" s="112">
        <v>31830</v>
      </c>
      <c r="AQ24" s="112">
        <v>31790</v>
      </c>
      <c r="AR24" s="112">
        <v>31750</v>
      </c>
      <c r="AS24" s="112">
        <v>31740</v>
      </c>
      <c r="AT24" s="112">
        <v>31740</v>
      </c>
      <c r="AU24" s="112">
        <v>31760</v>
      </c>
    </row>
    <row r="25" spans="1:47" x14ac:dyDescent="0.2">
      <c r="A25" s="114" t="s">
        <v>26</v>
      </c>
      <c r="B25" s="8"/>
      <c r="C25" s="112">
        <v>32610</v>
      </c>
      <c r="D25" s="112">
        <v>33750</v>
      </c>
      <c r="E25" s="112">
        <v>33040</v>
      </c>
      <c r="F25" s="112">
        <v>32830</v>
      </c>
      <c r="G25" s="112">
        <v>32180</v>
      </c>
      <c r="H25" s="112">
        <v>32220</v>
      </c>
      <c r="I25" s="112">
        <v>31850</v>
      </c>
      <c r="J25" s="112">
        <v>30680</v>
      </c>
      <c r="K25" s="112">
        <v>30920</v>
      </c>
      <c r="L25" s="112">
        <v>30550</v>
      </c>
      <c r="M25" s="112">
        <v>31440</v>
      </c>
      <c r="N25" s="112">
        <v>30940</v>
      </c>
      <c r="O25" s="112">
        <v>29740</v>
      </c>
      <c r="P25" s="112">
        <v>30280</v>
      </c>
      <c r="Q25" s="112">
        <v>31100</v>
      </c>
      <c r="R25" s="112">
        <v>31070</v>
      </c>
      <c r="S25" s="112">
        <v>31910</v>
      </c>
      <c r="T25" s="112">
        <v>33400</v>
      </c>
      <c r="U25" s="112">
        <v>33540</v>
      </c>
      <c r="V25" s="112">
        <v>33400</v>
      </c>
      <c r="W25" s="112">
        <v>33090</v>
      </c>
      <c r="X25" s="112">
        <v>32840</v>
      </c>
      <c r="Y25" s="112">
        <v>32630</v>
      </c>
      <c r="Z25" s="112">
        <v>32460</v>
      </c>
      <c r="AA25" s="112">
        <v>32330</v>
      </c>
      <c r="AB25" s="112">
        <v>32240</v>
      </c>
      <c r="AC25" s="112">
        <v>32180</v>
      </c>
      <c r="AD25" s="112">
        <v>32140</v>
      </c>
      <c r="AE25" s="112">
        <v>32120</v>
      </c>
      <c r="AF25" s="112">
        <v>32110</v>
      </c>
      <c r="AG25" s="112">
        <v>32100</v>
      </c>
      <c r="AH25" s="112">
        <v>32100</v>
      </c>
      <c r="AI25" s="112">
        <v>32100</v>
      </c>
      <c r="AJ25" s="112">
        <v>32110</v>
      </c>
      <c r="AK25" s="112">
        <v>32120</v>
      </c>
      <c r="AL25" s="112">
        <v>32130</v>
      </c>
      <c r="AM25" s="112">
        <v>32140</v>
      </c>
      <c r="AN25" s="112">
        <v>32140</v>
      </c>
      <c r="AO25" s="112">
        <v>32110</v>
      </c>
      <c r="AP25" s="112">
        <v>32070</v>
      </c>
      <c r="AQ25" s="112">
        <v>32030</v>
      </c>
      <c r="AR25" s="112">
        <v>31980</v>
      </c>
      <c r="AS25" s="112">
        <v>31950</v>
      </c>
      <c r="AT25" s="112">
        <v>31930</v>
      </c>
      <c r="AU25" s="112">
        <v>31930</v>
      </c>
    </row>
    <row r="26" spans="1:47" x14ac:dyDescent="0.2">
      <c r="A26" s="114" t="s">
        <v>27</v>
      </c>
      <c r="B26" s="8"/>
      <c r="C26" s="112">
        <v>31820</v>
      </c>
      <c r="D26" s="112">
        <v>32790</v>
      </c>
      <c r="E26" s="112">
        <v>33970</v>
      </c>
      <c r="F26" s="112">
        <v>33320</v>
      </c>
      <c r="G26" s="112">
        <v>33040</v>
      </c>
      <c r="H26" s="112">
        <v>32400</v>
      </c>
      <c r="I26" s="112">
        <v>32430</v>
      </c>
      <c r="J26" s="112">
        <v>32060</v>
      </c>
      <c r="K26" s="112">
        <v>30890</v>
      </c>
      <c r="L26" s="112">
        <v>31130</v>
      </c>
      <c r="M26" s="112">
        <v>30770</v>
      </c>
      <c r="N26" s="112">
        <v>31650</v>
      </c>
      <c r="O26" s="112">
        <v>31150</v>
      </c>
      <c r="P26" s="112">
        <v>29960</v>
      </c>
      <c r="Q26" s="112">
        <v>30500</v>
      </c>
      <c r="R26" s="112">
        <v>31320</v>
      </c>
      <c r="S26" s="112">
        <v>31280</v>
      </c>
      <c r="T26" s="112">
        <v>32130</v>
      </c>
      <c r="U26" s="112">
        <v>33610</v>
      </c>
      <c r="V26" s="112">
        <v>33760</v>
      </c>
      <c r="W26" s="112">
        <v>33610</v>
      </c>
      <c r="X26" s="112">
        <v>33310</v>
      </c>
      <c r="Y26" s="112">
        <v>33060</v>
      </c>
      <c r="Z26" s="112">
        <v>32850</v>
      </c>
      <c r="AA26" s="112">
        <v>32680</v>
      </c>
      <c r="AB26" s="112">
        <v>32550</v>
      </c>
      <c r="AC26" s="112">
        <v>32450</v>
      </c>
      <c r="AD26" s="112">
        <v>32390</v>
      </c>
      <c r="AE26" s="112">
        <v>32360</v>
      </c>
      <c r="AF26" s="112">
        <v>32340</v>
      </c>
      <c r="AG26" s="112">
        <v>32320</v>
      </c>
      <c r="AH26" s="112">
        <v>32320</v>
      </c>
      <c r="AI26" s="112">
        <v>32320</v>
      </c>
      <c r="AJ26" s="112">
        <v>32320</v>
      </c>
      <c r="AK26" s="112">
        <v>32330</v>
      </c>
      <c r="AL26" s="112">
        <v>32340</v>
      </c>
      <c r="AM26" s="112">
        <v>32350</v>
      </c>
      <c r="AN26" s="112">
        <v>32360</v>
      </c>
      <c r="AO26" s="112">
        <v>32360</v>
      </c>
      <c r="AP26" s="112">
        <v>32330</v>
      </c>
      <c r="AQ26" s="112">
        <v>32290</v>
      </c>
      <c r="AR26" s="112">
        <v>32250</v>
      </c>
      <c r="AS26" s="112">
        <v>32200</v>
      </c>
      <c r="AT26" s="112">
        <v>32170</v>
      </c>
      <c r="AU26" s="112">
        <v>32150</v>
      </c>
    </row>
    <row r="27" spans="1:47" x14ac:dyDescent="0.2">
      <c r="A27" s="114" t="s">
        <v>28</v>
      </c>
      <c r="B27" s="8"/>
      <c r="C27" s="112">
        <v>31140</v>
      </c>
      <c r="D27" s="112">
        <v>31930</v>
      </c>
      <c r="E27" s="112">
        <v>32910</v>
      </c>
      <c r="F27" s="112">
        <v>34170</v>
      </c>
      <c r="G27" s="112">
        <v>33540</v>
      </c>
      <c r="H27" s="112">
        <v>33250</v>
      </c>
      <c r="I27" s="112">
        <v>32610</v>
      </c>
      <c r="J27" s="112">
        <v>32650</v>
      </c>
      <c r="K27" s="112">
        <v>32280</v>
      </c>
      <c r="L27" s="112">
        <v>31110</v>
      </c>
      <c r="M27" s="112">
        <v>31350</v>
      </c>
      <c r="N27" s="112">
        <v>30990</v>
      </c>
      <c r="O27" s="112">
        <v>31870</v>
      </c>
      <c r="P27" s="112">
        <v>31380</v>
      </c>
      <c r="Q27" s="112">
        <v>30180</v>
      </c>
      <c r="R27" s="112">
        <v>30720</v>
      </c>
      <c r="S27" s="112">
        <v>31540</v>
      </c>
      <c r="T27" s="112">
        <v>31510</v>
      </c>
      <c r="U27" s="112">
        <v>32350</v>
      </c>
      <c r="V27" s="112">
        <v>33840</v>
      </c>
      <c r="W27" s="112">
        <v>33980</v>
      </c>
      <c r="X27" s="112">
        <v>33840</v>
      </c>
      <c r="Y27" s="112">
        <v>33530</v>
      </c>
      <c r="Z27" s="112">
        <v>33280</v>
      </c>
      <c r="AA27" s="112">
        <v>33070</v>
      </c>
      <c r="AB27" s="112">
        <v>32900</v>
      </c>
      <c r="AC27" s="112">
        <v>32770</v>
      </c>
      <c r="AD27" s="112">
        <v>32680</v>
      </c>
      <c r="AE27" s="112">
        <v>32620</v>
      </c>
      <c r="AF27" s="112">
        <v>32580</v>
      </c>
      <c r="AG27" s="112">
        <v>32560</v>
      </c>
      <c r="AH27" s="112">
        <v>32550</v>
      </c>
      <c r="AI27" s="112">
        <v>32550</v>
      </c>
      <c r="AJ27" s="112">
        <v>32550</v>
      </c>
      <c r="AK27" s="112">
        <v>32550</v>
      </c>
      <c r="AL27" s="112">
        <v>32560</v>
      </c>
      <c r="AM27" s="112">
        <v>32570</v>
      </c>
      <c r="AN27" s="112">
        <v>32580</v>
      </c>
      <c r="AO27" s="112">
        <v>32580</v>
      </c>
      <c r="AP27" s="112">
        <v>32580</v>
      </c>
      <c r="AQ27" s="112">
        <v>32560</v>
      </c>
      <c r="AR27" s="112">
        <v>32520</v>
      </c>
      <c r="AS27" s="112">
        <v>32470</v>
      </c>
      <c r="AT27" s="112">
        <v>32430</v>
      </c>
      <c r="AU27" s="112">
        <v>32390</v>
      </c>
    </row>
    <row r="28" spans="1:47" x14ac:dyDescent="0.2">
      <c r="A28" s="114" t="s">
        <v>29</v>
      </c>
      <c r="B28" s="8"/>
      <c r="C28" s="112">
        <v>30250</v>
      </c>
      <c r="D28" s="112">
        <v>31320</v>
      </c>
      <c r="E28" s="112">
        <v>32230</v>
      </c>
      <c r="F28" s="112">
        <v>33210</v>
      </c>
      <c r="G28" s="112">
        <v>34370</v>
      </c>
      <c r="H28" s="112">
        <v>33750</v>
      </c>
      <c r="I28" s="112">
        <v>33460</v>
      </c>
      <c r="J28" s="112">
        <v>32830</v>
      </c>
      <c r="K28" s="112">
        <v>32860</v>
      </c>
      <c r="L28" s="112">
        <v>32500</v>
      </c>
      <c r="M28" s="112">
        <v>31330</v>
      </c>
      <c r="N28" s="112">
        <v>31570</v>
      </c>
      <c r="O28" s="112">
        <v>31210</v>
      </c>
      <c r="P28" s="112">
        <v>32090</v>
      </c>
      <c r="Q28" s="112">
        <v>31590</v>
      </c>
      <c r="R28" s="112">
        <v>30400</v>
      </c>
      <c r="S28" s="112">
        <v>30940</v>
      </c>
      <c r="T28" s="112">
        <v>31760</v>
      </c>
      <c r="U28" s="112">
        <v>31720</v>
      </c>
      <c r="V28" s="112">
        <v>32570</v>
      </c>
      <c r="W28" s="112">
        <v>34050</v>
      </c>
      <c r="X28" s="112">
        <v>34190</v>
      </c>
      <c r="Y28" s="112">
        <v>34050</v>
      </c>
      <c r="Z28" s="112">
        <v>33750</v>
      </c>
      <c r="AA28" s="112">
        <v>33500</v>
      </c>
      <c r="AB28" s="112">
        <v>33290</v>
      </c>
      <c r="AC28" s="112">
        <v>33120</v>
      </c>
      <c r="AD28" s="112">
        <v>32990</v>
      </c>
      <c r="AE28" s="112">
        <v>32900</v>
      </c>
      <c r="AF28" s="112">
        <v>32840</v>
      </c>
      <c r="AG28" s="112">
        <v>32800</v>
      </c>
      <c r="AH28" s="112">
        <v>32780</v>
      </c>
      <c r="AI28" s="112">
        <v>32770</v>
      </c>
      <c r="AJ28" s="112">
        <v>32760</v>
      </c>
      <c r="AK28" s="112">
        <v>32760</v>
      </c>
      <c r="AL28" s="112">
        <v>32770</v>
      </c>
      <c r="AM28" s="112">
        <v>32780</v>
      </c>
      <c r="AN28" s="112">
        <v>32790</v>
      </c>
      <c r="AO28" s="112">
        <v>32800</v>
      </c>
      <c r="AP28" s="112">
        <v>32800</v>
      </c>
      <c r="AQ28" s="112">
        <v>32800</v>
      </c>
      <c r="AR28" s="112">
        <v>32780</v>
      </c>
      <c r="AS28" s="112">
        <v>32740</v>
      </c>
      <c r="AT28" s="112">
        <v>32690</v>
      </c>
      <c r="AU28" s="112">
        <v>32650</v>
      </c>
    </row>
    <row r="29" spans="1:47" x14ac:dyDescent="0.2">
      <c r="A29" s="114" t="s">
        <v>30</v>
      </c>
      <c r="B29" s="8"/>
      <c r="C29" s="112">
        <v>29830</v>
      </c>
      <c r="D29" s="112">
        <v>30430</v>
      </c>
      <c r="E29" s="112">
        <v>31640</v>
      </c>
      <c r="F29" s="112">
        <v>32330</v>
      </c>
      <c r="G29" s="112">
        <v>33350</v>
      </c>
      <c r="H29" s="112">
        <v>34510</v>
      </c>
      <c r="I29" s="112">
        <v>33880</v>
      </c>
      <c r="J29" s="112">
        <v>33600</v>
      </c>
      <c r="K29" s="112">
        <v>32960</v>
      </c>
      <c r="L29" s="112">
        <v>33000</v>
      </c>
      <c r="M29" s="112">
        <v>32640</v>
      </c>
      <c r="N29" s="112">
        <v>31470</v>
      </c>
      <c r="O29" s="112">
        <v>31710</v>
      </c>
      <c r="P29" s="112">
        <v>31350</v>
      </c>
      <c r="Q29" s="112">
        <v>32230</v>
      </c>
      <c r="R29" s="112">
        <v>31730</v>
      </c>
      <c r="S29" s="112">
        <v>30540</v>
      </c>
      <c r="T29" s="112">
        <v>31080</v>
      </c>
      <c r="U29" s="112">
        <v>31900</v>
      </c>
      <c r="V29" s="112">
        <v>31870</v>
      </c>
      <c r="W29" s="112">
        <v>32710</v>
      </c>
      <c r="X29" s="112">
        <v>34190</v>
      </c>
      <c r="Y29" s="112">
        <v>34340</v>
      </c>
      <c r="Z29" s="112">
        <v>34190</v>
      </c>
      <c r="AA29" s="112">
        <v>33890</v>
      </c>
      <c r="AB29" s="112">
        <v>33640</v>
      </c>
      <c r="AC29" s="112">
        <v>33430</v>
      </c>
      <c r="AD29" s="112">
        <v>33260</v>
      </c>
      <c r="AE29" s="112">
        <v>33140</v>
      </c>
      <c r="AF29" s="112">
        <v>33040</v>
      </c>
      <c r="AG29" s="112">
        <v>32980</v>
      </c>
      <c r="AH29" s="112">
        <v>32950</v>
      </c>
      <c r="AI29" s="112">
        <v>32930</v>
      </c>
      <c r="AJ29" s="112">
        <v>32920</v>
      </c>
      <c r="AK29" s="112">
        <v>32910</v>
      </c>
      <c r="AL29" s="112">
        <v>32910</v>
      </c>
      <c r="AM29" s="112">
        <v>32910</v>
      </c>
      <c r="AN29" s="112">
        <v>32920</v>
      </c>
      <c r="AO29" s="112">
        <v>32930</v>
      </c>
      <c r="AP29" s="112">
        <v>32950</v>
      </c>
      <c r="AQ29" s="112">
        <v>32950</v>
      </c>
      <c r="AR29" s="112">
        <v>32950</v>
      </c>
      <c r="AS29" s="112">
        <v>32930</v>
      </c>
      <c r="AT29" s="112">
        <v>32890</v>
      </c>
      <c r="AU29" s="112">
        <v>32840</v>
      </c>
    </row>
    <row r="30" spans="1:47" x14ac:dyDescent="0.2">
      <c r="A30" s="114" t="s">
        <v>31</v>
      </c>
      <c r="B30" s="8"/>
      <c r="C30" s="112">
        <v>29560</v>
      </c>
      <c r="D30" s="112">
        <v>29780</v>
      </c>
      <c r="E30" s="112">
        <v>30490</v>
      </c>
      <c r="F30" s="112">
        <v>31300</v>
      </c>
      <c r="G30" s="112">
        <v>32230</v>
      </c>
      <c r="H30" s="112">
        <v>33250</v>
      </c>
      <c r="I30" s="112">
        <v>34410</v>
      </c>
      <c r="J30" s="112">
        <v>33780</v>
      </c>
      <c r="K30" s="112">
        <v>33500</v>
      </c>
      <c r="L30" s="112">
        <v>32870</v>
      </c>
      <c r="M30" s="112">
        <v>32900</v>
      </c>
      <c r="N30" s="112">
        <v>32540</v>
      </c>
      <c r="O30" s="112">
        <v>31370</v>
      </c>
      <c r="P30" s="112">
        <v>31610</v>
      </c>
      <c r="Q30" s="112">
        <v>31250</v>
      </c>
      <c r="R30" s="112">
        <v>32130</v>
      </c>
      <c r="S30" s="112">
        <v>31640</v>
      </c>
      <c r="T30" s="112">
        <v>30450</v>
      </c>
      <c r="U30" s="112">
        <v>30990</v>
      </c>
      <c r="V30" s="112">
        <v>31810</v>
      </c>
      <c r="W30" s="112">
        <v>31770</v>
      </c>
      <c r="X30" s="112">
        <v>32620</v>
      </c>
      <c r="Y30" s="112">
        <v>34100</v>
      </c>
      <c r="Z30" s="112">
        <v>34240</v>
      </c>
      <c r="AA30" s="112">
        <v>34100</v>
      </c>
      <c r="AB30" s="112">
        <v>33800</v>
      </c>
      <c r="AC30" s="112">
        <v>33550</v>
      </c>
      <c r="AD30" s="112">
        <v>33340</v>
      </c>
      <c r="AE30" s="112">
        <v>33170</v>
      </c>
      <c r="AF30" s="112">
        <v>33040</v>
      </c>
      <c r="AG30" s="112">
        <v>32950</v>
      </c>
      <c r="AH30" s="112">
        <v>32890</v>
      </c>
      <c r="AI30" s="112">
        <v>32850</v>
      </c>
      <c r="AJ30" s="112">
        <v>32830</v>
      </c>
      <c r="AK30" s="112">
        <v>32830</v>
      </c>
      <c r="AL30" s="112">
        <v>32820</v>
      </c>
      <c r="AM30" s="112">
        <v>32820</v>
      </c>
      <c r="AN30" s="112">
        <v>32820</v>
      </c>
      <c r="AO30" s="112">
        <v>32830</v>
      </c>
      <c r="AP30" s="112">
        <v>32840</v>
      </c>
      <c r="AQ30" s="112">
        <v>32850</v>
      </c>
      <c r="AR30" s="112">
        <v>32860</v>
      </c>
      <c r="AS30" s="112">
        <v>32860</v>
      </c>
      <c r="AT30" s="112">
        <v>32840</v>
      </c>
      <c r="AU30" s="112">
        <v>32800</v>
      </c>
    </row>
    <row r="31" spans="1:47" x14ac:dyDescent="0.2">
      <c r="A31" s="114" t="s">
        <v>32</v>
      </c>
      <c r="B31" s="8"/>
      <c r="C31" s="112">
        <v>29400</v>
      </c>
      <c r="D31" s="112">
        <v>29250</v>
      </c>
      <c r="E31" s="112">
        <v>29710</v>
      </c>
      <c r="F31" s="112">
        <v>29850</v>
      </c>
      <c r="G31" s="112">
        <v>30940</v>
      </c>
      <c r="H31" s="112">
        <v>31870</v>
      </c>
      <c r="I31" s="112">
        <v>32890</v>
      </c>
      <c r="J31" s="112">
        <v>34050</v>
      </c>
      <c r="K31" s="112">
        <v>33430</v>
      </c>
      <c r="L31" s="112">
        <v>33150</v>
      </c>
      <c r="M31" s="112">
        <v>32510</v>
      </c>
      <c r="N31" s="112">
        <v>32540</v>
      </c>
      <c r="O31" s="112">
        <v>32180</v>
      </c>
      <c r="P31" s="112">
        <v>31020</v>
      </c>
      <c r="Q31" s="112">
        <v>31260</v>
      </c>
      <c r="R31" s="112">
        <v>30900</v>
      </c>
      <c r="S31" s="112">
        <v>31780</v>
      </c>
      <c r="T31" s="112">
        <v>31290</v>
      </c>
      <c r="U31" s="112">
        <v>30100</v>
      </c>
      <c r="V31" s="112">
        <v>30640</v>
      </c>
      <c r="W31" s="112">
        <v>31460</v>
      </c>
      <c r="X31" s="112">
        <v>31420</v>
      </c>
      <c r="Y31" s="112">
        <v>32270</v>
      </c>
      <c r="Z31" s="112">
        <v>33750</v>
      </c>
      <c r="AA31" s="112">
        <v>33890</v>
      </c>
      <c r="AB31" s="112">
        <v>33750</v>
      </c>
      <c r="AC31" s="112">
        <v>33450</v>
      </c>
      <c r="AD31" s="112">
        <v>33200</v>
      </c>
      <c r="AE31" s="112">
        <v>32990</v>
      </c>
      <c r="AF31" s="112">
        <v>32820</v>
      </c>
      <c r="AG31" s="112">
        <v>32690</v>
      </c>
      <c r="AH31" s="112">
        <v>32600</v>
      </c>
      <c r="AI31" s="112">
        <v>32540</v>
      </c>
      <c r="AJ31" s="112">
        <v>32510</v>
      </c>
      <c r="AK31" s="112">
        <v>32490</v>
      </c>
      <c r="AL31" s="112">
        <v>32480</v>
      </c>
      <c r="AM31" s="112">
        <v>32470</v>
      </c>
      <c r="AN31" s="112">
        <v>32470</v>
      </c>
      <c r="AO31" s="112">
        <v>32480</v>
      </c>
      <c r="AP31" s="112">
        <v>32490</v>
      </c>
      <c r="AQ31" s="112">
        <v>32500</v>
      </c>
      <c r="AR31" s="112">
        <v>32510</v>
      </c>
      <c r="AS31" s="112">
        <v>32520</v>
      </c>
      <c r="AT31" s="112">
        <v>32510</v>
      </c>
      <c r="AU31" s="112">
        <v>32490</v>
      </c>
    </row>
    <row r="32" spans="1:47" x14ac:dyDescent="0.2">
      <c r="A32" s="114" t="s">
        <v>33</v>
      </c>
      <c r="B32" s="8"/>
      <c r="C32" s="112">
        <v>29090</v>
      </c>
      <c r="D32" s="112">
        <v>29020</v>
      </c>
      <c r="E32" s="112">
        <v>29140</v>
      </c>
      <c r="F32" s="112">
        <v>28880</v>
      </c>
      <c r="G32" s="112">
        <v>29410</v>
      </c>
      <c r="H32" s="112">
        <v>30510</v>
      </c>
      <c r="I32" s="112">
        <v>31440</v>
      </c>
      <c r="J32" s="112">
        <v>32450</v>
      </c>
      <c r="K32" s="112">
        <v>33610</v>
      </c>
      <c r="L32" s="112">
        <v>32990</v>
      </c>
      <c r="M32" s="112">
        <v>32710</v>
      </c>
      <c r="N32" s="112">
        <v>32080</v>
      </c>
      <c r="O32" s="112">
        <v>32110</v>
      </c>
      <c r="P32" s="112">
        <v>31750</v>
      </c>
      <c r="Q32" s="112">
        <v>30590</v>
      </c>
      <c r="R32" s="112">
        <v>30830</v>
      </c>
      <c r="S32" s="112">
        <v>30470</v>
      </c>
      <c r="T32" s="112">
        <v>31350</v>
      </c>
      <c r="U32" s="112">
        <v>30860</v>
      </c>
      <c r="V32" s="112">
        <v>29670</v>
      </c>
      <c r="W32" s="112">
        <v>30210</v>
      </c>
      <c r="X32" s="112">
        <v>31030</v>
      </c>
      <c r="Y32" s="112">
        <v>31000</v>
      </c>
      <c r="Z32" s="112">
        <v>31840</v>
      </c>
      <c r="AA32" s="112">
        <v>33320</v>
      </c>
      <c r="AB32" s="112">
        <v>33460</v>
      </c>
      <c r="AC32" s="112">
        <v>33320</v>
      </c>
      <c r="AD32" s="112">
        <v>33020</v>
      </c>
      <c r="AE32" s="112">
        <v>32770</v>
      </c>
      <c r="AF32" s="112">
        <v>32560</v>
      </c>
      <c r="AG32" s="112">
        <v>32390</v>
      </c>
      <c r="AH32" s="112">
        <v>32270</v>
      </c>
      <c r="AI32" s="112">
        <v>32180</v>
      </c>
      <c r="AJ32" s="112">
        <v>32120</v>
      </c>
      <c r="AK32" s="112">
        <v>32080</v>
      </c>
      <c r="AL32" s="112">
        <v>32060</v>
      </c>
      <c r="AM32" s="112">
        <v>32050</v>
      </c>
      <c r="AN32" s="112">
        <v>32050</v>
      </c>
      <c r="AO32" s="112">
        <v>32050</v>
      </c>
      <c r="AP32" s="112">
        <v>32050</v>
      </c>
      <c r="AQ32" s="112">
        <v>32060</v>
      </c>
      <c r="AR32" s="112">
        <v>32070</v>
      </c>
      <c r="AS32" s="112">
        <v>32080</v>
      </c>
      <c r="AT32" s="112">
        <v>32090</v>
      </c>
      <c r="AU32" s="112">
        <v>32090</v>
      </c>
    </row>
    <row r="33" spans="1:47" x14ac:dyDescent="0.2">
      <c r="A33" s="114" t="s">
        <v>34</v>
      </c>
      <c r="B33" s="8"/>
      <c r="C33" s="112">
        <v>27970</v>
      </c>
      <c r="D33" s="112">
        <v>28790</v>
      </c>
      <c r="E33" s="112">
        <v>28830</v>
      </c>
      <c r="F33" s="112">
        <v>28300</v>
      </c>
      <c r="G33" s="112">
        <v>28480</v>
      </c>
      <c r="H33" s="112">
        <v>29010</v>
      </c>
      <c r="I33" s="112">
        <v>30110</v>
      </c>
      <c r="J33" s="112">
        <v>31030</v>
      </c>
      <c r="K33" s="112">
        <v>32050</v>
      </c>
      <c r="L33" s="112">
        <v>33210</v>
      </c>
      <c r="M33" s="112">
        <v>32590</v>
      </c>
      <c r="N33" s="112">
        <v>32310</v>
      </c>
      <c r="O33" s="112">
        <v>31670</v>
      </c>
      <c r="P33" s="112">
        <v>31710</v>
      </c>
      <c r="Q33" s="112">
        <v>31350</v>
      </c>
      <c r="R33" s="112">
        <v>30190</v>
      </c>
      <c r="S33" s="112">
        <v>30430</v>
      </c>
      <c r="T33" s="112">
        <v>30070</v>
      </c>
      <c r="U33" s="112">
        <v>30950</v>
      </c>
      <c r="V33" s="112">
        <v>30460</v>
      </c>
      <c r="W33" s="112">
        <v>29270</v>
      </c>
      <c r="X33" s="112">
        <v>29810</v>
      </c>
      <c r="Y33" s="112">
        <v>30630</v>
      </c>
      <c r="Z33" s="112">
        <v>30600</v>
      </c>
      <c r="AA33" s="112">
        <v>31440</v>
      </c>
      <c r="AB33" s="112">
        <v>32920</v>
      </c>
      <c r="AC33" s="112">
        <v>33060</v>
      </c>
      <c r="AD33" s="112">
        <v>32920</v>
      </c>
      <c r="AE33" s="112">
        <v>32620</v>
      </c>
      <c r="AF33" s="112">
        <v>32370</v>
      </c>
      <c r="AG33" s="112">
        <v>32170</v>
      </c>
      <c r="AH33" s="112">
        <v>32000</v>
      </c>
      <c r="AI33" s="112">
        <v>31870</v>
      </c>
      <c r="AJ33" s="112">
        <v>31780</v>
      </c>
      <c r="AK33" s="112">
        <v>31720</v>
      </c>
      <c r="AL33" s="112">
        <v>31690</v>
      </c>
      <c r="AM33" s="112">
        <v>31670</v>
      </c>
      <c r="AN33" s="112">
        <v>31660</v>
      </c>
      <c r="AO33" s="112">
        <v>31650</v>
      </c>
      <c r="AP33" s="112">
        <v>31650</v>
      </c>
      <c r="AQ33" s="112">
        <v>31660</v>
      </c>
      <c r="AR33" s="112">
        <v>31670</v>
      </c>
      <c r="AS33" s="112">
        <v>31680</v>
      </c>
      <c r="AT33" s="112">
        <v>31690</v>
      </c>
      <c r="AU33" s="112">
        <v>31700</v>
      </c>
    </row>
    <row r="34" spans="1:47" x14ac:dyDescent="0.2">
      <c r="A34" s="114" t="s">
        <v>35</v>
      </c>
      <c r="B34" s="8"/>
      <c r="C34" s="112">
        <v>26850</v>
      </c>
      <c r="D34" s="112">
        <v>27710</v>
      </c>
      <c r="E34" s="112">
        <v>28610</v>
      </c>
      <c r="F34" s="112">
        <v>28160</v>
      </c>
      <c r="G34" s="112">
        <v>27980</v>
      </c>
      <c r="H34" s="112">
        <v>28160</v>
      </c>
      <c r="I34" s="112">
        <v>28690</v>
      </c>
      <c r="J34" s="112">
        <v>29790</v>
      </c>
      <c r="K34" s="112">
        <v>30720</v>
      </c>
      <c r="L34" s="112">
        <v>31730</v>
      </c>
      <c r="M34" s="112">
        <v>32890</v>
      </c>
      <c r="N34" s="112">
        <v>32270</v>
      </c>
      <c r="O34" s="112">
        <v>31990</v>
      </c>
      <c r="P34" s="112">
        <v>31360</v>
      </c>
      <c r="Q34" s="112">
        <v>31390</v>
      </c>
      <c r="R34" s="112">
        <v>31040</v>
      </c>
      <c r="S34" s="112">
        <v>29870</v>
      </c>
      <c r="T34" s="112">
        <v>30120</v>
      </c>
      <c r="U34" s="112">
        <v>29760</v>
      </c>
      <c r="V34" s="112">
        <v>30640</v>
      </c>
      <c r="W34" s="112">
        <v>30150</v>
      </c>
      <c r="X34" s="112">
        <v>28960</v>
      </c>
      <c r="Y34" s="112">
        <v>29500</v>
      </c>
      <c r="Z34" s="112">
        <v>30320</v>
      </c>
      <c r="AA34" s="112">
        <v>30290</v>
      </c>
      <c r="AB34" s="112">
        <v>31130</v>
      </c>
      <c r="AC34" s="112">
        <v>32610</v>
      </c>
      <c r="AD34" s="112">
        <v>32750</v>
      </c>
      <c r="AE34" s="112">
        <v>32610</v>
      </c>
      <c r="AF34" s="112">
        <v>32310</v>
      </c>
      <c r="AG34" s="112">
        <v>32060</v>
      </c>
      <c r="AH34" s="112">
        <v>31850</v>
      </c>
      <c r="AI34" s="112">
        <v>31690</v>
      </c>
      <c r="AJ34" s="112">
        <v>31560</v>
      </c>
      <c r="AK34" s="112">
        <v>31470</v>
      </c>
      <c r="AL34" s="112">
        <v>31410</v>
      </c>
      <c r="AM34" s="112">
        <v>31370</v>
      </c>
      <c r="AN34" s="112">
        <v>31350</v>
      </c>
      <c r="AO34" s="112">
        <v>31350</v>
      </c>
      <c r="AP34" s="112">
        <v>31340</v>
      </c>
      <c r="AQ34" s="112">
        <v>31340</v>
      </c>
      <c r="AR34" s="112">
        <v>31350</v>
      </c>
      <c r="AS34" s="112">
        <v>31360</v>
      </c>
      <c r="AT34" s="112">
        <v>31370</v>
      </c>
      <c r="AU34" s="112">
        <v>31380</v>
      </c>
    </row>
    <row r="35" spans="1:47" x14ac:dyDescent="0.2">
      <c r="A35" s="114" t="s">
        <v>36</v>
      </c>
      <c r="B35" s="8"/>
      <c r="C35" s="112">
        <v>25810</v>
      </c>
      <c r="D35" s="112">
        <v>26740</v>
      </c>
      <c r="E35" s="112">
        <v>27500</v>
      </c>
      <c r="F35" s="112">
        <v>28070</v>
      </c>
      <c r="G35" s="112">
        <v>27950</v>
      </c>
      <c r="H35" s="112">
        <v>27780</v>
      </c>
      <c r="I35" s="112">
        <v>27950</v>
      </c>
      <c r="J35" s="112">
        <v>28490</v>
      </c>
      <c r="K35" s="112">
        <v>29580</v>
      </c>
      <c r="L35" s="112">
        <v>30510</v>
      </c>
      <c r="M35" s="112">
        <v>31530</v>
      </c>
      <c r="N35" s="112">
        <v>32680</v>
      </c>
      <c r="O35" s="112">
        <v>32060</v>
      </c>
      <c r="P35" s="112">
        <v>31790</v>
      </c>
      <c r="Q35" s="112">
        <v>31150</v>
      </c>
      <c r="R35" s="112">
        <v>31190</v>
      </c>
      <c r="S35" s="112">
        <v>30830</v>
      </c>
      <c r="T35" s="112">
        <v>29670</v>
      </c>
      <c r="U35" s="112">
        <v>29920</v>
      </c>
      <c r="V35" s="112">
        <v>29560</v>
      </c>
      <c r="W35" s="112">
        <v>30440</v>
      </c>
      <c r="X35" s="112">
        <v>29950</v>
      </c>
      <c r="Y35" s="112">
        <v>28760</v>
      </c>
      <c r="Z35" s="112">
        <v>29300</v>
      </c>
      <c r="AA35" s="112">
        <v>30120</v>
      </c>
      <c r="AB35" s="112">
        <v>30090</v>
      </c>
      <c r="AC35" s="112">
        <v>30930</v>
      </c>
      <c r="AD35" s="112">
        <v>32410</v>
      </c>
      <c r="AE35" s="112">
        <v>32550</v>
      </c>
      <c r="AF35" s="112">
        <v>32410</v>
      </c>
      <c r="AG35" s="112">
        <v>32110</v>
      </c>
      <c r="AH35" s="112">
        <v>31860</v>
      </c>
      <c r="AI35" s="112">
        <v>31650</v>
      </c>
      <c r="AJ35" s="112">
        <v>31490</v>
      </c>
      <c r="AK35" s="112">
        <v>31360</v>
      </c>
      <c r="AL35" s="112">
        <v>31270</v>
      </c>
      <c r="AM35" s="112">
        <v>31210</v>
      </c>
      <c r="AN35" s="112">
        <v>31180</v>
      </c>
      <c r="AO35" s="112">
        <v>31160</v>
      </c>
      <c r="AP35" s="112">
        <v>31150</v>
      </c>
      <c r="AQ35" s="112">
        <v>31140</v>
      </c>
      <c r="AR35" s="112">
        <v>31150</v>
      </c>
      <c r="AS35" s="112">
        <v>31150</v>
      </c>
      <c r="AT35" s="112">
        <v>31160</v>
      </c>
      <c r="AU35" s="112">
        <v>31170</v>
      </c>
    </row>
    <row r="36" spans="1:47" x14ac:dyDescent="0.2">
      <c r="A36" s="114" t="s">
        <v>37</v>
      </c>
      <c r="B36" s="8"/>
      <c r="C36" s="112">
        <v>24950</v>
      </c>
      <c r="D36" s="112">
        <v>25770</v>
      </c>
      <c r="E36" s="112">
        <v>26660</v>
      </c>
      <c r="F36" s="112">
        <v>27320</v>
      </c>
      <c r="G36" s="112">
        <v>28040</v>
      </c>
      <c r="H36" s="112">
        <v>27920</v>
      </c>
      <c r="I36" s="112">
        <v>27740</v>
      </c>
      <c r="J36" s="112">
        <v>27920</v>
      </c>
      <c r="K36" s="112">
        <v>28450</v>
      </c>
      <c r="L36" s="112">
        <v>29550</v>
      </c>
      <c r="M36" s="112">
        <v>30480</v>
      </c>
      <c r="N36" s="112">
        <v>31490</v>
      </c>
      <c r="O36" s="112">
        <v>32650</v>
      </c>
      <c r="P36" s="112">
        <v>32030</v>
      </c>
      <c r="Q36" s="112">
        <v>31750</v>
      </c>
      <c r="R36" s="112">
        <v>31120</v>
      </c>
      <c r="S36" s="112">
        <v>31160</v>
      </c>
      <c r="T36" s="112">
        <v>30800</v>
      </c>
      <c r="U36" s="112">
        <v>29640</v>
      </c>
      <c r="V36" s="112">
        <v>29890</v>
      </c>
      <c r="W36" s="112">
        <v>29530</v>
      </c>
      <c r="X36" s="112">
        <v>30410</v>
      </c>
      <c r="Y36" s="112">
        <v>29920</v>
      </c>
      <c r="Z36" s="112">
        <v>28740</v>
      </c>
      <c r="AA36" s="112">
        <v>29270</v>
      </c>
      <c r="AB36" s="112">
        <v>30090</v>
      </c>
      <c r="AC36" s="112">
        <v>30060</v>
      </c>
      <c r="AD36" s="112">
        <v>30900</v>
      </c>
      <c r="AE36" s="112">
        <v>32380</v>
      </c>
      <c r="AF36" s="112">
        <v>32520</v>
      </c>
      <c r="AG36" s="112">
        <v>32380</v>
      </c>
      <c r="AH36" s="112">
        <v>32080</v>
      </c>
      <c r="AI36" s="112">
        <v>31830</v>
      </c>
      <c r="AJ36" s="112">
        <v>31630</v>
      </c>
      <c r="AK36" s="112">
        <v>31460</v>
      </c>
      <c r="AL36" s="112">
        <v>31340</v>
      </c>
      <c r="AM36" s="112">
        <v>31250</v>
      </c>
      <c r="AN36" s="112">
        <v>31180</v>
      </c>
      <c r="AO36" s="112">
        <v>31150</v>
      </c>
      <c r="AP36" s="112">
        <v>31130</v>
      </c>
      <c r="AQ36" s="112">
        <v>31120</v>
      </c>
      <c r="AR36" s="112">
        <v>31120</v>
      </c>
      <c r="AS36" s="112">
        <v>31120</v>
      </c>
      <c r="AT36" s="112">
        <v>31120</v>
      </c>
      <c r="AU36" s="112">
        <v>31130</v>
      </c>
    </row>
    <row r="37" spans="1:47" x14ac:dyDescent="0.2">
      <c r="A37" s="114" t="s">
        <v>38</v>
      </c>
      <c r="B37" s="8"/>
      <c r="C37" s="112">
        <v>24310</v>
      </c>
      <c r="D37" s="112">
        <v>25140</v>
      </c>
      <c r="E37" s="112">
        <v>25880</v>
      </c>
      <c r="F37" s="112">
        <v>26700</v>
      </c>
      <c r="G37" s="112">
        <v>27490</v>
      </c>
      <c r="H37" s="112">
        <v>28210</v>
      </c>
      <c r="I37" s="112">
        <v>28090</v>
      </c>
      <c r="J37" s="112">
        <v>27920</v>
      </c>
      <c r="K37" s="112">
        <v>28100</v>
      </c>
      <c r="L37" s="112">
        <v>28630</v>
      </c>
      <c r="M37" s="112">
        <v>29720</v>
      </c>
      <c r="N37" s="112">
        <v>30650</v>
      </c>
      <c r="O37" s="112">
        <v>31670</v>
      </c>
      <c r="P37" s="112">
        <v>32820</v>
      </c>
      <c r="Q37" s="112">
        <v>32200</v>
      </c>
      <c r="R37" s="112">
        <v>31930</v>
      </c>
      <c r="S37" s="112">
        <v>31300</v>
      </c>
      <c r="T37" s="112">
        <v>31330</v>
      </c>
      <c r="U37" s="112">
        <v>30980</v>
      </c>
      <c r="V37" s="112">
        <v>29820</v>
      </c>
      <c r="W37" s="112">
        <v>30060</v>
      </c>
      <c r="X37" s="112">
        <v>29710</v>
      </c>
      <c r="Y37" s="112">
        <v>30580</v>
      </c>
      <c r="Z37" s="112">
        <v>30100</v>
      </c>
      <c r="AA37" s="112">
        <v>28910</v>
      </c>
      <c r="AB37" s="112">
        <v>29450</v>
      </c>
      <c r="AC37" s="112">
        <v>30270</v>
      </c>
      <c r="AD37" s="112">
        <v>30240</v>
      </c>
      <c r="AE37" s="112">
        <v>31080</v>
      </c>
      <c r="AF37" s="112">
        <v>32560</v>
      </c>
      <c r="AG37" s="112">
        <v>32700</v>
      </c>
      <c r="AH37" s="112">
        <v>32560</v>
      </c>
      <c r="AI37" s="112">
        <v>32260</v>
      </c>
      <c r="AJ37" s="112">
        <v>32010</v>
      </c>
      <c r="AK37" s="112">
        <v>31810</v>
      </c>
      <c r="AL37" s="112">
        <v>31640</v>
      </c>
      <c r="AM37" s="112">
        <v>31520</v>
      </c>
      <c r="AN37" s="112">
        <v>31430</v>
      </c>
      <c r="AO37" s="112">
        <v>31370</v>
      </c>
      <c r="AP37" s="112">
        <v>31330</v>
      </c>
      <c r="AQ37" s="112">
        <v>31310</v>
      </c>
      <c r="AR37" s="112">
        <v>31300</v>
      </c>
      <c r="AS37" s="112">
        <v>31300</v>
      </c>
      <c r="AT37" s="112">
        <v>31300</v>
      </c>
      <c r="AU37" s="112">
        <v>31300</v>
      </c>
    </row>
    <row r="38" spans="1:47" x14ac:dyDescent="0.2">
      <c r="A38" s="114" t="s">
        <v>39</v>
      </c>
      <c r="B38" s="8"/>
      <c r="C38" s="112">
        <v>24860</v>
      </c>
      <c r="D38" s="112">
        <v>24640</v>
      </c>
      <c r="E38" s="112">
        <v>25360</v>
      </c>
      <c r="F38" s="112">
        <v>26180</v>
      </c>
      <c r="G38" s="112">
        <v>26990</v>
      </c>
      <c r="H38" s="112">
        <v>27780</v>
      </c>
      <c r="I38" s="112">
        <v>28500</v>
      </c>
      <c r="J38" s="112">
        <v>28380</v>
      </c>
      <c r="K38" s="112">
        <v>28210</v>
      </c>
      <c r="L38" s="112">
        <v>28380</v>
      </c>
      <c r="M38" s="112">
        <v>28920</v>
      </c>
      <c r="N38" s="112">
        <v>30010</v>
      </c>
      <c r="O38" s="112">
        <v>30940</v>
      </c>
      <c r="P38" s="112">
        <v>31950</v>
      </c>
      <c r="Q38" s="112">
        <v>33110</v>
      </c>
      <c r="R38" s="112">
        <v>32490</v>
      </c>
      <c r="S38" s="112">
        <v>32220</v>
      </c>
      <c r="T38" s="112">
        <v>31590</v>
      </c>
      <c r="U38" s="112">
        <v>31620</v>
      </c>
      <c r="V38" s="112">
        <v>31270</v>
      </c>
      <c r="W38" s="112">
        <v>30110</v>
      </c>
      <c r="X38" s="112">
        <v>30350</v>
      </c>
      <c r="Y38" s="112">
        <v>30000</v>
      </c>
      <c r="Z38" s="112">
        <v>30870</v>
      </c>
      <c r="AA38" s="112">
        <v>30390</v>
      </c>
      <c r="AB38" s="112">
        <v>29210</v>
      </c>
      <c r="AC38" s="112">
        <v>29740</v>
      </c>
      <c r="AD38" s="112">
        <v>30560</v>
      </c>
      <c r="AE38" s="112">
        <v>30530</v>
      </c>
      <c r="AF38" s="112">
        <v>31370</v>
      </c>
      <c r="AG38" s="112">
        <v>32850</v>
      </c>
      <c r="AH38" s="112">
        <v>32990</v>
      </c>
      <c r="AI38" s="112">
        <v>32850</v>
      </c>
      <c r="AJ38" s="112">
        <v>32550</v>
      </c>
      <c r="AK38" s="112">
        <v>32310</v>
      </c>
      <c r="AL38" s="112">
        <v>32100</v>
      </c>
      <c r="AM38" s="112">
        <v>31930</v>
      </c>
      <c r="AN38" s="112">
        <v>31810</v>
      </c>
      <c r="AO38" s="112">
        <v>31720</v>
      </c>
      <c r="AP38" s="112">
        <v>31660</v>
      </c>
      <c r="AQ38" s="112">
        <v>31620</v>
      </c>
      <c r="AR38" s="112">
        <v>31600</v>
      </c>
      <c r="AS38" s="112">
        <v>31600</v>
      </c>
      <c r="AT38" s="112">
        <v>31590</v>
      </c>
      <c r="AU38" s="112">
        <v>31590</v>
      </c>
    </row>
    <row r="39" spans="1:47" x14ac:dyDescent="0.2">
      <c r="A39" s="114" t="s">
        <v>40</v>
      </c>
      <c r="B39" s="8"/>
      <c r="C39" s="112">
        <v>25180</v>
      </c>
      <c r="D39" s="112">
        <v>25130</v>
      </c>
      <c r="E39" s="112">
        <v>24930</v>
      </c>
      <c r="F39" s="112">
        <v>25660</v>
      </c>
      <c r="G39" s="112">
        <v>26480</v>
      </c>
      <c r="H39" s="112">
        <v>27280</v>
      </c>
      <c r="I39" s="112">
        <v>28070</v>
      </c>
      <c r="J39" s="112">
        <v>28790</v>
      </c>
      <c r="K39" s="112">
        <v>28670</v>
      </c>
      <c r="L39" s="112">
        <v>28500</v>
      </c>
      <c r="M39" s="112">
        <v>28680</v>
      </c>
      <c r="N39" s="112">
        <v>29210</v>
      </c>
      <c r="O39" s="112">
        <v>30310</v>
      </c>
      <c r="P39" s="112">
        <v>31230</v>
      </c>
      <c r="Q39" s="112">
        <v>32240</v>
      </c>
      <c r="R39" s="112">
        <v>33400</v>
      </c>
      <c r="S39" s="112">
        <v>32790</v>
      </c>
      <c r="T39" s="112">
        <v>32510</v>
      </c>
      <c r="U39" s="112">
        <v>31880</v>
      </c>
      <c r="V39" s="112">
        <v>31920</v>
      </c>
      <c r="W39" s="112">
        <v>31560</v>
      </c>
      <c r="X39" s="112">
        <v>30410</v>
      </c>
      <c r="Y39" s="112">
        <v>30650</v>
      </c>
      <c r="Z39" s="112">
        <v>30290</v>
      </c>
      <c r="AA39" s="112">
        <v>31170</v>
      </c>
      <c r="AB39" s="112">
        <v>30690</v>
      </c>
      <c r="AC39" s="112">
        <v>29510</v>
      </c>
      <c r="AD39" s="112">
        <v>30040</v>
      </c>
      <c r="AE39" s="112">
        <v>30860</v>
      </c>
      <c r="AF39" s="112">
        <v>30830</v>
      </c>
      <c r="AG39" s="112">
        <v>31670</v>
      </c>
      <c r="AH39" s="112">
        <v>33140</v>
      </c>
      <c r="AI39" s="112">
        <v>33290</v>
      </c>
      <c r="AJ39" s="112">
        <v>33150</v>
      </c>
      <c r="AK39" s="112">
        <v>32850</v>
      </c>
      <c r="AL39" s="112">
        <v>32600</v>
      </c>
      <c r="AM39" s="112">
        <v>32400</v>
      </c>
      <c r="AN39" s="112">
        <v>32230</v>
      </c>
      <c r="AO39" s="112">
        <v>32110</v>
      </c>
      <c r="AP39" s="112">
        <v>32020</v>
      </c>
      <c r="AQ39" s="112">
        <v>31960</v>
      </c>
      <c r="AR39" s="112">
        <v>31920</v>
      </c>
      <c r="AS39" s="112">
        <v>31910</v>
      </c>
      <c r="AT39" s="112">
        <v>31900</v>
      </c>
      <c r="AU39" s="112">
        <v>31890</v>
      </c>
    </row>
    <row r="40" spans="1:47" x14ac:dyDescent="0.2">
      <c r="A40" s="114" t="s">
        <v>41</v>
      </c>
      <c r="B40" s="8"/>
      <c r="C40" s="112">
        <v>26120</v>
      </c>
      <c r="D40" s="112">
        <v>25450</v>
      </c>
      <c r="E40" s="112">
        <v>25420</v>
      </c>
      <c r="F40" s="112">
        <v>25090</v>
      </c>
      <c r="G40" s="112">
        <v>25910</v>
      </c>
      <c r="H40" s="112">
        <v>26720</v>
      </c>
      <c r="I40" s="112">
        <v>27530</v>
      </c>
      <c r="J40" s="112">
        <v>28320</v>
      </c>
      <c r="K40" s="112">
        <v>29040</v>
      </c>
      <c r="L40" s="112">
        <v>28920</v>
      </c>
      <c r="M40" s="112">
        <v>28750</v>
      </c>
      <c r="N40" s="112">
        <v>28930</v>
      </c>
      <c r="O40" s="112">
        <v>29460</v>
      </c>
      <c r="P40" s="112">
        <v>30550</v>
      </c>
      <c r="Q40" s="112">
        <v>31480</v>
      </c>
      <c r="R40" s="112">
        <v>32490</v>
      </c>
      <c r="S40" s="112">
        <v>33650</v>
      </c>
      <c r="T40" s="112">
        <v>33030</v>
      </c>
      <c r="U40" s="112">
        <v>32760</v>
      </c>
      <c r="V40" s="112">
        <v>32130</v>
      </c>
      <c r="W40" s="112">
        <v>32170</v>
      </c>
      <c r="X40" s="112">
        <v>31810</v>
      </c>
      <c r="Y40" s="112">
        <v>30660</v>
      </c>
      <c r="Z40" s="112">
        <v>30900</v>
      </c>
      <c r="AA40" s="112">
        <v>30550</v>
      </c>
      <c r="AB40" s="112">
        <v>31420</v>
      </c>
      <c r="AC40" s="112">
        <v>30940</v>
      </c>
      <c r="AD40" s="112">
        <v>29760</v>
      </c>
      <c r="AE40" s="112">
        <v>30290</v>
      </c>
      <c r="AF40" s="112">
        <v>31110</v>
      </c>
      <c r="AG40" s="112">
        <v>31080</v>
      </c>
      <c r="AH40" s="112">
        <v>31920</v>
      </c>
      <c r="AI40" s="112">
        <v>33400</v>
      </c>
      <c r="AJ40" s="112">
        <v>33540</v>
      </c>
      <c r="AK40" s="112">
        <v>33400</v>
      </c>
      <c r="AL40" s="112">
        <v>33110</v>
      </c>
      <c r="AM40" s="112">
        <v>32860</v>
      </c>
      <c r="AN40" s="112">
        <v>32650</v>
      </c>
      <c r="AO40" s="112">
        <v>32490</v>
      </c>
      <c r="AP40" s="112">
        <v>32360</v>
      </c>
      <c r="AQ40" s="112">
        <v>32270</v>
      </c>
      <c r="AR40" s="112">
        <v>32210</v>
      </c>
      <c r="AS40" s="112">
        <v>32180</v>
      </c>
      <c r="AT40" s="112">
        <v>32160</v>
      </c>
      <c r="AU40" s="112">
        <v>32150</v>
      </c>
    </row>
    <row r="41" spans="1:47" x14ac:dyDescent="0.2">
      <c r="A41" s="114" t="s">
        <v>42</v>
      </c>
      <c r="B41" s="8"/>
      <c r="C41" s="112">
        <v>27080</v>
      </c>
      <c r="D41" s="112">
        <v>26280</v>
      </c>
      <c r="E41" s="112">
        <v>25600</v>
      </c>
      <c r="F41" s="112">
        <v>25560</v>
      </c>
      <c r="G41" s="112">
        <v>25290</v>
      </c>
      <c r="H41" s="112">
        <v>26110</v>
      </c>
      <c r="I41" s="112">
        <v>26930</v>
      </c>
      <c r="J41" s="112">
        <v>27730</v>
      </c>
      <c r="K41" s="112">
        <v>28520</v>
      </c>
      <c r="L41" s="112">
        <v>29240</v>
      </c>
      <c r="M41" s="112">
        <v>29120</v>
      </c>
      <c r="N41" s="112">
        <v>28950</v>
      </c>
      <c r="O41" s="112">
        <v>29130</v>
      </c>
      <c r="P41" s="112">
        <v>29660</v>
      </c>
      <c r="Q41" s="112">
        <v>30760</v>
      </c>
      <c r="R41" s="112">
        <v>31680</v>
      </c>
      <c r="S41" s="112">
        <v>32690</v>
      </c>
      <c r="T41" s="112">
        <v>33850</v>
      </c>
      <c r="U41" s="112">
        <v>33240</v>
      </c>
      <c r="V41" s="112">
        <v>32960</v>
      </c>
      <c r="W41" s="112">
        <v>32330</v>
      </c>
      <c r="X41" s="112">
        <v>32370</v>
      </c>
      <c r="Y41" s="112">
        <v>32020</v>
      </c>
      <c r="Z41" s="112">
        <v>30860</v>
      </c>
      <c r="AA41" s="112">
        <v>31110</v>
      </c>
      <c r="AB41" s="112">
        <v>30750</v>
      </c>
      <c r="AC41" s="112">
        <v>31630</v>
      </c>
      <c r="AD41" s="112">
        <v>31140</v>
      </c>
      <c r="AE41" s="112">
        <v>29970</v>
      </c>
      <c r="AF41" s="112">
        <v>30500</v>
      </c>
      <c r="AG41" s="112">
        <v>31320</v>
      </c>
      <c r="AH41" s="112">
        <v>31290</v>
      </c>
      <c r="AI41" s="112">
        <v>32130</v>
      </c>
      <c r="AJ41" s="112">
        <v>33600</v>
      </c>
      <c r="AK41" s="112">
        <v>33750</v>
      </c>
      <c r="AL41" s="112">
        <v>33610</v>
      </c>
      <c r="AM41" s="112">
        <v>33310</v>
      </c>
      <c r="AN41" s="112">
        <v>33060</v>
      </c>
      <c r="AO41" s="112">
        <v>32860</v>
      </c>
      <c r="AP41" s="112">
        <v>32690</v>
      </c>
      <c r="AQ41" s="112">
        <v>32570</v>
      </c>
      <c r="AR41" s="112">
        <v>32480</v>
      </c>
      <c r="AS41" s="112">
        <v>32420</v>
      </c>
      <c r="AT41" s="112">
        <v>32390</v>
      </c>
      <c r="AU41" s="112">
        <v>32370</v>
      </c>
    </row>
    <row r="42" spans="1:47" x14ac:dyDescent="0.2">
      <c r="A42" s="114" t="s">
        <v>43</v>
      </c>
      <c r="B42" s="8"/>
      <c r="C42" s="112">
        <v>28270</v>
      </c>
      <c r="D42" s="112">
        <v>27240</v>
      </c>
      <c r="E42" s="112">
        <v>26350</v>
      </c>
      <c r="F42" s="112">
        <v>25780</v>
      </c>
      <c r="G42" s="112">
        <v>25750</v>
      </c>
      <c r="H42" s="112">
        <v>25480</v>
      </c>
      <c r="I42" s="112">
        <v>26300</v>
      </c>
      <c r="J42" s="112">
        <v>27110</v>
      </c>
      <c r="K42" s="112">
        <v>27920</v>
      </c>
      <c r="L42" s="112">
        <v>28710</v>
      </c>
      <c r="M42" s="112">
        <v>29430</v>
      </c>
      <c r="N42" s="112">
        <v>29310</v>
      </c>
      <c r="O42" s="112">
        <v>29140</v>
      </c>
      <c r="P42" s="112">
        <v>29320</v>
      </c>
      <c r="Q42" s="112">
        <v>29850</v>
      </c>
      <c r="R42" s="112">
        <v>30940</v>
      </c>
      <c r="S42" s="112">
        <v>31870</v>
      </c>
      <c r="T42" s="112">
        <v>32880</v>
      </c>
      <c r="U42" s="112">
        <v>34040</v>
      </c>
      <c r="V42" s="112">
        <v>33420</v>
      </c>
      <c r="W42" s="112">
        <v>33150</v>
      </c>
      <c r="X42" s="112">
        <v>32520</v>
      </c>
      <c r="Y42" s="112">
        <v>32560</v>
      </c>
      <c r="Z42" s="112">
        <v>32210</v>
      </c>
      <c r="AA42" s="112">
        <v>31050</v>
      </c>
      <c r="AB42" s="112">
        <v>31300</v>
      </c>
      <c r="AC42" s="112">
        <v>30940</v>
      </c>
      <c r="AD42" s="112">
        <v>31820</v>
      </c>
      <c r="AE42" s="112">
        <v>31340</v>
      </c>
      <c r="AF42" s="112">
        <v>30160</v>
      </c>
      <c r="AG42" s="112">
        <v>30690</v>
      </c>
      <c r="AH42" s="112">
        <v>31510</v>
      </c>
      <c r="AI42" s="112">
        <v>31480</v>
      </c>
      <c r="AJ42" s="112">
        <v>32320</v>
      </c>
      <c r="AK42" s="112">
        <v>33790</v>
      </c>
      <c r="AL42" s="112">
        <v>33940</v>
      </c>
      <c r="AM42" s="112">
        <v>33800</v>
      </c>
      <c r="AN42" s="112">
        <v>33500</v>
      </c>
      <c r="AO42" s="112">
        <v>33260</v>
      </c>
      <c r="AP42" s="112">
        <v>33050</v>
      </c>
      <c r="AQ42" s="112">
        <v>32890</v>
      </c>
      <c r="AR42" s="112">
        <v>32760</v>
      </c>
      <c r="AS42" s="112">
        <v>32670</v>
      </c>
      <c r="AT42" s="112">
        <v>32610</v>
      </c>
      <c r="AU42" s="112">
        <v>32580</v>
      </c>
    </row>
    <row r="43" spans="1:47" x14ac:dyDescent="0.2">
      <c r="A43" s="114" t="s">
        <v>44</v>
      </c>
      <c r="B43" s="8"/>
      <c r="C43" s="112">
        <v>29670</v>
      </c>
      <c r="D43" s="112">
        <v>28480</v>
      </c>
      <c r="E43" s="112">
        <v>27320</v>
      </c>
      <c r="F43" s="112">
        <v>26650</v>
      </c>
      <c r="G43" s="112">
        <v>25960</v>
      </c>
      <c r="H43" s="112">
        <v>25930</v>
      </c>
      <c r="I43" s="112">
        <v>25660</v>
      </c>
      <c r="J43" s="112">
        <v>26480</v>
      </c>
      <c r="K43" s="112">
        <v>27290</v>
      </c>
      <c r="L43" s="112">
        <v>28100</v>
      </c>
      <c r="M43" s="112">
        <v>28890</v>
      </c>
      <c r="N43" s="112">
        <v>29610</v>
      </c>
      <c r="O43" s="112">
        <v>29490</v>
      </c>
      <c r="P43" s="112">
        <v>29320</v>
      </c>
      <c r="Q43" s="112">
        <v>29500</v>
      </c>
      <c r="R43" s="112">
        <v>30030</v>
      </c>
      <c r="S43" s="112">
        <v>31120</v>
      </c>
      <c r="T43" s="112">
        <v>32050</v>
      </c>
      <c r="U43" s="112">
        <v>33060</v>
      </c>
      <c r="V43" s="112">
        <v>34220</v>
      </c>
      <c r="W43" s="112">
        <v>33600</v>
      </c>
      <c r="X43" s="112">
        <v>33330</v>
      </c>
      <c r="Y43" s="112">
        <v>32700</v>
      </c>
      <c r="Z43" s="112">
        <v>32740</v>
      </c>
      <c r="AA43" s="112">
        <v>32390</v>
      </c>
      <c r="AB43" s="112">
        <v>31240</v>
      </c>
      <c r="AC43" s="112">
        <v>31480</v>
      </c>
      <c r="AD43" s="112">
        <v>31130</v>
      </c>
      <c r="AE43" s="112">
        <v>32000</v>
      </c>
      <c r="AF43" s="112">
        <v>31520</v>
      </c>
      <c r="AG43" s="112">
        <v>30340</v>
      </c>
      <c r="AH43" s="112">
        <v>30880</v>
      </c>
      <c r="AI43" s="112">
        <v>31690</v>
      </c>
      <c r="AJ43" s="112">
        <v>31670</v>
      </c>
      <c r="AK43" s="112">
        <v>32500</v>
      </c>
      <c r="AL43" s="112">
        <v>33980</v>
      </c>
      <c r="AM43" s="112">
        <v>34120</v>
      </c>
      <c r="AN43" s="112">
        <v>33980</v>
      </c>
      <c r="AO43" s="112">
        <v>33690</v>
      </c>
      <c r="AP43" s="112">
        <v>33440</v>
      </c>
      <c r="AQ43" s="112">
        <v>33240</v>
      </c>
      <c r="AR43" s="112">
        <v>33070</v>
      </c>
      <c r="AS43" s="112">
        <v>32950</v>
      </c>
      <c r="AT43" s="112">
        <v>32860</v>
      </c>
      <c r="AU43" s="112">
        <v>32800</v>
      </c>
    </row>
    <row r="44" spans="1:47" x14ac:dyDescent="0.2">
      <c r="A44" s="114" t="s">
        <v>45</v>
      </c>
      <c r="B44" s="8"/>
      <c r="C44" s="112">
        <v>30140</v>
      </c>
      <c r="D44" s="112">
        <v>29820</v>
      </c>
      <c r="E44" s="112">
        <v>28530</v>
      </c>
      <c r="F44" s="112">
        <v>27570</v>
      </c>
      <c r="G44" s="112">
        <v>26810</v>
      </c>
      <c r="H44" s="112">
        <v>26120</v>
      </c>
      <c r="I44" s="112">
        <v>26100</v>
      </c>
      <c r="J44" s="112">
        <v>25830</v>
      </c>
      <c r="K44" s="112">
        <v>26650</v>
      </c>
      <c r="L44" s="112">
        <v>27460</v>
      </c>
      <c r="M44" s="112">
        <v>28270</v>
      </c>
      <c r="N44" s="112">
        <v>29060</v>
      </c>
      <c r="O44" s="112">
        <v>29780</v>
      </c>
      <c r="P44" s="112">
        <v>29660</v>
      </c>
      <c r="Q44" s="112">
        <v>29490</v>
      </c>
      <c r="R44" s="112">
        <v>29670</v>
      </c>
      <c r="S44" s="112">
        <v>30200</v>
      </c>
      <c r="T44" s="112">
        <v>31290</v>
      </c>
      <c r="U44" s="112">
        <v>32220</v>
      </c>
      <c r="V44" s="112">
        <v>33230</v>
      </c>
      <c r="W44" s="112">
        <v>34380</v>
      </c>
      <c r="X44" s="112">
        <v>33770</v>
      </c>
      <c r="Y44" s="112">
        <v>33500</v>
      </c>
      <c r="Z44" s="112">
        <v>32870</v>
      </c>
      <c r="AA44" s="112">
        <v>32910</v>
      </c>
      <c r="AB44" s="112">
        <v>32560</v>
      </c>
      <c r="AC44" s="112">
        <v>31410</v>
      </c>
      <c r="AD44" s="112">
        <v>31660</v>
      </c>
      <c r="AE44" s="112">
        <v>31300</v>
      </c>
      <c r="AF44" s="112">
        <v>32180</v>
      </c>
      <c r="AG44" s="112">
        <v>31690</v>
      </c>
      <c r="AH44" s="112">
        <v>30520</v>
      </c>
      <c r="AI44" s="112">
        <v>31050</v>
      </c>
      <c r="AJ44" s="112">
        <v>31870</v>
      </c>
      <c r="AK44" s="112">
        <v>31840</v>
      </c>
      <c r="AL44" s="112">
        <v>32680</v>
      </c>
      <c r="AM44" s="112">
        <v>34150</v>
      </c>
      <c r="AN44" s="112">
        <v>34290</v>
      </c>
      <c r="AO44" s="112">
        <v>34160</v>
      </c>
      <c r="AP44" s="112">
        <v>33860</v>
      </c>
      <c r="AQ44" s="112">
        <v>33610</v>
      </c>
      <c r="AR44" s="112">
        <v>33410</v>
      </c>
      <c r="AS44" s="112">
        <v>33240</v>
      </c>
      <c r="AT44" s="112">
        <v>33120</v>
      </c>
      <c r="AU44" s="112">
        <v>33030</v>
      </c>
    </row>
    <row r="45" spans="1:47" x14ac:dyDescent="0.2">
      <c r="A45" s="114" t="s">
        <v>46</v>
      </c>
      <c r="B45" s="8"/>
      <c r="C45" s="112">
        <v>29680</v>
      </c>
      <c r="D45" s="112">
        <v>30270</v>
      </c>
      <c r="E45" s="112">
        <v>29920</v>
      </c>
      <c r="F45" s="112">
        <v>28720</v>
      </c>
      <c r="G45" s="112">
        <v>27720</v>
      </c>
      <c r="H45" s="112">
        <v>26970</v>
      </c>
      <c r="I45" s="112">
        <v>26280</v>
      </c>
      <c r="J45" s="112">
        <v>26250</v>
      </c>
      <c r="K45" s="112">
        <v>25990</v>
      </c>
      <c r="L45" s="112">
        <v>26800</v>
      </c>
      <c r="M45" s="112">
        <v>27620</v>
      </c>
      <c r="N45" s="112">
        <v>28430</v>
      </c>
      <c r="O45" s="112">
        <v>29210</v>
      </c>
      <c r="P45" s="112">
        <v>29930</v>
      </c>
      <c r="Q45" s="112">
        <v>29820</v>
      </c>
      <c r="R45" s="112">
        <v>29650</v>
      </c>
      <c r="S45" s="112">
        <v>29830</v>
      </c>
      <c r="T45" s="112">
        <v>30360</v>
      </c>
      <c r="U45" s="112">
        <v>31450</v>
      </c>
      <c r="V45" s="112">
        <v>32370</v>
      </c>
      <c r="W45" s="112">
        <v>33380</v>
      </c>
      <c r="X45" s="112">
        <v>34540</v>
      </c>
      <c r="Y45" s="112">
        <v>33930</v>
      </c>
      <c r="Z45" s="112">
        <v>33650</v>
      </c>
      <c r="AA45" s="112">
        <v>33030</v>
      </c>
      <c r="AB45" s="112">
        <v>33070</v>
      </c>
      <c r="AC45" s="112">
        <v>32720</v>
      </c>
      <c r="AD45" s="112">
        <v>31570</v>
      </c>
      <c r="AE45" s="112">
        <v>31810</v>
      </c>
      <c r="AF45" s="112">
        <v>31460</v>
      </c>
      <c r="AG45" s="112">
        <v>32330</v>
      </c>
      <c r="AH45" s="112">
        <v>31850</v>
      </c>
      <c r="AI45" s="112">
        <v>30680</v>
      </c>
      <c r="AJ45" s="112">
        <v>31210</v>
      </c>
      <c r="AK45" s="112">
        <v>32030</v>
      </c>
      <c r="AL45" s="112">
        <v>32000</v>
      </c>
      <c r="AM45" s="112">
        <v>32830</v>
      </c>
      <c r="AN45" s="112">
        <v>34310</v>
      </c>
      <c r="AO45" s="112">
        <v>34450</v>
      </c>
      <c r="AP45" s="112">
        <v>34310</v>
      </c>
      <c r="AQ45" s="112">
        <v>34020</v>
      </c>
      <c r="AR45" s="112">
        <v>33770</v>
      </c>
      <c r="AS45" s="112">
        <v>33570</v>
      </c>
      <c r="AT45" s="112">
        <v>33400</v>
      </c>
      <c r="AU45" s="112">
        <v>33280</v>
      </c>
    </row>
    <row r="46" spans="1:47" x14ac:dyDescent="0.2">
      <c r="A46" s="114" t="s">
        <v>47</v>
      </c>
      <c r="B46" s="8"/>
      <c r="C46" s="112">
        <v>30040</v>
      </c>
      <c r="D46" s="112">
        <v>29810</v>
      </c>
      <c r="E46" s="112">
        <v>30350</v>
      </c>
      <c r="F46" s="112">
        <v>30080</v>
      </c>
      <c r="G46" s="112">
        <v>28860</v>
      </c>
      <c r="H46" s="112">
        <v>27860</v>
      </c>
      <c r="I46" s="112">
        <v>27110</v>
      </c>
      <c r="J46" s="112">
        <v>26420</v>
      </c>
      <c r="K46" s="112">
        <v>26400</v>
      </c>
      <c r="L46" s="112">
        <v>26130</v>
      </c>
      <c r="M46" s="112">
        <v>26950</v>
      </c>
      <c r="N46" s="112">
        <v>27760</v>
      </c>
      <c r="O46" s="112">
        <v>28570</v>
      </c>
      <c r="P46" s="112">
        <v>29360</v>
      </c>
      <c r="Q46" s="112">
        <v>30070</v>
      </c>
      <c r="R46" s="112">
        <v>29960</v>
      </c>
      <c r="S46" s="112">
        <v>29790</v>
      </c>
      <c r="T46" s="112">
        <v>29970</v>
      </c>
      <c r="U46" s="112">
        <v>30500</v>
      </c>
      <c r="V46" s="112">
        <v>31590</v>
      </c>
      <c r="W46" s="112">
        <v>32520</v>
      </c>
      <c r="X46" s="112">
        <v>33530</v>
      </c>
      <c r="Y46" s="112">
        <v>34680</v>
      </c>
      <c r="Z46" s="112">
        <v>34070</v>
      </c>
      <c r="AA46" s="112">
        <v>33800</v>
      </c>
      <c r="AB46" s="112">
        <v>33170</v>
      </c>
      <c r="AC46" s="112">
        <v>33210</v>
      </c>
      <c r="AD46" s="112">
        <v>32860</v>
      </c>
      <c r="AE46" s="112">
        <v>31710</v>
      </c>
      <c r="AF46" s="112">
        <v>31960</v>
      </c>
      <c r="AG46" s="112">
        <v>31600</v>
      </c>
      <c r="AH46" s="112">
        <v>32480</v>
      </c>
      <c r="AI46" s="112">
        <v>32000</v>
      </c>
      <c r="AJ46" s="112">
        <v>30820</v>
      </c>
      <c r="AK46" s="112">
        <v>31360</v>
      </c>
      <c r="AL46" s="112">
        <v>32170</v>
      </c>
      <c r="AM46" s="112">
        <v>32140</v>
      </c>
      <c r="AN46" s="112">
        <v>32980</v>
      </c>
      <c r="AO46" s="112">
        <v>34450</v>
      </c>
      <c r="AP46" s="112">
        <v>34600</v>
      </c>
      <c r="AQ46" s="112">
        <v>34460</v>
      </c>
      <c r="AR46" s="112">
        <v>34170</v>
      </c>
      <c r="AS46" s="112">
        <v>33920</v>
      </c>
      <c r="AT46" s="112">
        <v>33710</v>
      </c>
      <c r="AU46" s="112">
        <v>33550</v>
      </c>
    </row>
    <row r="47" spans="1:47" x14ac:dyDescent="0.2">
      <c r="A47" s="114" t="s">
        <v>48</v>
      </c>
      <c r="B47" s="8"/>
      <c r="C47" s="112">
        <v>29710</v>
      </c>
      <c r="D47" s="112">
        <v>30170</v>
      </c>
      <c r="E47" s="112">
        <v>29810</v>
      </c>
      <c r="F47" s="112">
        <v>30510</v>
      </c>
      <c r="G47" s="112">
        <v>30210</v>
      </c>
      <c r="H47" s="112">
        <v>28990</v>
      </c>
      <c r="I47" s="112">
        <v>27990</v>
      </c>
      <c r="J47" s="112">
        <v>27240</v>
      </c>
      <c r="K47" s="112">
        <v>26550</v>
      </c>
      <c r="L47" s="112">
        <v>26530</v>
      </c>
      <c r="M47" s="112">
        <v>26260</v>
      </c>
      <c r="N47" s="112">
        <v>27080</v>
      </c>
      <c r="O47" s="112">
        <v>27890</v>
      </c>
      <c r="P47" s="112">
        <v>28700</v>
      </c>
      <c r="Q47" s="112">
        <v>29490</v>
      </c>
      <c r="R47" s="112">
        <v>30200</v>
      </c>
      <c r="S47" s="112">
        <v>30090</v>
      </c>
      <c r="T47" s="112">
        <v>29920</v>
      </c>
      <c r="U47" s="112">
        <v>30100</v>
      </c>
      <c r="V47" s="112">
        <v>30630</v>
      </c>
      <c r="W47" s="112">
        <v>31720</v>
      </c>
      <c r="X47" s="112">
        <v>32650</v>
      </c>
      <c r="Y47" s="112">
        <v>33660</v>
      </c>
      <c r="Z47" s="112">
        <v>34810</v>
      </c>
      <c r="AA47" s="112">
        <v>34200</v>
      </c>
      <c r="AB47" s="112">
        <v>33930</v>
      </c>
      <c r="AC47" s="112">
        <v>33310</v>
      </c>
      <c r="AD47" s="112">
        <v>33340</v>
      </c>
      <c r="AE47" s="112">
        <v>33000</v>
      </c>
      <c r="AF47" s="112">
        <v>31850</v>
      </c>
      <c r="AG47" s="112">
        <v>32090</v>
      </c>
      <c r="AH47" s="112">
        <v>31740</v>
      </c>
      <c r="AI47" s="112">
        <v>32610</v>
      </c>
      <c r="AJ47" s="112">
        <v>32130</v>
      </c>
      <c r="AK47" s="112">
        <v>30960</v>
      </c>
      <c r="AL47" s="112">
        <v>31490</v>
      </c>
      <c r="AM47" s="112">
        <v>32310</v>
      </c>
      <c r="AN47" s="112">
        <v>32280</v>
      </c>
      <c r="AO47" s="112">
        <v>33120</v>
      </c>
      <c r="AP47" s="112">
        <v>34590</v>
      </c>
      <c r="AQ47" s="112">
        <v>34730</v>
      </c>
      <c r="AR47" s="112">
        <v>34590</v>
      </c>
      <c r="AS47" s="112">
        <v>34300</v>
      </c>
      <c r="AT47" s="112">
        <v>34050</v>
      </c>
      <c r="AU47" s="112">
        <v>33850</v>
      </c>
    </row>
    <row r="48" spans="1:47" x14ac:dyDescent="0.2">
      <c r="A48" s="114" t="s">
        <v>49</v>
      </c>
      <c r="B48" s="8"/>
      <c r="C48" s="112">
        <v>29570</v>
      </c>
      <c r="D48" s="112">
        <v>29830</v>
      </c>
      <c r="E48" s="112">
        <v>30140</v>
      </c>
      <c r="F48" s="112">
        <v>30020</v>
      </c>
      <c r="G48" s="112">
        <v>30620</v>
      </c>
      <c r="H48" s="112">
        <v>30320</v>
      </c>
      <c r="I48" s="112">
        <v>29100</v>
      </c>
      <c r="J48" s="112">
        <v>28110</v>
      </c>
      <c r="K48" s="112">
        <v>27350</v>
      </c>
      <c r="L48" s="112">
        <v>26670</v>
      </c>
      <c r="M48" s="112">
        <v>26650</v>
      </c>
      <c r="N48" s="112">
        <v>26380</v>
      </c>
      <c r="O48" s="112">
        <v>27200</v>
      </c>
      <c r="P48" s="112">
        <v>28010</v>
      </c>
      <c r="Q48" s="112">
        <v>28820</v>
      </c>
      <c r="R48" s="112">
        <v>29610</v>
      </c>
      <c r="S48" s="112">
        <v>30320</v>
      </c>
      <c r="T48" s="112">
        <v>30210</v>
      </c>
      <c r="U48" s="112">
        <v>30040</v>
      </c>
      <c r="V48" s="112">
        <v>30220</v>
      </c>
      <c r="W48" s="112">
        <v>30750</v>
      </c>
      <c r="X48" s="112">
        <v>31840</v>
      </c>
      <c r="Y48" s="112">
        <v>32770</v>
      </c>
      <c r="Z48" s="112">
        <v>33770</v>
      </c>
      <c r="AA48" s="112">
        <v>34930</v>
      </c>
      <c r="AB48" s="112">
        <v>34320</v>
      </c>
      <c r="AC48" s="112">
        <v>34050</v>
      </c>
      <c r="AD48" s="112">
        <v>33430</v>
      </c>
      <c r="AE48" s="112">
        <v>33460</v>
      </c>
      <c r="AF48" s="112">
        <v>33120</v>
      </c>
      <c r="AG48" s="112">
        <v>31970</v>
      </c>
      <c r="AH48" s="112">
        <v>32220</v>
      </c>
      <c r="AI48" s="112">
        <v>31860</v>
      </c>
      <c r="AJ48" s="112">
        <v>32740</v>
      </c>
      <c r="AK48" s="112">
        <v>32250</v>
      </c>
      <c r="AL48" s="112">
        <v>31080</v>
      </c>
      <c r="AM48" s="112">
        <v>31620</v>
      </c>
      <c r="AN48" s="112">
        <v>32430</v>
      </c>
      <c r="AO48" s="112">
        <v>32400</v>
      </c>
      <c r="AP48" s="112">
        <v>33240</v>
      </c>
      <c r="AQ48" s="112">
        <v>34710</v>
      </c>
      <c r="AR48" s="112">
        <v>34850</v>
      </c>
      <c r="AS48" s="112">
        <v>34720</v>
      </c>
      <c r="AT48" s="112">
        <v>34420</v>
      </c>
      <c r="AU48" s="112">
        <v>34180</v>
      </c>
    </row>
    <row r="49" spans="1:47" x14ac:dyDescent="0.2">
      <c r="A49" s="114" t="s">
        <v>50</v>
      </c>
      <c r="B49" s="8"/>
      <c r="C49" s="112">
        <v>29920</v>
      </c>
      <c r="D49" s="112">
        <v>29680</v>
      </c>
      <c r="E49" s="112">
        <v>29780</v>
      </c>
      <c r="F49" s="112">
        <v>30330</v>
      </c>
      <c r="G49" s="112">
        <v>30110</v>
      </c>
      <c r="H49" s="112">
        <v>30720</v>
      </c>
      <c r="I49" s="112">
        <v>30410</v>
      </c>
      <c r="J49" s="112">
        <v>29200</v>
      </c>
      <c r="K49" s="112">
        <v>28200</v>
      </c>
      <c r="L49" s="112">
        <v>27450</v>
      </c>
      <c r="M49" s="112">
        <v>26770</v>
      </c>
      <c r="N49" s="112">
        <v>26750</v>
      </c>
      <c r="O49" s="112">
        <v>26480</v>
      </c>
      <c r="P49" s="112">
        <v>27300</v>
      </c>
      <c r="Q49" s="112">
        <v>28110</v>
      </c>
      <c r="R49" s="112">
        <v>28920</v>
      </c>
      <c r="S49" s="112">
        <v>29710</v>
      </c>
      <c r="T49" s="112">
        <v>30420</v>
      </c>
      <c r="U49" s="112">
        <v>30310</v>
      </c>
      <c r="V49" s="112">
        <v>30140</v>
      </c>
      <c r="W49" s="112">
        <v>30320</v>
      </c>
      <c r="X49" s="112">
        <v>30850</v>
      </c>
      <c r="Y49" s="112">
        <v>31940</v>
      </c>
      <c r="Z49" s="112">
        <v>32870</v>
      </c>
      <c r="AA49" s="112">
        <v>33870</v>
      </c>
      <c r="AB49" s="112">
        <v>35020</v>
      </c>
      <c r="AC49" s="112">
        <v>34420</v>
      </c>
      <c r="AD49" s="112">
        <v>34150</v>
      </c>
      <c r="AE49" s="112">
        <v>33530</v>
      </c>
      <c r="AF49" s="112">
        <v>33570</v>
      </c>
      <c r="AG49" s="112">
        <v>33220</v>
      </c>
      <c r="AH49" s="112">
        <v>32070</v>
      </c>
      <c r="AI49" s="112">
        <v>32320</v>
      </c>
      <c r="AJ49" s="112">
        <v>31970</v>
      </c>
      <c r="AK49" s="112">
        <v>32840</v>
      </c>
      <c r="AL49" s="112">
        <v>32360</v>
      </c>
      <c r="AM49" s="112">
        <v>31190</v>
      </c>
      <c r="AN49" s="112">
        <v>31720</v>
      </c>
      <c r="AO49" s="112">
        <v>32540</v>
      </c>
      <c r="AP49" s="112">
        <v>32510</v>
      </c>
      <c r="AQ49" s="112">
        <v>33340</v>
      </c>
      <c r="AR49" s="112">
        <v>34810</v>
      </c>
      <c r="AS49" s="112">
        <v>34960</v>
      </c>
      <c r="AT49" s="112">
        <v>34820</v>
      </c>
      <c r="AU49" s="112">
        <v>34530</v>
      </c>
    </row>
    <row r="50" spans="1:47" x14ac:dyDescent="0.2">
      <c r="A50" s="114" t="s">
        <v>51</v>
      </c>
      <c r="B50" s="8"/>
      <c r="C50" s="112">
        <v>30380</v>
      </c>
      <c r="D50" s="112">
        <v>30010</v>
      </c>
      <c r="E50" s="112">
        <v>29680</v>
      </c>
      <c r="F50" s="112">
        <v>29960</v>
      </c>
      <c r="G50" s="112">
        <v>30410</v>
      </c>
      <c r="H50" s="112">
        <v>30180</v>
      </c>
      <c r="I50" s="112">
        <v>30790</v>
      </c>
      <c r="J50" s="112">
        <v>30490</v>
      </c>
      <c r="K50" s="112">
        <v>29270</v>
      </c>
      <c r="L50" s="112">
        <v>28280</v>
      </c>
      <c r="M50" s="112">
        <v>27530</v>
      </c>
      <c r="N50" s="112">
        <v>26850</v>
      </c>
      <c r="O50" s="112">
        <v>26830</v>
      </c>
      <c r="P50" s="112">
        <v>26570</v>
      </c>
      <c r="Q50" s="112">
        <v>27380</v>
      </c>
      <c r="R50" s="112">
        <v>28200</v>
      </c>
      <c r="S50" s="112">
        <v>29000</v>
      </c>
      <c r="T50" s="112">
        <v>29790</v>
      </c>
      <c r="U50" s="112">
        <v>30500</v>
      </c>
      <c r="V50" s="112">
        <v>30390</v>
      </c>
      <c r="W50" s="112">
        <v>30220</v>
      </c>
      <c r="X50" s="112">
        <v>30400</v>
      </c>
      <c r="Y50" s="112">
        <v>30940</v>
      </c>
      <c r="Z50" s="112">
        <v>32020</v>
      </c>
      <c r="AA50" s="112">
        <v>32950</v>
      </c>
      <c r="AB50" s="112">
        <v>33950</v>
      </c>
      <c r="AC50" s="112">
        <v>35100</v>
      </c>
      <c r="AD50" s="112">
        <v>34500</v>
      </c>
      <c r="AE50" s="112">
        <v>34230</v>
      </c>
      <c r="AF50" s="112">
        <v>33610</v>
      </c>
      <c r="AG50" s="112">
        <v>33650</v>
      </c>
      <c r="AH50" s="112">
        <v>33300</v>
      </c>
      <c r="AI50" s="112">
        <v>32160</v>
      </c>
      <c r="AJ50" s="112">
        <v>32400</v>
      </c>
      <c r="AK50" s="112">
        <v>32050</v>
      </c>
      <c r="AL50" s="112">
        <v>32920</v>
      </c>
      <c r="AM50" s="112">
        <v>32440</v>
      </c>
      <c r="AN50" s="112">
        <v>31280</v>
      </c>
      <c r="AO50" s="112">
        <v>31810</v>
      </c>
      <c r="AP50" s="112">
        <v>32620</v>
      </c>
      <c r="AQ50" s="112">
        <v>32590</v>
      </c>
      <c r="AR50" s="112">
        <v>33430</v>
      </c>
      <c r="AS50" s="112">
        <v>34900</v>
      </c>
      <c r="AT50" s="112">
        <v>35040</v>
      </c>
      <c r="AU50" s="112">
        <v>34900</v>
      </c>
    </row>
    <row r="51" spans="1:47" x14ac:dyDescent="0.2">
      <c r="A51" s="114" t="s">
        <v>52</v>
      </c>
      <c r="B51" s="8"/>
      <c r="C51" s="112">
        <v>31600</v>
      </c>
      <c r="D51" s="112">
        <v>30440</v>
      </c>
      <c r="E51" s="112">
        <v>30000</v>
      </c>
      <c r="F51" s="112">
        <v>29760</v>
      </c>
      <c r="G51" s="112">
        <v>30010</v>
      </c>
      <c r="H51" s="112">
        <v>30460</v>
      </c>
      <c r="I51" s="112">
        <v>30240</v>
      </c>
      <c r="J51" s="112">
        <v>30840</v>
      </c>
      <c r="K51" s="112">
        <v>30540</v>
      </c>
      <c r="L51" s="112">
        <v>29330</v>
      </c>
      <c r="M51" s="112">
        <v>28340</v>
      </c>
      <c r="N51" s="112">
        <v>27590</v>
      </c>
      <c r="O51" s="112">
        <v>26920</v>
      </c>
      <c r="P51" s="112">
        <v>26890</v>
      </c>
      <c r="Q51" s="112">
        <v>26630</v>
      </c>
      <c r="R51" s="112">
        <v>27450</v>
      </c>
      <c r="S51" s="112">
        <v>28260</v>
      </c>
      <c r="T51" s="112">
        <v>29060</v>
      </c>
      <c r="U51" s="112">
        <v>29850</v>
      </c>
      <c r="V51" s="112">
        <v>30560</v>
      </c>
      <c r="W51" s="112">
        <v>30450</v>
      </c>
      <c r="X51" s="112">
        <v>30290</v>
      </c>
      <c r="Y51" s="112">
        <v>30470</v>
      </c>
      <c r="Z51" s="112">
        <v>31000</v>
      </c>
      <c r="AA51" s="112">
        <v>32090</v>
      </c>
      <c r="AB51" s="112">
        <v>33010</v>
      </c>
      <c r="AC51" s="112">
        <v>34020</v>
      </c>
      <c r="AD51" s="112">
        <v>35170</v>
      </c>
      <c r="AE51" s="112">
        <v>34560</v>
      </c>
      <c r="AF51" s="112">
        <v>34290</v>
      </c>
      <c r="AG51" s="112">
        <v>33670</v>
      </c>
      <c r="AH51" s="112">
        <v>33710</v>
      </c>
      <c r="AI51" s="112">
        <v>33370</v>
      </c>
      <c r="AJ51" s="112">
        <v>32220</v>
      </c>
      <c r="AK51" s="112">
        <v>32470</v>
      </c>
      <c r="AL51" s="112">
        <v>32120</v>
      </c>
      <c r="AM51" s="112">
        <v>32990</v>
      </c>
      <c r="AN51" s="112">
        <v>32510</v>
      </c>
      <c r="AO51" s="112">
        <v>31340</v>
      </c>
      <c r="AP51" s="112">
        <v>31880</v>
      </c>
      <c r="AQ51" s="112">
        <v>32690</v>
      </c>
      <c r="AR51" s="112">
        <v>32660</v>
      </c>
      <c r="AS51" s="112">
        <v>33500</v>
      </c>
      <c r="AT51" s="112">
        <v>34960</v>
      </c>
      <c r="AU51" s="112">
        <v>35110</v>
      </c>
    </row>
    <row r="52" spans="1:47" x14ac:dyDescent="0.2">
      <c r="A52" s="114" t="s">
        <v>53</v>
      </c>
      <c r="B52" s="8"/>
      <c r="C52" s="112">
        <v>31940</v>
      </c>
      <c r="D52" s="112">
        <v>31620</v>
      </c>
      <c r="E52" s="112">
        <v>30390</v>
      </c>
      <c r="F52" s="112">
        <v>30040</v>
      </c>
      <c r="G52" s="112">
        <v>29800</v>
      </c>
      <c r="H52" s="112">
        <v>30040</v>
      </c>
      <c r="I52" s="112">
        <v>30490</v>
      </c>
      <c r="J52" s="112">
        <v>30270</v>
      </c>
      <c r="K52" s="112">
        <v>30880</v>
      </c>
      <c r="L52" s="112">
        <v>30580</v>
      </c>
      <c r="M52" s="112">
        <v>29370</v>
      </c>
      <c r="N52" s="112">
        <v>28380</v>
      </c>
      <c r="O52" s="112">
        <v>27640</v>
      </c>
      <c r="P52" s="112">
        <v>26960</v>
      </c>
      <c r="Q52" s="112">
        <v>26940</v>
      </c>
      <c r="R52" s="112">
        <v>26680</v>
      </c>
      <c r="S52" s="112">
        <v>27490</v>
      </c>
      <c r="T52" s="112">
        <v>28300</v>
      </c>
      <c r="U52" s="112">
        <v>29110</v>
      </c>
      <c r="V52" s="112">
        <v>29890</v>
      </c>
      <c r="W52" s="112">
        <v>30610</v>
      </c>
      <c r="X52" s="112">
        <v>30500</v>
      </c>
      <c r="Y52" s="112">
        <v>30330</v>
      </c>
      <c r="Z52" s="112">
        <v>30510</v>
      </c>
      <c r="AA52" s="112">
        <v>31050</v>
      </c>
      <c r="AB52" s="112">
        <v>32130</v>
      </c>
      <c r="AC52" s="112">
        <v>33050</v>
      </c>
      <c r="AD52" s="112">
        <v>34060</v>
      </c>
      <c r="AE52" s="112">
        <v>35210</v>
      </c>
      <c r="AF52" s="112">
        <v>34600</v>
      </c>
      <c r="AG52" s="112">
        <v>34340</v>
      </c>
      <c r="AH52" s="112">
        <v>33720</v>
      </c>
      <c r="AI52" s="112">
        <v>33760</v>
      </c>
      <c r="AJ52" s="112">
        <v>33410</v>
      </c>
      <c r="AK52" s="112">
        <v>32270</v>
      </c>
      <c r="AL52" s="112">
        <v>32520</v>
      </c>
      <c r="AM52" s="112">
        <v>32170</v>
      </c>
      <c r="AN52" s="112">
        <v>33040</v>
      </c>
      <c r="AO52" s="112">
        <v>32560</v>
      </c>
      <c r="AP52" s="112">
        <v>31390</v>
      </c>
      <c r="AQ52" s="112">
        <v>31920</v>
      </c>
      <c r="AR52" s="112">
        <v>32740</v>
      </c>
      <c r="AS52" s="112">
        <v>32710</v>
      </c>
      <c r="AT52" s="112">
        <v>33540</v>
      </c>
      <c r="AU52" s="112">
        <v>35010</v>
      </c>
    </row>
    <row r="53" spans="1:47" x14ac:dyDescent="0.2">
      <c r="A53" s="114" t="s">
        <v>54</v>
      </c>
      <c r="B53" s="8"/>
      <c r="C53" s="112">
        <v>32110</v>
      </c>
      <c r="D53" s="112">
        <v>31950</v>
      </c>
      <c r="E53" s="112">
        <v>31520</v>
      </c>
      <c r="F53" s="112">
        <v>30450</v>
      </c>
      <c r="G53" s="112">
        <v>30060</v>
      </c>
      <c r="H53" s="112">
        <v>29810</v>
      </c>
      <c r="I53" s="112">
        <v>30060</v>
      </c>
      <c r="J53" s="112">
        <v>30510</v>
      </c>
      <c r="K53" s="112">
        <v>30290</v>
      </c>
      <c r="L53" s="112">
        <v>30900</v>
      </c>
      <c r="M53" s="112">
        <v>30600</v>
      </c>
      <c r="N53" s="112">
        <v>29390</v>
      </c>
      <c r="O53" s="112">
        <v>28410</v>
      </c>
      <c r="P53" s="112">
        <v>27660</v>
      </c>
      <c r="Q53" s="112">
        <v>26990</v>
      </c>
      <c r="R53" s="112">
        <v>26970</v>
      </c>
      <c r="S53" s="112">
        <v>26710</v>
      </c>
      <c r="T53" s="112">
        <v>27520</v>
      </c>
      <c r="U53" s="112">
        <v>28330</v>
      </c>
      <c r="V53" s="112">
        <v>29140</v>
      </c>
      <c r="W53" s="112">
        <v>29920</v>
      </c>
      <c r="X53" s="112">
        <v>30640</v>
      </c>
      <c r="Y53" s="112">
        <v>30530</v>
      </c>
      <c r="Z53" s="112">
        <v>30360</v>
      </c>
      <c r="AA53" s="112">
        <v>30540</v>
      </c>
      <c r="AB53" s="112">
        <v>31070</v>
      </c>
      <c r="AC53" s="112">
        <v>32160</v>
      </c>
      <c r="AD53" s="112">
        <v>33080</v>
      </c>
      <c r="AE53" s="112">
        <v>34090</v>
      </c>
      <c r="AF53" s="112">
        <v>35230</v>
      </c>
      <c r="AG53" s="112">
        <v>34630</v>
      </c>
      <c r="AH53" s="112">
        <v>34360</v>
      </c>
      <c r="AI53" s="112">
        <v>33750</v>
      </c>
      <c r="AJ53" s="112">
        <v>33790</v>
      </c>
      <c r="AK53" s="112">
        <v>33440</v>
      </c>
      <c r="AL53" s="112">
        <v>32300</v>
      </c>
      <c r="AM53" s="112">
        <v>32550</v>
      </c>
      <c r="AN53" s="112">
        <v>32200</v>
      </c>
      <c r="AO53" s="112">
        <v>33070</v>
      </c>
      <c r="AP53" s="112">
        <v>32590</v>
      </c>
      <c r="AQ53" s="112">
        <v>31430</v>
      </c>
      <c r="AR53" s="112">
        <v>31960</v>
      </c>
      <c r="AS53" s="112">
        <v>32770</v>
      </c>
      <c r="AT53" s="112">
        <v>32740</v>
      </c>
      <c r="AU53" s="112">
        <v>33580</v>
      </c>
    </row>
    <row r="54" spans="1:47" x14ac:dyDescent="0.2">
      <c r="A54" s="114" t="s">
        <v>55</v>
      </c>
      <c r="B54" s="8"/>
      <c r="C54" s="112">
        <v>31490</v>
      </c>
      <c r="D54" s="112">
        <v>32090</v>
      </c>
      <c r="E54" s="112">
        <v>31870</v>
      </c>
      <c r="F54" s="112">
        <v>31600</v>
      </c>
      <c r="G54" s="112">
        <v>30440</v>
      </c>
      <c r="H54" s="112">
        <v>30050</v>
      </c>
      <c r="I54" s="112">
        <v>29810</v>
      </c>
      <c r="J54" s="112">
        <v>30050</v>
      </c>
      <c r="K54" s="112">
        <v>30510</v>
      </c>
      <c r="L54" s="112">
        <v>30290</v>
      </c>
      <c r="M54" s="112">
        <v>30890</v>
      </c>
      <c r="N54" s="112">
        <v>30600</v>
      </c>
      <c r="O54" s="112">
        <v>29390</v>
      </c>
      <c r="P54" s="112">
        <v>28410</v>
      </c>
      <c r="Q54" s="112">
        <v>27670</v>
      </c>
      <c r="R54" s="112">
        <v>27000</v>
      </c>
      <c r="S54" s="112">
        <v>26970</v>
      </c>
      <c r="T54" s="112">
        <v>26720</v>
      </c>
      <c r="U54" s="112">
        <v>27530</v>
      </c>
      <c r="V54" s="112">
        <v>28340</v>
      </c>
      <c r="W54" s="112">
        <v>29140</v>
      </c>
      <c r="X54" s="112">
        <v>29930</v>
      </c>
      <c r="Y54" s="112">
        <v>30640</v>
      </c>
      <c r="Z54" s="112">
        <v>30530</v>
      </c>
      <c r="AA54" s="112">
        <v>30370</v>
      </c>
      <c r="AB54" s="112">
        <v>30550</v>
      </c>
      <c r="AC54" s="112">
        <v>31080</v>
      </c>
      <c r="AD54" s="112">
        <v>32170</v>
      </c>
      <c r="AE54" s="112">
        <v>33090</v>
      </c>
      <c r="AF54" s="112">
        <v>34090</v>
      </c>
      <c r="AG54" s="112">
        <v>35240</v>
      </c>
      <c r="AH54" s="112">
        <v>34630</v>
      </c>
      <c r="AI54" s="112">
        <v>34370</v>
      </c>
      <c r="AJ54" s="112">
        <v>33750</v>
      </c>
      <c r="AK54" s="112">
        <v>33790</v>
      </c>
      <c r="AL54" s="112">
        <v>33450</v>
      </c>
      <c r="AM54" s="112">
        <v>32310</v>
      </c>
      <c r="AN54" s="112">
        <v>32560</v>
      </c>
      <c r="AO54" s="112">
        <v>32210</v>
      </c>
      <c r="AP54" s="112">
        <v>33080</v>
      </c>
      <c r="AQ54" s="112">
        <v>32600</v>
      </c>
      <c r="AR54" s="112">
        <v>31440</v>
      </c>
      <c r="AS54" s="112">
        <v>31970</v>
      </c>
      <c r="AT54" s="112">
        <v>32780</v>
      </c>
      <c r="AU54" s="112">
        <v>32750</v>
      </c>
    </row>
    <row r="55" spans="1:47" x14ac:dyDescent="0.2">
      <c r="A55" s="114" t="s">
        <v>56</v>
      </c>
      <c r="B55" s="8"/>
      <c r="C55" s="112">
        <v>30540</v>
      </c>
      <c r="D55" s="112">
        <v>31410</v>
      </c>
      <c r="E55" s="112">
        <v>31980</v>
      </c>
      <c r="F55" s="112">
        <v>31870</v>
      </c>
      <c r="G55" s="112">
        <v>31560</v>
      </c>
      <c r="H55" s="112">
        <v>30410</v>
      </c>
      <c r="I55" s="112">
        <v>30020</v>
      </c>
      <c r="J55" s="112">
        <v>29780</v>
      </c>
      <c r="K55" s="112">
        <v>30030</v>
      </c>
      <c r="L55" s="112">
        <v>30480</v>
      </c>
      <c r="M55" s="112">
        <v>30260</v>
      </c>
      <c r="N55" s="112">
        <v>30870</v>
      </c>
      <c r="O55" s="112">
        <v>30570</v>
      </c>
      <c r="P55" s="112">
        <v>29370</v>
      </c>
      <c r="Q55" s="112">
        <v>28390</v>
      </c>
      <c r="R55" s="112">
        <v>27650</v>
      </c>
      <c r="S55" s="112">
        <v>26980</v>
      </c>
      <c r="T55" s="112">
        <v>26960</v>
      </c>
      <c r="U55" s="112">
        <v>26700</v>
      </c>
      <c r="V55" s="112">
        <v>27510</v>
      </c>
      <c r="W55" s="112">
        <v>28330</v>
      </c>
      <c r="X55" s="112">
        <v>29130</v>
      </c>
      <c r="Y55" s="112">
        <v>29910</v>
      </c>
      <c r="Z55" s="112">
        <v>30620</v>
      </c>
      <c r="AA55" s="112">
        <v>30520</v>
      </c>
      <c r="AB55" s="112">
        <v>30350</v>
      </c>
      <c r="AC55" s="112">
        <v>30540</v>
      </c>
      <c r="AD55" s="112">
        <v>31070</v>
      </c>
      <c r="AE55" s="112">
        <v>32150</v>
      </c>
      <c r="AF55" s="112">
        <v>33070</v>
      </c>
      <c r="AG55" s="112">
        <v>34070</v>
      </c>
      <c r="AH55" s="112">
        <v>35220</v>
      </c>
      <c r="AI55" s="112">
        <v>34620</v>
      </c>
      <c r="AJ55" s="112">
        <v>34350</v>
      </c>
      <c r="AK55" s="112">
        <v>33740</v>
      </c>
      <c r="AL55" s="112">
        <v>33780</v>
      </c>
      <c r="AM55" s="112">
        <v>33430</v>
      </c>
      <c r="AN55" s="112">
        <v>32300</v>
      </c>
      <c r="AO55" s="112">
        <v>32540</v>
      </c>
      <c r="AP55" s="112">
        <v>32200</v>
      </c>
      <c r="AQ55" s="112">
        <v>33060</v>
      </c>
      <c r="AR55" s="112">
        <v>32590</v>
      </c>
      <c r="AS55" s="112">
        <v>31430</v>
      </c>
      <c r="AT55" s="112">
        <v>31960</v>
      </c>
      <c r="AU55" s="112">
        <v>32770</v>
      </c>
    </row>
    <row r="56" spans="1:47" x14ac:dyDescent="0.2">
      <c r="A56" s="114" t="s">
        <v>57</v>
      </c>
      <c r="B56" s="8"/>
      <c r="C56" s="112">
        <v>30080</v>
      </c>
      <c r="D56" s="112">
        <v>30450</v>
      </c>
      <c r="E56" s="112">
        <v>31300</v>
      </c>
      <c r="F56" s="112">
        <v>31970</v>
      </c>
      <c r="G56" s="112">
        <v>31820</v>
      </c>
      <c r="H56" s="112">
        <v>31510</v>
      </c>
      <c r="I56" s="112">
        <v>30360</v>
      </c>
      <c r="J56" s="112">
        <v>29970</v>
      </c>
      <c r="K56" s="112">
        <v>29730</v>
      </c>
      <c r="L56" s="112">
        <v>29980</v>
      </c>
      <c r="M56" s="112">
        <v>30430</v>
      </c>
      <c r="N56" s="112">
        <v>30210</v>
      </c>
      <c r="O56" s="112">
        <v>30820</v>
      </c>
      <c r="P56" s="112">
        <v>30530</v>
      </c>
      <c r="Q56" s="112">
        <v>29330</v>
      </c>
      <c r="R56" s="112">
        <v>28360</v>
      </c>
      <c r="S56" s="112">
        <v>27620</v>
      </c>
      <c r="T56" s="112">
        <v>26950</v>
      </c>
      <c r="U56" s="112">
        <v>26930</v>
      </c>
      <c r="V56" s="112">
        <v>26670</v>
      </c>
      <c r="W56" s="112">
        <v>27480</v>
      </c>
      <c r="X56" s="112">
        <v>28290</v>
      </c>
      <c r="Y56" s="112">
        <v>29100</v>
      </c>
      <c r="Z56" s="112">
        <v>29880</v>
      </c>
      <c r="AA56" s="112">
        <v>30590</v>
      </c>
      <c r="AB56" s="112">
        <v>30480</v>
      </c>
      <c r="AC56" s="112">
        <v>30320</v>
      </c>
      <c r="AD56" s="112">
        <v>30500</v>
      </c>
      <c r="AE56" s="112">
        <v>31030</v>
      </c>
      <c r="AF56" s="112">
        <v>32120</v>
      </c>
      <c r="AG56" s="112">
        <v>33030</v>
      </c>
      <c r="AH56" s="112">
        <v>34040</v>
      </c>
      <c r="AI56" s="112">
        <v>35180</v>
      </c>
      <c r="AJ56" s="112">
        <v>34580</v>
      </c>
      <c r="AK56" s="112">
        <v>34320</v>
      </c>
      <c r="AL56" s="112">
        <v>33700</v>
      </c>
      <c r="AM56" s="112">
        <v>33740</v>
      </c>
      <c r="AN56" s="112">
        <v>33400</v>
      </c>
      <c r="AO56" s="112">
        <v>32270</v>
      </c>
      <c r="AP56" s="112">
        <v>32510</v>
      </c>
      <c r="AQ56" s="112">
        <v>32170</v>
      </c>
      <c r="AR56" s="112">
        <v>33030</v>
      </c>
      <c r="AS56" s="112">
        <v>32560</v>
      </c>
      <c r="AT56" s="112">
        <v>31400</v>
      </c>
      <c r="AU56" s="112">
        <v>31930</v>
      </c>
    </row>
    <row r="57" spans="1:47" x14ac:dyDescent="0.2">
      <c r="A57" s="114" t="s">
        <v>58</v>
      </c>
      <c r="B57" s="8"/>
      <c r="C57" s="112">
        <v>28610</v>
      </c>
      <c r="D57" s="112">
        <v>29990</v>
      </c>
      <c r="E57" s="112">
        <v>30290</v>
      </c>
      <c r="F57" s="112">
        <v>31290</v>
      </c>
      <c r="G57" s="112">
        <v>31890</v>
      </c>
      <c r="H57" s="112">
        <v>31740</v>
      </c>
      <c r="I57" s="112">
        <v>31440</v>
      </c>
      <c r="J57" s="112">
        <v>30290</v>
      </c>
      <c r="K57" s="112">
        <v>29910</v>
      </c>
      <c r="L57" s="112">
        <v>29670</v>
      </c>
      <c r="M57" s="112">
        <v>29920</v>
      </c>
      <c r="N57" s="112">
        <v>30370</v>
      </c>
      <c r="O57" s="112">
        <v>30150</v>
      </c>
      <c r="P57" s="112">
        <v>30760</v>
      </c>
      <c r="Q57" s="112">
        <v>30470</v>
      </c>
      <c r="R57" s="112">
        <v>29270</v>
      </c>
      <c r="S57" s="112">
        <v>28300</v>
      </c>
      <c r="T57" s="112">
        <v>27560</v>
      </c>
      <c r="U57" s="112">
        <v>26900</v>
      </c>
      <c r="V57" s="112">
        <v>26880</v>
      </c>
      <c r="W57" s="112">
        <v>26620</v>
      </c>
      <c r="X57" s="112">
        <v>27430</v>
      </c>
      <c r="Y57" s="112">
        <v>28240</v>
      </c>
      <c r="Z57" s="112">
        <v>29040</v>
      </c>
      <c r="AA57" s="112">
        <v>29830</v>
      </c>
      <c r="AB57" s="112">
        <v>30540</v>
      </c>
      <c r="AC57" s="112">
        <v>30430</v>
      </c>
      <c r="AD57" s="112">
        <v>30270</v>
      </c>
      <c r="AE57" s="112">
        <v>30450</v>
      </c>
      <c r="AF57" s="112">
        <v>30980</v>
      </c>
      <c r="AG57" s="112">
        <v>32060</v>
      </c>
      <c r="AH57" s="112">
        <v>32980</v>
      </c>
      <c r="AI57" s="112">
        <v>33980</v>
      </c>
      <c r="AJ57" s="112">
        <v>35120</v>
      </c>
      <c r="AK57" s="112">
        <v>34530</v>
      </c>
      <c r="AL57" s="112">
        <v>34260</v>
      </c>
      <c r="AM57" s="112">
        <v>33650</v>
      </c>
      <c r="AN57" s="112">
        <v>33690</v>
      </c>
      <c r="AO57" s="112">
        <v>33350</v>
      </c>
      <c r="AP57" s="112">
        <v>32220</v>
      </c>
      <c r="AQ57" s="112">
        <v>32470</v>
      </c>
      <c r="AR57" s="112">
        <v>32120</v>
      </c>
      <c r="AS57" s="112">
        <v>32980</v>
      </c>
      <c r="AT57" s="112">
        <v>32510</v>
      </c>
      <c r="AU57" s="112">
        <v>31350</v>
      </c>
    </row>
    <row r="58" spans="1:47" x14ac:dyDescent="0.2">
      <c r="A58" s="114" t="s">
        <v>59</v>
      </c>
      <c r="B58" s="8"/>
      <c r="C58" s="112">
        <v>28400</v>
      </c>
      <c r="D58" s="112">
        <v>28500</v>
      </c>
      <c r="E58" s="112">
        <v>29810</v>
      </c>
      <c r="F58" s="112">
        <v>30290</v>
      </c>
      <c r="G58" s="112">
        <v>31200</v>
      </c>
      <c r="H58" s="112">
        <v>31800</v>
      </c>
      <c r="I58" s="112">
        <v>31650</v>
      </c>
      <c r="J58" s="112">
        <v>31350</v>
      </c>
      <c r="K58" s="112">
        <v>30200</v>
      </c>
      <c r="L58" s="112">
        <v>29820</v>
      </c>
      <c r="M58" s="112">
        <v>29580</v>
      </c>
      <c r="N58" s="112">
        <v>29840</v>
      </c>
      <c r="O58" s="112">
        <v>30290</v>
      </c>
      <c r="P58" s="112">
        <v>30070</v>
      </c>
      <c r="Q58" s="112">
        <v>30680</v>
      </c>
      <c r="R58" s="112">
        <v>30390</v>
      </c>
      <c r="S58" s="112">
        <v>29200</v>
      </c>
      <c r="T58" s="112">
        <v>28230</v>
      </c>
      <c r="U58" s="112">
        <v>27500</v>
      </c>
      <c r="V58" s="112">
        <v>26830</v>
      </c>
      <c r="W58" s="112">
        <v>26810</v>
      </c>
      <c r="X58" s="112">
        <v>26560</v>
      </c>
      <c r="Y58" s="112">
        <v>27370</v>
      </c>
      <c r="Z58" s="112">
        <v>28180</v>
      </c>
      <c r="AA58" s="112">
        <v>28980</v>
      </c>
      <c r="AB58" s="112">
        <v>29760</v>
      </c>
      <c r="AC58" s="112">
        <v>30470</v>
      </c>
      <c r="AD58" s="112">
        <v>30370</v>
      </c>
      <c r="AE58" s="112">
        <v>30200</v>
      </c>
      <c r="AF58" s="112">
        <v>30390</v>
      </c>
      <c r="AG58" s="112">
        <v>30920</v>
      </c>
      <c r="AH58" s="112">
        <v>32000</v>
      </c>
      <c r="AI58" s="112">
        <v>32910</v>
      </c>
      <c r="AJ58" s="112">
        <v>33910</v>
      </c>
      <c r="AK58" s="112">
        <v>35050</v>
      </c>
      <c r="AL58" s="112">
        <v>34460</v>
      </c>
      <c r="AM58" s="112">
        <v>34190</v>
      </c>
      <c r="AN58" s="112">
        <v>33580</v>
      </c>
      <c r="AO58" s="112">
        <v>33630</v>
      </c>
      <c r="AP58" s="112">
        <v>33280</v>
      </c>
      <c r="AQ58" s="112">
        <v>32150</v>
      </c>
      <c r="AR58" s="112">
        <v>32400</v>
      </c>
      <c r="AS58" s="112">
        <v>32060</v>
      </c>
      <c r="AT58" s="112">
        <v>32920</v>
      </c>
      <c r="AU58" s="112">
        <v>32450</v>
      </c>
    </row>
    <row r="59" spans="1:47" x14ac:dyDescent="0.2">
      <c r="A59" s="114" t="s">
        <v>60</v>
      </c>
      <c r="B59" s="8"/>
      <c r="C59" s="112">
        <v>27750</v>
      </c>
      <c r="D59" s="112">
        <v>28290</v>
      </c>
      <c r="E59" s="112">
        <v>28330</v>
      </c>
      <c r="F59" s="112">
        <v>29780</v>
      </c>
      <c r="G59" s="112">
        <v>30190</v>
      </c>
      <c r="H59" s="112">
        <v>31090</v>
      </c>
      <c r="I59" s="112">
        <v>31690</v>
      </c>
      <c r="J59" s="112">
        <v>31550</v>
      </c>
      <c r="K59" s="112">
        <v>31250</v>
      </c>
      <c r="L59" s="112">
        <v>30100</v>
      </c>
      <c r="M59" s="112">
        <v>29730</v>
      </c>
      <c r="N59" s="112">
        <v>29490</v>
      </c>
      <c r="O59" s="112">
        <v>29740</v>
      </c>
      <c r="P59" s="112">
        <v>30190</v>
      </c>
      <c r="Q59" s="112">
        <v>29980</v>
      </c>
      <c r="R59" s="112">
        <v>30590</v>
      </c>
      <c r="S59" s="112">
        <v>30300</v>
      </c>
      <c r="T59" s="112">
        <v>29120</v>
      </c>
      <c r="U59" s="112">
        <v>28150</v>
      </c>
      <c r="V59" s="112">
        <v>27420</v>
      </c>
      <c r="W59" s="112">
        <v>26750</v>
      </c>
      <c r="X59" s="112">
        <v>26740</v>
      </c>
      <c r="Y59" s="112">
        <v>26490</v>
      </c>
      <c r="Z59" s="112">
        <v>27290</v>
      </c>
      <c r="AA59" s="112">
        <v>28100</v>
      </c>
      <c r="AB59" s="112">
        <v>28900</v>
      </c>
      <c r="AC59" s="112">
        <v>29680</v>
      </c>
      <c r="AD59" s="112">
        <v>30390</v>
      </c>
      <c r="AE59" s="112">
        <v>30290</v>
      </c>
      <c r="AF59" s="112">
        <v>30130</v>
      </c>
      <c r="AG59" s="112">
        <v>30310</v>
      </c>
      <c r="AH59" s="112">
        <v>30840</v>
      </c>
      <c r="AI59" s="112">
        <v>31920</v>
      </c>
      <c r="AJ59" s="112">
        <v>32830</v>
      </c>
      <c r="AK59" s="112">
        <v>33830</v>
      </c>
      <c r="AL59" s="112">
        <v>34970</v>
      </c>
      <c r="AM59" s="112">
        <v>34370</v>
      </c>
      <c r="AN59" s="112">
        <v>34110</v>
      </c>
      <c r="AO59" s="112">
        <v>33500</v>
      </c>
      <c r="AP59" s="112">
        <v>33550</v>
      </c>
      <c r="AQ59" s="112">
        <v>33210</v>
      </c>
      <c r="AR59" s="112">
        <v>32080</v>
      </c>
      <c r="AS59" s="112">
        <v>32330</v>
      </c>
      <c r="AT59" s="112">
        <v>31980</v>
      </c>
      <c r="AU59" s="112">
        <v>32840</v>
      </c>
    </row>
    <row r="60" spans="1:47" x14ac:dyDescent="0.2">
      <c r="A60" s="114" t="s">
        <v>61</v>
      </c>
      <c r="B60" s="8"/>
      <c r="C60" s="112">
        <v>26550</v>
      </c>
      <c r="D60" s="112">
        <v>27640</v>
      </c>
      <c r="E60" s="112">
        <v>28140</v>
      </c>
      <c r="F60" s="112">
        <v>28280</v>
      </c>
      <c r="G60" s="112">
        <v>29670</v>
      </c>
      <c r="H60" s="112">
        <v>30070</v>
      </c>
      <c r="I60" s="112">
        <v>30970</v>
      </c>
      <c r="J60" s="112">
        <v>31580</v>
      </c>
      <c r="K60" s="112">
        <v>31430</v>
      </c>
      <c r="L60" s="112">
        <v>31130</v>
      </c>
      <c r="M60" s="112">
        <v>30000</v>
      </c>
      <c r="N60" s="112">
        <v>29620</v>
      </c>
      <c r="O60" s="112">
        <v>29390</v>
      </c>
      <c r="P60" s="112">
        <v>29640</v>
      </c>
      <c r="Q60" s="112">
        <v>30090</v>
      </c>
      <c r="R60" s="112">
        <v>29880</v>
      </c>
      <c r="S60" s="112">
        <v>30490</v>
      </c>
      <c r="T60" s="112">
        <v>30200</v>
      </c>
      <c r="U60" s="112">
        <v>29020</v>
      </c>
      <c r="V60" s="112">
        <v>28060</v>
      </c>
      <c r="W60" s="112">
        <v>27330</v>
      </c>
      <c r="X60" s="112">
        <v>26670</v>
      </c>
      <c r="Y60" s="112">
        <v>26650</v>
      </c>
      <c r="Z60" s="112">
        <v>26400</v>
      </c>
      <c r="AA60" s="112">
        <v>27210</v>
      </c>
      <c r="AB60" s="112">
        <v>28010</v>
      </c>
      <c r="AC60" s="112">
        <v>28810</v>
      </c>
      <c r="AD60" s="112">
        <v>29590</v>
      </c>
      <c r="AE60" s="112">
        <v>30300</v>
      </c>
      <c r="AF60" s="112">
        <v>30200</v>
      </c>
      <c r="AG60" s="112">
        <v>30040</v>
      </c>
      <c r="AH60" s="112">
        <v>30220</v>
      </c>
      <c r="AI60" s="112">
        <v>30750</v>
      </c>
      <c r="AJ60" s="112">
        <v>31830</v>
      </c>
      <c r="AK60" s="112">
        <v>32740</v>
      </c>
      <c r="AL60" s="112">
        <v>33740</v>
      </c>
      <c r="AM60" s="112">
        <v>34870</v>
      </c>
      <c r="AN60" s="112">
        <v>34280</v>
      </c>
      <c r="AO60" s="112">
        <v>34020</v>
      </c>
      <c r="AP60" s="112">
        <v>33420</v>
      </c>
      <c r="AQ60" s="112">
        <v>33460</v>
      </c>
      <c r="AR60" s="112">
        <v>33120</v>
      </c>
      <c r="AS60" s="112">
        <v>31990</v>
      </c>
      <c r="AT60" s="112">
        <v>32240</v>
      </c>
      <c r="AU60" s="112">
        <v>31900</v>
      </c>
    </row>
    <row r="61" spans="1:47" x14ac:dyDescent="0.2">
      <c r="A61" s="114" t="s">
        <v>62</v>
      </c>
      <c r="B61" s="8"/>
      <c r="C61" s="112">
        <v>25810</v>
      </c>
      <c r="D61" s="112">
        <v>26420</v>
      </c>
      <c r="E61" s="112">
        <v>27430</v>
      </c>
      <c r="F61" s="112">
        <v>28030</v>
      </c>
      <c r="G61" s="112">
        <v>28160</v>
      </c>
      <c r="H61" s="112">
        <v>29540</v>
      </c>
      <c r="I61" s="112">
        <v>29950</v>
      </c>
      <c r="J61" s="112">
        <v>30850</v>
      </c>
      <c r="K61" s="112">
        <v>31450</v>
      </c>
      <c r="L61" s="112">
        <v>31310</v>
      </c>
      <c r="M61" s="112">
        <v>31010</v>
      </c>
      <c r="N61" s="112">
        <v>29880</v>
      </c>
      <c r="O61" s="112">
        <v>29510</v>
      </c>
      <c r="P61" s="112">
        <v>29280</v>
      </c>
      <c r="Q61" s="112">
        <v>29530</v>
      </c>
      <c r="R61" s="112">
        <v>29980</v>
      </c>
      <c r="S61" s="112">
        <v>29770</v>
      </c>
      <c r="T61" s="112">
        <v>30380</v>
      </c>
      <c r="U61" s="112">
        <v>30090</v>
      </c>
      <c r="V61" s="112">
        <v>28920</v>
      </c>
      <c r="W61" s="112">
        <v>27960</v>
      </c>
      <c r="X61" s="112">
        <v>27230</v>
      </c>
      <c r="Y61" s="112">
        <v>26570</v>
      </c>
      <c r="Z61" s="112">
        <v>26560</v>
      </c>
      <c r="AA61" s="112">
        <v>26310</v>
      </c>
      <c r="AB61" s="112">
        <v>27120</v>
      </c>
      <c r="AC61" s="112">
        <v>27920</v>
      </c>
      <c r="AD61" s="112">
        <v>28720</v>
      </c>
      <c r="AE61" s="112">
        <v>29500</v>
      </c>
      <c r="AF61" s="112">
        <v>30200</v>
      </c>
      <c r="AG61" s="112">
        <v>30100</v>
      </c>
      <c r="AH61" s="112">
        <v>29940</v>
      </c>
      <c r="AI61" s="112">
        <v>30130</v>
      </c>
      <c r="AJ61" s="112">
        <v>30660</v>
      </c>
      <c r="AK61" s="112">
        <v>31730</v>
      </c>
      <c r="AL61" s="112">
        <v>32640</v>
      </c>
      <c r="AM61" s="112">
        <v>33640</v>
      </c>
      <c r="AN61" s="112">
        <v>34770</v>
      </c>
      <c r="AO61" s="112">
        <v>34180</v>
      </c>
      <c r="AP61" s="112">
        <v>33920</v>
      </c>
      <c r="AQ61" s="112">
        <v>33320</v>
      </c>
      <c r="AR61" s="112">
        <v>33360</v>
      </c>
      <c r="AS61" s="112">
        <v>33020</v>
      </c>
      <c r="AT61" s="112">
        <v>31900</v>
      </c>
      <c r="AU61" s="112">
        <v>32150</v>
      </c>
    </row>
    <row r="62" spans="1:47" x14ac:dyDescent="0.2">
      <c r="A62" s="114" t="s">
        <v>63</v>
      </c>
      <c r="B62" s="8"/>
      <c r="C62" s="112">
        <v>25070</v>
      </c>
      <c r="D62" s="112">
        <v>25640</v>
      </c>
      <c r="E62" s="112">
        <v>26210</v>
      </c>
      <c r="F62" s="112">
        <v>27360</v>
      </c>
      <c r="G62" s="112">
        <v>27900</v>
      </c>
      <c r="H62" s="112">
        <v>28030</v>
      </c>
      <c r="I62" s="112">
        <v>29410</v>
      </c>
      <c r="J62" s="112">
        <v>29820</v>
      </c>
      <c r="K62" s="112">
        <v>30720</v>
      </c>
      <c r="L62" s="112">
        <v>31320</v>
      </c>
      <c r="M62" s="112">
        <v>31180</v>
      </c>
      <c r="N62" s="112">
        <v>30890</v>
      </c>
      <c r="O62" s="112">
        <v>29760</v>
      </c>
      <c r="P62" s="112">
        <v>29390</v>
      </c>
      <c r="Q62" s="112">
        <v>29160</v>
      </c>
      <c r="R62" s="112">
        <v>29420</v>
      </c>
      <c r="S62" s="112">
        <v>29870</v>
      </c>
      <c r="T62" s="112">
        <v>29660</v>
      </c>
      <c r="U62" s="112">
        <v>30270</v>
      </c>
      <c r="V62" s="112">
        <v>29980</v>
      </c>
      <c r="W62" s="112">
        <v>28810</v>
      </c>
      <c r="X62" s="112">
        <v>27860</v>
      </c>
      <c r="Y62" s="112">
        <v>27130</v>
      </c>
      <c r="Z62" s="112">
        <v>26480</v>
      </c>
      <c r="AA62" s="112">
        <v>26460</v>
      </c>
      <c r="AB62" s="112">
        <v>26220</v>
      </c>
      <c r="AC62" s="112">
        <v>27020</v>
      </c>
      <c r="AD62" s="112">
        <v>27820</v>
      </c>
      <c r="AE62" s="112">
        <v>28620</v>
      </c>
      <c r="AF62" s="112">
        <v>29400</v>
      </c>
      <c r="AG62" s="112">
        <v>30100</v>
      </c>
      <c r="AH62" s="112">
        <v>30000</v>
      </c>
      <c r="AI62" s="112">
        <v>29850</v>
      </c>
      <c r="AJ62" s="112">
        <v>30030</v>
      </c>
      <c r="AK62" s="112">
        <v>30560</v>
      </c>
      <c r="AL62" s="112">
        <v>31630</v>
      </c>
      <c r="AM62" s="112">
        <v>32540</v>
      </c>
      <c r="AN62" s="112">
        <v>33530</v>
      </c>
      <c r="AO62" s="112">
        <v>34670</v>
      </c>
      <c r="AP62" s="112">
        <v>34080</v>
      </c>
      <c r="AQ62" s="112">
        <v>33820</v>
      </c>
      <c r="AR62" s="112">
        <v>33220</v>
      </c>
      <c r="AS62" s="112">
        <v>33260</v>
      </c>
      <c r="AT62" s="112">
        <v>32920</v>
      </c>
      <c r="AU62" s="112">
        <v>31800</v>
      </c>
    </row>
    <row r="63" spans="1:47" x14ac:dyDescent="0.2">
      <c r="A63" s="114" t="s">
        <v>64</v>
      </c>
      <c r="B63" s="8"/>
      <c r="C63" s="112">
        <v>24750</v>
      </c>
      <c r="D63" s="112">
        <v>24900</v>
      </c>
      <c r="E63" s="112">
        <v>25520</v>
      </c>
      <c r="F63" s="112">
        <v>26160</v>
      </c>
      <c r="G63" s="112">
        <v>27230</v>
      </c>
      <c r="H63" s="112">
        <v>27770</v>
      </c>
      <c r="I63" s="112">
        <v>27900</v>
      </c>
      <c r="J63" s="112">
        <v>29280</v>
      </c>
      <c r="K63" s="112">
        <v>29680</v>
      </c>
      <c r="L63" s="112">
        <v>30580</v>
      </c>
      <c r="M63" s="112">
        <v>31180</v>
      </c>
      <c r="N63" s="112">
        <v>31040</v>
      </c>
      <c r="O63" s="112">
        <v>30760</v>
      </c>
      <c r="P63" s="112">
        <v>29640</v>
      </c>
      <c r="Q63" s="112">
        <v>29270</v>
      </c>
      <c r="R63" s="112">
        <v>29040</v>
      </c>
      <c r="S63" s="112">
        <v>29300</v>
      </c>
      <c r="T63" s="112">
        <v>29750</v>
      </c>
      <c r="U63" s="112">
        <v>29540</v>
      </c>
      <c r="V63" s="112">
        <v>30150</v>
      </c>
      <c r="W63" s="112">
        <v>29870</v>
      </c>
      <c r="X63" s="112">
        <v>28700</v>
      </c>
      <c r="Y63" s="112">
        <v>27750</v>
      </c>
      <c r="Z63" s="112">
        <v>27030</v>
      </c>
      <c r="AA63" s="112">
        <v>26380</v>
      </c>
      <c r="AB63" s="112">
        <v>26360</v>
      </c>
      <c r="AC63" s="112">
        <v>26120</v>
      </c>
      <c r="AD63" s="112">
        <v>26920</v>
      </c>
      <c r="AE63" s="112">
        <v>27720</v>
      </c>
      <c r="AF63" s="112">
        <v>28520</v>
      </c>
      <c r="AG63" s="112">
        <v>29290</v>
      </c>
      <c r="AH63" s="112">
        <v>30000</v>
      </c>
      <c r="AI63" s="112">
        <v>29900</v>
      </c>
      <c r="AJ63" s="112">
        <v>29740</v>
      </c>
      <c r="AK63" s="112">
        <v>29930</v>
      </c>
      <c r="AL63" s="112">
        <v>30450</v>
      </c>
      <c r="AM63" s="112">
        <v>31520</v>
      </c>
      <c r="AN63" s="112">
        <v>32430</v>
      </c>
      <c r="AO63" s="112">
        <v>33430</v>
      </c>
      <c r="AP63" s="112">
        <v>34560</v>
      </c>
      <c r="AQ63" s="112">
        <v>33970</v>
      </c>
      <c r="AR63" s="112">
        <v>33710</v>
      </c>
      <c r="AS63" s="112">
        <v>33110</v>
      </c>
      <c r="AT63" s="112">
        <v>33150</v>
      </c>
      <c r="AU63" s="112">
        <v>32820</v>
      </c>
    </row>
    <row r="64" spans="1:47" x14ac:dyDescent="0.2">
      <c r="A64" s="114" t="s">
        <v>65</v>
      </c>
      <c r="B64" s="8"/>
      <c r="C64" s="112">
        <v>24160</v>
      </c>
      <c r="D64" s="112">
        <v>24600</v>
      </c>
      <c r="E64" s="112">
        <v>24710</v>
      </c>
      <c r="F64" s="112">
        <v>25400</v>
      </c>
      <c r="G64" s="112">
        <v>26020</v>
      </c>
      <c r="H64" s="112">
        <v>27090</v>
      </c>
      <c r="I64" s="112">
        <v>27630</v>
      </c>
      <c r="J64" s="112">
        <v>27760</v>
      </c>
      <c r="K64" s="112">
        <v>29130</v>
      </c>
      <c r="L64" s="112">
        <v>29540</v>
      </c>
      <c r="M64" s="112">
        <v>30440</v>
      </c>
      <c r="N64" s="112">
        <v>31040</v>
      </c>
      <c r="O64" s="112">
        <v>30900</v>
      </c>
      <c r="P64" s="112">
        <v>30620</v>
      </c>
      <c r="Q64" s="112">
        <v>29500</v>
      </c>
      <c r="R64" s="112">
        <v>29140</v>
      </c>
      <c r="S64" s="112">
        <v>28920</v>
      </c>
      <c r="T64" s="112">
        <v>29170</v>
      </c>
      <c r="U64" s="112">
        <v>29620</v>
      </c>
      <c r="V64" s="112">
        <v>29420</v>
      </c>
      <c r="W64" s="112">
        <v>30030</v>
      </c>
      <c r="X64" s="112">
        <v>29750</v>
      </c>
      <c r="Y64" s="112">
        <v>28580</v>
      </c>
      <c r="Z64" s="112">
        <v>27640</v>
      </c>
      <c r="AA64" s="112">
        <v>26920</v>
      </c>
      <c r="AB64" s="112">
        <v>26270</v>
      </c>
      <c r="AC64" s="112">
        <v>26260</v>
      </c>
      <c r="AD64" s="112">
        <v>26020</v>
      </c>
      <c r="AE64" s="112">
        <v>26820</v>
      </c>
      <c r="AF64" s="112">
        <v>27620</v>
      </c>
      <c r="AG64" s="112">
        <v>28410</v>
      </c>
      <c r="AH64" s="112">
        <v>29180</v>
      </c>
      <c r="AI64" s="112">
        <v>29890</v>
      </c>
      <c r="AJ64" s="112">
        <v>29790</v>
      </c>
      <c r="AK64" s="112">
        <v>29640</v>
      </c>
      <c r="AL64" s="112">
        <v>29820</v>
      </c>
      <c r="AM64" s="112">
        <v>30350</v>
      </c>
      <c r="AN64" s="112">
        <v>31410</v>
      </c>
      <c r="AO64" s="112">
        <v>32320</v>
      </c>
      <c r="AP64" s="112">
        <v>33310</v>
      </c>
      <c r="AQ64" s="112">
        <v>34440</v>
      </c>
      <c r="AR64" s="112">
        <v>33850</v>
      </c>
      <c r="AS64" s="112">
        <v>33600</v>
      </c>
      <c r="AT64" s="112">
        <v>33000</v>
      </c>
      <c r="AU64" s="112">
        <v>33040</v>
      </c>
    </row>
    <row r="65" spans="1:47" x14ac:dyDescent="0.2">
      <c r="A65" s="114" t="s">
        <v>66</v>
      </c>
      <c r="B65" s="8"/>
      <c r="C65" s="112">
        <v>24180</v>
      </c>
      <c r="D65" s="112">
        <v>24030</v>
      </c>
      <c r="E65" s="112">
        <v>24420</v>
      </c>
      <c r="F65" s="112">
        <v>24650</v>
      </c>
      <c r="G65" s="112">
        <v>25260</v>
      </c>
      <c r="H65" s="112">
        <v>25880</v>
      </c>
      <c r="I65" s="112">
        <v>26950</v>
      </c>
      <c r="J65" s="112">
        <v>27490</v>
      </c>
      <c r="K65" s="112">
        <v>27620</v>
      </c>
      <c r="L65" s="112">
        <v>28990</v>
      </c>
      <c r="M65" s="112">
        <v>29400</v>
      </c>
      <c r="N65" s="112">
        <v>30290</v>
      </c>
      <c r="O65" s="112">
        <v>30890</v>
      </c>
      <c r="P65" s="112">
        <v>30760</v>
      </c>
      <c r="Q65" s="112">
        <v>30480</v>
      </c>
      <c r="R65" s="112">
        <v>29370</v>
      </c>
      <c r="S65" s="112">
        <v>29010</v>
      </c>
      <c r="T65" s="112">
        <v>28790</v>
      </c>
      <c r="U65" s="112">
        <v>29040</v>
      </c>
      <c r="V65" s="112">
        <v>29490</v>
      </c>
      <c r="W65" s="112">
        <v>29290</v>
      </c>
      <c r="X65" s="112">
        <v>29900</v>
      </c>
      <c r="Y65" s="112">
        <v>29620</v>
      </c>
      <c r="Z65" s="112">
        <v>28470</v>
      </c>
      <c r="AA65" s="112">
        <v>27520</v>
      </c>
      <c r="AB65" s="112">
        <v>26810</v>
      </c>
      <c r="AC65" s="112">
        <v>26160</v>
      </c>
      <c r="AD65" s="112">
        <v>26150</v>
      </c>
      <c r="AE65" s="112">
        <v>25910</v>
      </c>
      <c r="AF65" s="112">
        <v>26710</v>
      </c>
      <c r="AG65" s="112">
        <v>27510</v>
      </c>
      <c r="AH65" s="112">
        <v>28300</v>
      </c>
      <c r="AI65" s="112">
        <v>29070</v>
      </c>
      <c r="AJ65" s="112">
        <v>29780</v>
      </c>
      <c r="AK65" s="112">
        <v>29680</v>
      </c>
      <c r="AL65" s="112">
        <v>29520</v>
      </c>
      <c r="AM65" s="112">
        <v>29710</v>
      </c>
      <c r="AN65" s="112">
        <v>30230</v>
      </c>
      <c r="AO65" s="112">
        <v>31300</v>
      </c>
      <c r="AP65" s="112">
        <v>32200</v>
      </c>
      <c r="AQ65" s="112">
        <v>33190</v>
      </c>
      <c r="AR65" s="112">
        <v>34310</v>
      </c>
      <c r="AS65" s="112">
        <v>33730</v>
      </c>
      <c r="AT65" s="112">
        <v>33480</v>
      </c>
      <c r="AU65" s="112">
        <v>32880</v>
      </c>
    </row>
    <row r="66" spans="1:47" x14ac:dyDescent="0.2">
      <c r="A66" s="114" t="s">
        <v>67</v>
      </c>
      <c r="B66" s="8"/>
      <c r="C66" s="112">
        <v>23830</v>
      </c>
      <c r="D66" s="112">
        <v>24010</v>
      </c>
      <c r="E66" s="112">
        <v>23870</v>
      </c>
      <c r="F66" s="112">
        <v>24310</v>
      </c>
      <c r="G66" s="112">
        <v>24500</v>
      </c>
      <c r="H66" s="112">
        <v>25120</v>
      </c>
      <c r="I66" s="112">
        <v>25730</v>
      </c>
      <c r="J66" s="112">
        <v>26800</v>
      </c>
      <c r="K66" s="112">
        <v>27340</v>
      </c>
      <c r="L66" s="112">
        <v>27480</v>
      </c>
      <c r="M66" s="112">
        <v>28840</v>
      </c>
      <c r="N66" s="112">
        <v>29250</v>
      </c>
      <c r="O66" s="112">
        <v>30140</v>
      </c>
      <c r="P66" s="112">
        <v>30740</v>
      </c>
      <c r="Q66" s="112">
        <v>30610</v>
      </c>
      <c r="R66" s="112">
        <v>30330</v>
      </c>
      <c r="S66" s="112">
        <v>29230</v>
      </c>
      <c r="T66" s="112">
        <v>28870</v>
      </c>
      <c r="U66" s="112">
        <v>28660</v>
      </c>
      <c r="V66" s="112">
        <v>28910</v>
      </c>
      <c r="W66" s="112">
        <v>29360</v>
      </c>
      <c r="X66" s="112">
        <v>29170</v>
      </c>
      <c r="Y66" s="112">
        <v>29770</v>
      </c>
      <c r="Z66" s="112">
        <v>29490</v>
      </c>
      <c r="AA66" s="112">
        <v>28340</v>
      </c>
      <c r="AB66" s="112">
        <v>27410</v>
      </c>
      <c r="AC66" s="112">
        <v>26700</v>
      </c>
      <c r="AD66" s="112">
        <v>26060</v>
      </c>
      <c r="AE66" s="112">
        <v>26050</v>
      </c>
      <c r="AF66" s="112">
        <v>25800</v>
      </c>
      <c r="AG66" s="112">
        <v>26600</v>
      </c>
      <c r="AH66" s="112">
        <v>27400</v>
      </c>
      <c r="AI66" s="112">
        <v>28190</v>
      </c>
      <c r="AJ66" s="112">
        <v>28960</v>
      </c>
      <c r="AK66" s="112">
        <v>29660</v>
      </c>
      <c r="AL66" s="112">
        <v>29560</v>
      </c>
      <c r="AM66" s="112">
        <v>29410</v>
      </c>
      <c r="AN66" s="112">
        <v>29600</v>
      </c>
      <c r="AO66" s="112">
        <v>30120</v>
      </c>
      <c r="AP66" s="112">
        <v>31180</v>
      </c>
      <c r="AQ66" s="112">
        <v>32080</v>
      </c>
      <c r="AR66" s="112">
        <v>33070</v>
      </c>
      <c r="AS66" s="112">
        <v>34190</v>
      </c>
      <c r="AT66" s="112">
        <v>33610</v>
      </c>
      <c r="AU66" s="112">
        <v>33360</v>
      </c>
    </row>
    <row r="67" spans="1:47" x14ac:dyDescent="0.2">
      <c r="A67" s="114" t="s">
        <v>68</v>
      </c>
      <c r="B67" s="8"/>
      <c r="C67" s="112">
        <v>23890</v>
      </c>
      <c r="D67" s="112">
        <v>23670</v>
      </c>
      <c r="E67" s="112">
        <v>23860</v>
      </c>
      <c r="F67" s="112">
        <v>23710</v>
      </c>
      <c r="G67" s="112">
        <v>24160</v>
      </c>
      <c r="H67" s="112">
        <v>24360</v>
      </c>
      <c r="I67" s="112">
        <v>24970</v>
      </c>
      <c r="J67" s="112">
        <v>25590</v>
      </c>
      <c r="K67" s="112">
        <v>26650</v>
      </c>
      <c r="L67" s="112">
        <v>27190</v>
      </c>
      <c r="M67" s="112">
        <v>27330</v>
      </c>
      <c r="N67" s="112">
        <v>28690</v>
      </c>
      <c r="O67" s="112">
        <v>29100</v>
      </c>
      <c r="P67" s="112">
        <v>29990</v>
      </c>
      <c r="Q67" s="112">
        <v>30590</v>
      </c>
      <c r="R67" s="112">
        <v>30460</v>
      </c>
      <c r="S67" s="112">
        <v>30180</v>
      </c>
      <c r="T67" s="112">
        <v>29090</v>
      </c>
      <c r="U67" s="112">
        <v>28740</v>
      </c>
      <c r="V67" s="112">
        <v>28520</v>
      </c>
      <c r="W67" s="112">
        <v>28780</v>
      </c>
      <c r="X67" s="112">
        <v>29230</v>
      </c>
      <c r="Y67" s="112">
        <v>29030</v>
      </c>
      <c r="Z67" s="112">
        <v>29640</v>
      </c>
      <c r="AA67" s="112">
        <v>29370</v>
      </c>
      <c r="AB67" s="112">
        <v>28220</v>
      </c>
      <c r="AC67" s="112">
        <v>27290</v>
      </c>
      <c r="AD67" s="112">
        <v>26580</v>
      </c>
      <c r="AE67" s="112">
        <v>25950</v>
      </c>
      <c r="AF67" s="112">
        <v>25940</v>
      </c>
      <c r="AG67" s="112">
        <v>25700</v>
      </c>
      <c r="AH67" s="112">
        <v>26490</v>
      </c>
      <c r="AI67" s="112">
        <v>27290</v>
      </c>
      <c r="AJ67" s="112">
        <v>28080</v>
      </c>
      <c r="AK67" s="112">
        <v>28840</v>
      </c>
      <c r="AL67" s="112">
        <v>29540</v>
      </c>
      <c r="AM67" s="112">
        <v>29450</v>
      </c>
      <c r="AN67" s="112">
        <v>29300</v>
      </c>
      <c r="AO67" s="112">
        <v>29480</v>
      </c>
      <c r="AP67" s="112">
        <v>30000</v>
      </c>
      <c r="AQ67" s="112">
        <v>31060</v>
      </c>
      <c r="AR67" s="112">
        <v>31960</v>
      </c>
      <c r="AS67" s="112">
        <v>32950</v>
      </c>
      <c r="AT67" s="112">
        <v>34060</v>
      </c>
      <c r="AU67" s="112">
        <v>33490</v>
      </c>
    </row>
    <row r="68" spans="1:47" x14ac:dyDescent="0.2">
      <c r="A68" s="114" t="s">
        <v>69</v>
      </c>
      <c r="B68" s="8"/>
      <c r="C68" s="112">
        <v>24020</v>
      </c>
      <c r="D68" s="112">
        <v>23760</v>
      </c>
      <c r="E68" s="112">
        <v>23520</v>
      </c>
      <c r="F68" s="112">
        <v>23710</v>
      </c>
      <c r="G68" s="112">
        <v>23570</v>
      </c>
      <c r="H68" s="112">
        <v>24020</v>
      </c>
      <c r="I68" s="112">
        <v>24210</v>
      </c>
      <c r="J68" s="112">
        <v>24830</v>
      </c>
      <c r="K68" s="112">
        <v>25440</v>
      </c>
      <c r="L68" s="112">
        <v>26500</v>
      </c>
      <c r="M68" s="112">
        <v>27040</v>
      </c>
      <c r="N68" s="112">
        <v>27180</v>
      </c>
      <c r="O68" s="112">
        <v>28530</v>
      </c>
      <c r="P68" s="112">
        <v>28940</v>
      </c>
      <c r="Q68" s="112">
        <v>29830</v>
      </c>
      <c r="R68" s="112">
        <v>30430</v>
      </c>
      <c r="S68" s="112">
        <v>30310</v>
      </c>
      <c r="T68" s="112">
        <v>30030</v>
      </c>
      <c r="U68" s="112">
        <v>28950</v>
      </c>
      <c r="V68" s="112">
        <v>28600</v>
      </c>
      <c r="W68" s="112">
        <v>28390</v>
      </c>
      <c r="X68" s="112">
        <v>28640</v>
      </c>
      <c r="Y68" s="112">
        <v>29090</v>
      </c>
      <c r="Z68" s="112">
        <v>28900</v>
      </c>
      <c r="AA68" s="112">
        <v>29500</v>
      </c>
      <c r="AB68" s="112">
        <v>29230</v>
      </c>
      <c r="AC68" s="112">
        <v>28100</v>
      </c>
      <c r="AD68" s="112">
        <v>27170</v>
      </c>
      <c r="AE68" s="112">
        <v>26470</v>
      </c>
      <c r="AF68" s="112">
        <v>25840</v>
      </c>
      <c r="AG68" s="112">
        <v>25830</v>
      </c>
      <c r="AH68" s="112">
        <v>25590</v>
      </c>
      <c r="AI68" s="112">
        <v>26380</v>
      </c>
      <c r="AJ68" s="112">
        <v>27180</v>
      </c>
      <c r="AK68" s="112">
        <v>27960</v>
      </c>
      <c r="AL68" s="112">
        <v>28730</v>
      </c>
      <c r="AM68" s="112">
        <v>29430</v>
      </c>
      <c r="AN68" s="112">
        <v>29330</v>
      </c>
      <c r="AO68" s="112">
        <v>29180</v>
      </c>
      <c r="AP68" s="112">
        <v>29370</v>
      </c>
      <c r="AQ68" s="112">
        <v>29890</v>
      </c>
      <c r="AR68" s="112">
        <v>30940</v>
      </c>
      <c r="AS68" s="112">
        <v>31840</v>
      </c>
      <c r="AT68" s="112">
        <v>32820</v>
      </c>
      <c r="AU68" s="112">
        <v>33930</v>
      </c>
    </row>
    <row r="69" spans="1:47" x14ac:dyDescent="0.2">
      <c r="A69" s="114" t="s">
        <v>70</v>
      </c>
      <c r="B69" s="8"/>
      <c r="C69" s="112">
        <v>20160</v>
      </c>
      <c r="D69" s="112">
        <v>23850</v>
      </c>
      <c r="E69" s="112">
        <v>23590</v>
      </c>
      <c r="F69" s="112">
        <v>23360</v>
      </c>
      <c r="G69" s="112">
        <v>23560</v>
      </c>
      <c r="H69" s="112">
        <v>23420</v>
      </c>
      <c r="I69" s="112">
        <v>23870</v>
      </c>
      <c r="J69" s="112">
        <v>24060</v>
      </c>
      <c r="K69" s="112">
        <v>24680</v>
      </c>
      <c r="L69" s="112">
        <v>25290</v>
      </c>
      <c r="M69" s="112">
        <v>26340</v>
      </c>
      <c r="N69" s="112">
        <v>26880</v>
      </c>
      <c r="O69" s="112">
        <v>27030</v>
      </c>
      <c r="P69" s="112">
        <v>28370</v>
      </c>
      <c r="Q69" s="112">
        <v>28780</v>
      </c>
      <c r="R69" s="112">
        <v>29670</v>
      </c>
      <c r="S69" s="112">
        <v>30270</v>
      </c>
      <c r="T69" s="112">
        <v>30150</v>
      </c>
      <c r="U69" s="112">
        <v>29880</v>
      </c>
      <c r="V69" s="112">
        <v>28800</v>
      </c>
      <c r="W69" s="112">
        <v>28460</v>
      </c>
      <c r="X69" s="112">
        <v>28250</v>
      </c>
      <c r="Y69" s="112">
        <v>28510</v>
      </c>
      <c r="Z69" s="112">
        <v>28960</v>
      </c>
      <c r="AA69" s="112">
        <v>28770</v>
      </c>
      <c r="AB69" s="112">
        <v>29370</v>
      </c>
      <c r="AC69" s="112">
        <v>29100</v>
      </c>
      <c r="AD69" s="112">
        <v>27970</v>
      </c>
      <c r="AE69" s="112">
        <v>27050</v>
      </c>
      <c r="AF69" s="112">
        <v>26360</v>
      </c>
      <c r="AG69" s="112">
        <v>25730</v>
      </c>
      <c r="AH69" s="112">
        <v>25720</v>
      </c>
      <c r="AI69" s="112">
        <v>25490</v>
      </c>
      <c r="AJ69" s="112">
        <v>26280</v>
      </c>
      <c r="AK69" s="112">
        <v>27070</v>
      </c>
      <c r="AL69" s="112">
        <v>27850</v>
      </c>
      <c r="AM69" s="112">
        <v>28610</v>
      </c>
      <c r="AN69" s="112">
        <v>29310</v>
      </c>
      <c r="AO69" s="112">
        <v>29220</v>
      </c>
      <c r="AP69" s="112">
        <v>29070</v>
      </c>
      <c r="AQ69" s="112">
        <v>29250</v>
      </c>
      <c r="AR69" s="112">
        <v>29770</v>
      </c>
      <c r="AS69" s="112">
        <v>30820</v>
      </c>
      <c r="AT69" s="112">
        <v>31720</v>
      </c>
      <c r="AU69" s="112">
        <v>32690</v>
      </c>
    </row>
    <row r="70" spans="1:47" x14ac:dyDescent="0.2">
      <c r="A70" s="114" t="s">
        <v>71</v>
      </c>
      <c r="B70" s="8"/>
      <c r="C70" s="112">
        <v>19140</v>
      </c>
      <c r="D70" s="112">
        <v>20010</v>
      </c>
      <c r="E70" s="112">
        <v>23670</v>
      </c>
      <c r="F70" s="112">
        <v>23400</v>
      </c>
      <c r="G70" s="112">
        <v>23200</v>
      </c>
      <c r="H70" s="112">
        <v>23400</v>
      </c>
      <c r="I70" s="112">
        <v>23260</v>
      </c>
      <c r="J70" s="112">
        <v>23710</v>
      </c>
      <c r="K70" s="112">
        <v>23910</v>
      </c>
      <c r="L70" s="112">
        <v>24520</v>
      </c>
      <c r="M70" s="112">
        <v>25130</v>
      </c>
      <c r="N70" s="112">
        <v>26180</v>
      </c>
      <c r="O70" s="112">
        <v>26720</v>
      </c>
      <c r="P70" s="112">
        <v>26870</v>
      </c>
      <c r="Q70" s="112">
        <v>28210</v>
      </c>
      <c r="R70" s="112">
        <v>28620</v>
      </c>
      <c r="S70" s="112">
        <v>29500</v>
      </c>
      <c r="T70" s="112">
        <v>30100</v>
      </c>
      <c r="U70" s="112">
        <v>29980</v>
      </c>
      <c r="V70" s="112">
        <v>29720</v>
      </c>
      <c r="W70" s="112">
        <v>28650</v>
      </c>
      <c r="X70" s="112">
        <v>28310</v>
      </c>
      <c r="Y70" s="112">
        <v>28110</v>
      </c>
      <c r="Z70" s="112">
        <v>28360</v>
      </c>
      <c r="AA70" s="112">
        <v>28810</v>
      </c>
      <c r="AB70" s="112">
        <v>28630</v>
      </c>
      <c r="AC70" s="112">
        <v>29230</v>
      </c>
      <c r="AD70" s="112">
        <v>28960</v>
      </c>
      <c r="AE70" s="112">
        <v>27840</v>
      </c>
      <c r="AF70" s="112">
        <v>26930</v>
      </c>
      <c r="AG70" s="112">
        <v>26240</v>
      </c>
      <c r="AH70" s="112">
        <v>25610</v>
      </c>
      <c r="AI70" s="112">
        <v>25610</v>
      </c>
      <c r="AJ70" s="112">
        <v>25370</v>
      </c>
      <c r="AK70" s="112">
        <v>26160</v>
      </c>
      <c r="AL70" s="112">
        <v>26950</v>
      </c>
      <c r="AM70" s="112">
        <v>27730</v>
      </c>
      <c r="AN70" s="112">
        <v>28490</v>
      </c>
      <c r="AO70" s="112">
        <v>29180</v>
      </c>
      <c r="AP70" s="112">
        <v>29090</v>
      </c>
      <c r="AQ70" s="112">
        <v>28950</v>
      </c>
      <c r="AR70" s="112">
        <v>29130</v>
      </c>
      <c r="AS70" s="112">
        <v>29650</v>
      </c>
      <c r="AT70" s="112">
        <v>30690</v>
      </c>
      <c r="AU70" s="112">
        <v>31580</v>
      </c>
    </row>
    <row r="71" spans="1:47" x14ac:dyDescent="0.2">
      <c r="A71" s="114" t="s">
        <v>72</v>
      </c>
      <c r="B71" s="8"/>
      <c r="C71" s="112">
        <v>18400</v>
      </c>
      <c r="D71" s="112">
        <v>19010</v>
      </c>
      <c r="E71" s="112">
        <v>19860</v>
      </c>
      <c r="F71" s="112">
        <v>23490</v>
      </c>
      <c r="G71" s="112">
        <v>23220</v>
      </c>
      <c r="H71" s="112">
        <v>23020</v>
      </c>
      <c r="I71" s="112">
        <v>23230</v>
      </c>
      <c r="J71" s="112">
        <v>23100</v>
      </c>
      <c r="K71" s="112">
        <v>23550</v>
      </c>
      <c r="L71" s="112">
        <v>23750</v>
      </c>
      <c r="M71" s="112">
        <v>24360</v>
      </c>
      <c r="N71" s="112">
        <v>24970</v>
      </c>
      <c r="O71" s="112">
        <v>26010</v>
      </c>
      <c r="P71" s="112">
        <v>26550</v>
      </c>
      <c r="Q71" s="112">
        <v>26700</v>
      </c>
      <c r="R71" s="112">
        <v>28030</v>
      </c>
      <c r="S71" s="112">
        <v>28450</v>
      </c>
      <c r="T71" s="112">
        <v>29330</v>
      </c>
      <c r="U71" s="112">
        <v>29920</v>
      </c>
      <c r="V71" s="112">
        <v>29810</v>
      </c>
      <c r="W71" s="112">
        <v>29550</v>
      </c>
      <c r="X71" s="112">
        <v>28490</v>
      </c>
      <c r="Y71" s="112">
        <v>28160</v>
      </c>
      <c r="Z71" s="112">
        <v>27950</v>
      </c>
      <c r="AA71" s="112">
        <v>28210</v>
      </c>
      <c r="AB71" s="112">
        <v>28660</v>
      </c>
      <c r="AC71" s="112">
        <v>28480</v>
      </c>
      <c r="AD71" s="112">
        <v>29070</v>
      </c>
      <c r="AE71" s="112">
        <v>28820</v>
      </c>
      <c r="AF71" s="112">
        <v>27700</v>
      </c>
      <c r="AG71" s="112">
        <v>26790</v>
      </c>
      <c r="AH71" s="112">
        <v>26110</v>
      </c>
      <c r="AI71" s="112">
        <v>25490</v>
      </c>
      <c r="AJ71" s="112">
        <v>25490</v>
      </c>
      <c r="AK71" s="112">
        <v>25260</v>
      </c>
      <c r="AL71" s="112">
        <v>26040</v>
      </c>
      <c r="AM71" s="112">
        <v>26820</v>
      </c>
      <c r="AN71" s="112">
        <v>27600</v>
      </c>
      <c r="AO71" s="112">
        <v>28360</v>
      </c>
      <c r="AP71" s="112">
        <v>29050</v>
      </c>
      <c r="AQ71" s="112">
        <v>28960</v>
      </c>
      <c r="AR71" s="112">
        <v>28810</v>
      </c>
      <c r="AS71" s="112">
        <v>29000</v>
      </c>
      <c r="AT71" s="112">
        <v>29510</v>
      </c>
      <c r="AU71" s="112">
        <v>30560</v>
      </c>
    </row>
    <row r="72" spans="1:47" x14ac:dyDescent="0.2">
      <c r="A72" s="114" t="s">
        <v>73</v>
      </c>
      <c r="B72" s="8"/>
      <c r="C72" s="112">
        <v>16270</v>
      </c>
      <c r="D72" s="112">
        <v>18250</v>
      </c>
      <c r="E72" s="112">
        <v>18880</v>
      </c>
      <c r="F72" s="112">
        <v>19680</v>
      </c>
      <c r="G72" s="112">
        <v>23290</v>
      </c>
      <c r="H72" s="112">
        <v>23030</v>
      </c>
      <c r="I72" s="112">
        <v>22840</v>
      </c>
      <c r="J72" s="112">
        <v>23050</v>
      </c>
      <c r="K72" s="112">
        <v>22920</v>
      </c>
      <c r="L72" s="112">
        <v>23370</v>
      </c>
      <c r="M72" s="112">
        <v>23580</v>
      </c>
      <c r="N72" s="112">
        <v>24180</v>
      </c>
      <c r="O72" s="112">
        <v>24790</v>
      </c>
      <c r="P72" s="112">
        <v>25830</v>
      </c>
      <c r="Q72" s="112">
        <v>26370</v>
      </c>
      <c r="R72" s="112">
        <v>26520</v>
      </c>
      <c r="S72" s="112">
        <v>27850</v>
      </c>
      <c r="T72" s="112">
        <v>28260</v>
      </c>
      <c r="U72" s="112">
        <v>29140</v>
      </c>
      <c r="V72" s="112">
        <v>29730</v>
      </c>
      <c r="W72" s="112">
        <v>29620</v>
      </c>
      <c r="X72" s="112">
        <v>29370</v>
      </c>
      <c r="Y72" s="112">
        <v>28320</v>
      </c>
      <c r="Z72" s="112">
        <v>27990</v>
      </c>
      <c r="AA72" s="112">
        <v>27790</v>
      </c>
      <c r="AB72" s="112">
        <v>28050</v>
      </c>
      <c r="AC72" s="112">
        <v>28500</v>
      </c>
      <c r="AD72" s="112">
        <v>28320</v>
      </c>
      <c r="AE72" s="112">
        <v>28910</v>
      </c>
      <c r="AF72" s="112">
        <v>28660</v>
      </c>
      <c r="AG72" s="112">
        <v>27550</v>
      </c>
      <c r="AH72" s="112">
        <v>26650</v>
      </c>
      <c r="AI72" s="112">
        <v>25970</v>
      </c>
      <c r="AJ72" s="112">
        <v>25360</v>
      </c>
      <c r="AK72" s="112">
        <v>25360</v>
      </c>
      <c r="AL72" s="112">
        <v>25130</v>
      </c>
      <c r="AM72" s="112">
        <v>25910</v>
      </c>
      <c r="AN72" s="112">
        <v>26690</v>
      </c>
      <c r="AO72" s="112">
        <v>27460</v>
      </c>
      <c r="AP72" s="112">
        <v>28220</v>
      </c>
      <c r="AQ72" s="112">
        <v>28910</v>
      </c>
      <c r="AR72" s="112">
        <v>28820</v>
      </c>
      <c r="AS72" s="112">
        <v>28670</v>
      </c>
      <c r="AT72" s="112">
        <v>28860</v>
      </c>
      <c r="AU72" s="112">
        <v>29370</v>
      </c>
    </row>
    <row r="73" spans="1:47" x14ac:dyDescent="0.2">
      <c r="A73" s="114" t="s">
        <v>74</v>
      </c>
      <c r="B73" s="8"/>
      <c r="C73" s="112">
        <v>17930</v>
      </c>
      <c r="D73" s="112">
        <v>16110</v>
      </c>
      <c r="E73" s="112">
        <v>18100</v>
      </c>
      <c r="F73" s="112">
        <v>18660</v>
      </c>
      <c r="G73" s="112">
        <v>19510</v>
      </c>
      <c r="H73" s="112">
        <v>23090</v>
      </c>
      <c r="I73" s="112">
        <v>22830</v>
      </c>
      <c r="J73" s="112">
        <v>22650</v>
      </c>
      <c r="K73" s="112">
        <v>22860</v>
      </c>
      <c r="L73" s="112">
        <v>22740</v>
      </c>
      <c r="M73" s="112">
        <v>23190</v>
      </c>
      <c r="N73" s="112">
        <v>23390</v>
      </c>
      <c r="O73" s="112">
        <v>24000</v>
      </c>
      <c r="P73" s="112">
        <v>24600</v>
      </c>
      <c r="Q73" s="112">
        <v>25640</v>
      </c>
      <c r="R73" s="112">
        <v>26180</v>
      </c>
      <c r="S73" s="112">
        <v>26330</v>
      </c>
      <c r="T73" s="112">
        <v>27650</v>
      </c>
      <c r="U73" s="112">
        <v>28060</v>
      </c>
      <c r="V73" s="112">
        <v>28930</v>
      </c>
      <c r="W73" s="112">
        <v>29530</v>
      </c>
      <c r="X73" s="112">
        <v>29420</v>
      </c>
      <c r="Y73" s="112">
        <v>29170</v>
      </c>
      <c r="Z73" s="112">
        <v>28130</v>
      </c>
      <c r="AA73" s="112">
        <v>27810</v>
      </c>
      <c r="AB73" s="112">
        <v>27610</v>
      </c>
      <c r="AC73" s="112">
        <v>27870</v>
      </c>
      <c r="AD73" s="112">
        <v>28320</v>
      </c>
      <c r="AE73" s="112">
        <v>28150</v>
      </c>
      <c r="AF73" s="112">
        <v>28740</v>
      </c>
      <c r="AG73" s="112">
        <v>28490</v>
      </c>
      <c r="AH73" s="112">
        <v>27390</v>
      </c>
      <c r="AI73" s="112">
        <v>26500</v>
      </c>
      <c r="AJ73" s="112">
        <v>25830</v>
      </c>
      <c r="AK73" s="112">
        <v>25220</v>
      </c>
      <c r="AL73" s="112">
        <v>25220</v>
      </c>
      <c r="AM73" s="112">
        <v>24990</v>
      </c>
      <c r="AN73" s="112">
        <v>25770</v>
      </c>
      <c r="AO73" s="112">
        <v>26550</v>
      </c>
      <c r="AP73" s="112">
        <v>27320</v>
      </c>
      <c r="AQ73" s="112">
        <v>28070</v>
      </c>
      <c r="AR73" s="112">
        <v>28750</v>
      </c>
      <c r="AS73" s="112">
        <v>28660</v>
      </c>
      <c r="AT73" s="112">
        <v>28520</v>
      </c>
      <c r="AU73" s="112">
        <v>28710</v>
      </c>
    </row>
    <row r="74" spans="1:47" x14ac:dyDescent="0.2">
      <c r="A74" s="114" t="s">
        <v>75</v>
      </c>
      <c r="B74" s="8"/>
      <c r="C74" s="112">
        <v>17660</v>
      </c>
      <c r="D74" s="112">
        <v>17770</v>
      </c>
      <c r="E74" s="112">
        <v>15970</v>
      </c>
      <c r="F74" s="112">
        <v>17890</v>
      </c>
      <c r="G74" s="112">
        <v>18480</v>
      </c>
      <c r="H74" s="112">
        <v>19320</v>
      </c>
      <c r="I74" s="112">
        <v>22860</v>
      </c>
      <c r="J74" s="112">
        <v>22620</v>
      </c>
      <c r="K74" s="112">
        <v>22440</v>
      </c>
      <c r="L74" s="112">
        <v>22650</v>
      </c>
      <c r="M74" s="112">
        <v>22530</v>
      </c>
      <c r="N74" s="112">
        <v>22980</v>
      </c>
      <c r="O74" s="112">
        <v>23190</v>
      </c>
      <c r="P74" s="112">
        <v>23800</v>
      </c>
      <c r="Q74" s="112">
        <v>24400</v>
      </c>
      <c r="R74" s="112">
        <v>25430</v>
      </c>
      <c r="S74" s="112">
        <v>25970</v>
      </c>
      <c r="T74" s="112">
        <v>26120</v>
      </c>
      <c r="U74" s="112">
        <v>27430</v>
      </c>
      <c r="V74" s="112">
        <v>27840</v>
      </c>
      <c r="W74" s="112">
        <v>28710</v>
      </c>
      <c r="X74" s="112">
        <v>29300</v>
      </c>
      <c r="Y74" s="112">
        <v>29200</v>
      </c>
      <c r="Z74" s="112">
        <v>28960</v>
      </c>
      <c r="AA74" s="112">
        <v>27930</v>
      </c>
      <c r="AB74" s="112">
        <v>27610</v>
      </c>
      <c r="AC74" s="112">
        <v>27420</v>
      </c>
      <c r="AD74" s="112">
        <v>27680</v>
      </c>
      <c r="AE74" s="112">
        <v>28130</v>
      </c>
      <c r="AF74" s="112">
        <v>27960</v>
      </c>
      <c r="AG74" s="112">
        <v>28550</v>
      </c>
      <c r="AH74" s="112">
        <v>28300</v>
      </c>
      <c r="AI74" s="112">
        <v>27220</v>
      </c>
      <c r="AJ74" s="112">
        <v>26330</v>
      </c>
      <c r="AK74" s="112">
        <v>25670</v>
      </c>
      <c r="AL74" s="112">
        <v>25060</v>
      </c>
      <c r="AM74" s="112">
        <v>25060</v>
      </c>
      <c r="AN74" s="112">
        <v>24840</v>
      </c>
      <c r="AO74" s="112">
        <v>25620</v>
      </c>
      <c r="AP74" s="112">
        <v>26390</v>
      </c>
      <c r="AQ74" s="112">
        <v>27150</v>
      </c>
      <c r="AR74" s="112">
        <v>27900</v>
      </c>
      <c r="AS74" s="112">
        <v>28580</v>
      </c>
      <c r="AT74" s="112">
        <v>28490</v>
      </c>
      <c r="AU74" s="112">
        <v>28350</v>
      </c>
    </row>
    <row r="75" spans="1:47" x14ac:dyDescent="0.2">
      <c r="A75" s="114" t="s">
        <v>76</v>
      </c>
      <c r="B75" s="8"/>
      <c r="C75" s="112">
        <v>16280</v>
      </c>
      <c r="D75" s="112">
        <v>17460</v>
      </c>
      <c r="E75" s="112">
        <v>17570</v>
      </c>
      <c r="F75" s="112">
        <v>15790</v>
      </c>
      <c r="G75" s="112">
        <v>17700</v>
      </c>
      <c r="H75" s="112">
        <v>18280</v>
      </c>
      <c r="I75" s="112">
        <v>19120</v>
      </c>
      <c r="J75" s="112">
        <v>22620</v>
      </c>
      <c r="K75" s="112">
        <v>22390</v>
      </c>
      <c r="L75" s="112">
        <v>22220</v>
      </c>
      <c r="M75" s="112">
        <v>22430</v>
      </c>
      <c r="N75" s="112">
        <v>22320</v>
      </c>
      <c r="O75" s="112">
        <v>22770</v>
      </c>
      <c r="P75" s="112">
        <v>22980</v>
      </c>
      <c r="Q75" s="112">
        <v>23580</v>
      </c>
      <c r="R75" s="112">
        <v>24180</v>
      </c>
      <c r="S75" s="112">
        <v>25200</v>
      </c>
      <c r="T75" s="112">
        <v>25740</v>
      </c>
      <c r="U75" s="112">
        <v>25890</v>
      </c>
      <c r="V75" s="112">
        <v>27190</v>
      </c>
      <c r="W75" s="112">
        <v>27610</v>
      </c>
      <c r="X75" s="112">
        <v>28470</v>
      </c>
      <c r="Y75" s="112">
        <v>29060</v>
      </c>
      <c r="Z75" s="112">
        <v>28960</v>
      </c>
      <c r="AA75" s="112">
        <v>28720</v>
      </c>
      <c r="AB75" s="112">
        <v>27710</v>
      </c>
      <c r="AC75" s="112">
        <v>27400</v>
      </c>
      <c r="AD75" s="112">
        <v>27210</v>
      </c>
      <c r="AE75" s="112">
        <v>27470</v>
      </c>
      <c r="AF75" s="112">
        <v>27920</v>
      </c>
      <c r="AG75" s="112">
        <v>27750</v>
      </c>
      <c r="AH75" s="112">
        <v>28340</v>
      </c>
      <c r="AI75" s="112">
        <v>28090</v>
      </c>
      <c r="AJ75" s="112">
        <v>27020</v>
      </c>
      <c r="AK75" s="112">
        <v>26150</v>
      </c>
      <c r="AL75" s="112">
        <v>25490</v>
      </c>
      <c r="AM75" s="112">
        <v>24890</v>
      </c>
      <c r="AN75" s="112">
        <v>24900</v>
      </c>
      <c r="AO75" s="112">
        <v>24680</v>
      </c>
      <c r="AP75" s="112">
        <v>25440</v>
      </c>
      <c r="AQ75" s="112">
        <v>26210</v>
      </c>
      <c r="AR75" s="112">
        <v>26970</v>
      </c>
      <c r="AS75" s="112">
        <v>27710</v>
      </c>
      <c r="AT75" s="112">
        <v>28390</v>
      </c>
      <c r="AU75" s="112">
        <v>28310</v>
      </c>
    </row>
    <row r="76" spans="1:47" x14ac:dyDescent="0.2">
      <c r="A76" s="114" t="s">
        <v>77</v>
      </c>
      <c r="B76" s="8"/>
      <c r="C76" s="112">
        <v>14490</v>
      </c>
      <c r="D76" s="112">
        <v>16090</v>
      </c>
      <c r="E76" s="112">
        <v>17250</v>
      </c>
      <c r="F76" s="112">
        <v>17320</v>
      </c>
      <c r="G76" s="112">
        <v>15600</v>
      </c>
      <c r="H76" s="112">
        <v>17490</v>
      </c>
      <c r="I76" s="112">
        <v>18070</v>
      </c>
      <c r="J76" s="112">
        <v>18900</v>
      </c>
      <c r="K76" s="112">
        <v>22360</v>
      </c>
      <c r="L76" s="112">
        <v>22130</v>
      </c>
      <c r="M76" s="112">
        <v>21970</v>
      </c>
      <c r="N76" s="112">
        <v>22190</v>
      </c>
      <c r="O76" s="112">
        <v>22080</v>
      </c>
      <c r="P76" s="112">
        <v>22530</v>
      </c>
      <c r="Q76" s="112">
        <v>22740</v>
      </c>
      <c r="R76" s="112">
        <v>23340</v>
      </c>
      <c r="S76" s="112">
        <v>23940</v>
      </c>
      <c r="T76" s="112">
        <v>24960</v>
      </c>
      <c r="U76" s="112">
        <v>25490</v>
      </c>
      <c r="V76" s="112">
        <v>25640</v>
      </c>
      <c r="W76" s="112">
        <v>26940</v>
      </c>
      <c r="X76" s="112">
        <v>27350</v>
      </c>
      <c r="Y76" s="112">
        <v>28210</v>
      </c>
      <c r="Z76" s="112">
        <v>28790</v>
      </c>
      <c r="AA76" s="112">
        <v>28700</v>
      </c>
      <c r="AB76" s="112">
        <v>28470</v>
      </c>
      <c r="AC76" s="112">
        <v>27470</v>
      </c>
      <c r="AD76" s="112">
        <v>27160</v>
      </c>
      <c r="AE76" s="112">
        <v>26980</v>
      </c>
      <c r="AF76" s="112">
        <v>27240</v>
      </c>
      <c r="AG76" s="112">
        <v>27690</v>
      </c>
      <c r="AH76" s="112">
        <v>27520</v>
      </c>
      <c r="AI76" s="112">
        <v>28110</v>
      </c>
      <c r="AJ76" s="112">
        <v>27870</v>
      </c>
      <c r="AK76" s="112">
        <v>26810</v>
      </c>
      <c r="AL76" s="112">
        <v>25940</v>
      </c>
      <c r="AM76" s="112">
        <v>25290</v>
      </c>
      <c r="AN76" s="112">
        <v>24710</v>
      </c>
      <c r="AO76" s="112">
        <v>24710</v>
      </c>
      <c r="AP76" s="112">
        <v>24490</v>
      </c>
      <c r="AQ76" s="112">
        <v>25260</v>
      </c>
      <c r="AR76" s="112">
        <v>26020</v>
      </c>
      <c r="AS76" s="112">
        <v>26770</v>
      </c>
      <c r="AT76" s="112">
        <v>27510</v>
      </c>
      <c r="AU76" s="112">
        <v>28180</v>
      </c>
    </row>
    <row r="77" spans="1:47" x14ac:dyDescent="0.2">
      <c r="A77" s="114" t="s">
        <v>78</v>
      </c>
      <c r="B77" s="8"/>
      <c r="C77" s="112">
        <v>13990</v>
      </c>
      <c r="D77" s="112">
        <v>14300</v>
      </c>
      <c r="E77" s="112">
        <v>15860</v>
      </c>
      <c r="F77" s="112">
        <v>16990</v>
      </c>
      <c r="G77" s="112">
        <v>17080</v>
      </c>
      <c r="H77" s="112">
        <v>15400</v>
      </c>
      <c r="I77" s="112">
        <v>17260</v>
      </c>
      <c r="J77" s="112">
        <v>17840</v>
      </c>
      <c r="K77" s="112">
        <v>18670</v>
      </c>
      <c r="L77" s="112">
        <v>22080</v>
      </c>
      <c r="M77" s="112">
        <v>21860</v>
      </c>
      <c r="N77" s="112">
        <v>21710</v>
      </c>
      <c r="O77" s="112">
        <v>21930</v>
      </c>
      <c r="P77" s="112">
        <v>21820</v>
      </c>
      <c r="Q77" s="112">
        <v>22270</v>
      </c>
      <c r="R77" s="112">
        <v>22480</v>
      </c>
      <c r="S77" s="112">
        <v>23080</v>
      </c>
      <c r="T77" s="112">
        <v>23680</v>
      </c>
      <c r="U77" s="112">
        <v>24680</v>
      </c>
      <c r="V77" s="112">
        <v>25210</v>
      </c>
      <c r="W77" s="112">
        <v>25370</v>
      </c>
      <c r="X77" s="112">
        <v>26660</v>
      </c>
      <c r="Y77" s="112">
        <v>27070</v>
      </c>
      <c r="Z77" s="112">
        <v>27920</v>
      </c>
      <c r="AA77" s="112">
        <v>28500</v>
      </c>
      <c r="AB77" s="112">
        <v>28420</v>
      </c>
      <c r="AC77" s="112">
        <v>28190</v>
      </c>
      <c r="AD77" s="112">
        <v>27210</v>
      </c>
      <c r="AE77" s="112">
        <v>26900</v>
      </c>
      <c r="AF77" s="112">
        <v>26730</v>
      </c>
      <c r="AG77" s="112">
        <v>26990</v>
      </c>
      <c r="AH77" s="112">
        <v>27430</v>
      </c>
      <c r="AI77" s="112">
        <v>27270</v>
      </c>
      <c r="AJ77" s="112">
        <v>27850</v>
      </c>
      <c r="AK77" s="112">
        <v>27620</v>
      </c>
      <c r="AL77" s="112">
        <v>26570</v>
      </c>
      <c r="AM77" s="112">
        <v>25720</v>
      </c>
      <c r="AN77" s="112">
        <v>25080</v>
      </c>
      <c r="AO77" s="112">
        <v>24500</v>
      </c>
      <c r="AP77" s="112">
        <v>24500</v>
      </c>
      <c r="AQ77" s="112">
        <v>24290</v>
      </c>
      <c r="AR77" s="112">
        <v>25050</v>
      </c>
      <c r="AS77" s="112">
        <v>25800</v>
      </c>
      <c r="AT77" s="112">
        <v>26550</v>
      </c>
      <c r="AU77" s="112">
        <v>27280</v>
      </c>
    </row>
    <row r="78" spans="1:47" x14ac:dyDescent="0.2">
      <c r="A78" s="114" t="s">
        <v>79</v>
      </c>
      <c r="B78" s="8"/>
      <c r="C78" s="112">
        <v>13200</v>
      </c>
      <c r="D78" s="112">
        <v>13790</v>
      </c>
      <c r="E78" s="112">
        <v>14070</v>
      </c>
      <c r="F78" s="112">
        <v>15600</v>
      </c>
      <c r="G78" s="112">
        <v>16740</v>
      </c>
      <c r="H78" s="112">
        <v>16830</v>
      </c>
      <c r="I78" s="112">
        <v>15180</v>
      </c>
      <c r="J78" s="112">
        <v>17020</v>
      </c>
      <c r="K78" s="112">
        <v>17590</v>
      </c>
      <c r="L78" s="112">
        <v>18410</v>
      </c>
      <c r="M78" s="112">
        <v>21780</v>
      </c>
      <c r="N78" s="112">
        <v>21560</v>
      </c>
      <c r="O78" s="112">
        <v>21420</v>
      </c>
      <c r="P78" s="112">
        <v>21640</v>
      </c>
      <c r="Q78" s="112">
        <v>21540</v>
      </c>
      <c r="R78" s="112">
        <v>21990</v>
      </c>
      <c r="S78" s="112">
        <v>22200</v>
      </c>
      <c r="T78" s="112">
        <v>22800</v>
      </c>
      <c r="U78" s="112">
        <v>23390</v>
      </c>
      <c r="V78" s="112">
        <v>24390</v>
      </c>
      <c r="W78" s="112">
        <v>24920</v>
      </c>
      <c r="X78" s="112">
        <v>25080</v>
      </c>
      <c r="Y78" s="112">
        <v>26350</v>
      </c>
      <c r="Z78" s="112">
        <v>26760</v>
      </c>
      <c r="AA78" s="112">
        <v>27600</v>
      </c>
      <c r="AB78" s="112">
        <v>28180</v>
      </c>
      <c r="AC78" s="112">
        <v>28100</v>
      </c>
      <c r="AD78" s="112">
        <v>27880</v>
      </c>
      <c r="AE78" s="112">
        <v>26920</v>
      </c>
      <c r="AF78" s="112">
        <v>26620</v>
      </c>
      <c r="AG78" s="112">
        <v>26450</v>
      </c>
      <c r="AH78" s="112">
        <v>26710</v>
      </c>
      <c r="AI78" s="112">
        <v>27150</v>
      </c>
      <c r="AJ78" s="112">
        <v>26990</v>
      </c>
      <c r="AK78" s="112">
        <v>27570</v>
      </c>
      <c r="AL78" s="112">
        <v>27340</v>
      </c>
      <c r="AM78" s="112">
        <v>26310</v>
      </c>
      <c r="AN78" s="112">
        <v>25470</v>
      </c>
      <c r="AO78" s="112">
        <v>24840</v>
      </c>
      <c r="AP78" s="112">
        <v>24260</v>
      </c>
      <c r="AQ78" s="112">
        <v>24270</v>
      </c>
      <c r="AR78" s="112">
        <v>24060</v>
      </c>
      <c r="AS78" s="112">
        <v>24810</v>
      </c>
      <c r="AT78" s="112">
        <v>25560</v>
      </c>
      <c r="AU78" s="112">
        <v>26300</v>
      </c>
    </row>
    <row r="79" spans="1:47" x14ac:dyDescent="0.2">
      <c r="A79" s="114" t="s">
        <v>80</v>
      </c>
      <c r="B79" s="8"/>
      <c r="C79" s="112">
        <v>12400</v>
      </c>
      <c r="D79" s="112">
        <v>12950</v>
      </c>
      <c r="E79" s="112">
        <v>13570</v>
      </c>
      <c r="F79" s="112">
        <v>13820</v>
      </c>
      <c r="G79" s="112">
        <v>15330</v>
      </c>
      <c r="H79" s="112">
        <v>16450</v>
      </c>
      <c r="I79" s="112">
        <v>16550</v>
      </c>
      <c r="J79" s="112">
        <v>14940</v>
      </c>
      <c r="K79" s="112">
        <v>16750</v>
      </c>
      <c r="L79" s="112">
        <v>17310</v>
      </c>
      <c r="M79" s="112">
        <v>18120</v>
      </c>
      <c r="N79" s="112">
        <v>21440</v>
      </c>
      <c r="O79" s="112">
        <v>21240</v>
      </c>
      <c r="P79" s="112">
        <v>21100</v>
      </c>
      <c r="Q79" s="112">
        <v>21330</v>
      </c>
      <c r="R79" s="112">
        <v>21240</v>
      </c>
      <c r="S79" s="112">
        <v>21680</v>
      </c>
      <c r="T79" s="112">
        <v>21900</v>
      </c>
      <c r="U79" s="112">
        <v>22490</v>
      </c>
      <c r="V79" s="112">
        <v>23080</v>
      </c>
      <c r="W79" s="112">
        <v>24060</v>
      </c>
      <c r="X79" s="112">
        <v>24590</v>
      </c>
      <c r="Y79" s="112">
        <v>24750</v>
      </c>
      <c r="Z79" s="112">
        <v>26010</v>
      </c>
      <c r="AA79" s="112">
        <v>26420</v>
      </c>
      <c r="AB79" s="112">
        <v>27260</v>
      </c>
      <c r="AC79" s="112">
        <v>27840</v>
      </c>
      <c r="AD79" s="112">
        <v>27760</v>
      </c>
      <c r="AE79" s="112">
        <v>27550</v>
      </c>
      <c r="AF79" s="112">
        <v>26590</v>
      </c>
      <c r="AG79" s="112">
        <v>26310</v>
      </c>
      <c r="AH79" s="112">
        <v>26140</v>
      </c>
      <c r="AI79" s="112">
        <v>26400</v>
      </c>
      <c r="AJ79" s="112">
        <v>26840</v>
      </c>
      <c r="AK79" s="112">
        <v>26690</v>
      </c>
      <c r="AL79" s="112">
        <v>27260</v>
      </c>
      <c r="AM79" s="112">
        <v>27040</v>
      </c>
      <c r="AN79" s="112">
        <v>26020</v>
      </c>
      <c r="AO79" s="112">
        <v>25190</v>
      </c>
      <c r="AP79" s="112">
        <v>24570</v>
      </c>
      <c r="AQ79" s="112">
        <v>24000</v>
      </c>
      <c r="AR79" s="112">
        <v>24010</v>
      </c>
      <c r="AS79" s="112">
        <v>23810</v>
      </c>
      <c r="AT79" s="112">
        <v>24550</v>
      </c>
      <c r="AU79" s="112">
        <v>25290</v>
      </c>
    </row>
    <row r="80" spans="1:47" x14ac:dyDescent="0.2">
      <c r="A80" s="114" t="s">
        <v>81</v>
      </c>
      <c r="B80" s="8"/>
      <c r="C80" s="112">
        <v>11940</v>
      </c>
      <c r="D80" s="112">
        <v>12130</v>
      </c>
      <c r="E80" s="112">
        <v>12680</v>
      </c>
      <c r="F80" s="112">
        <v>13260</v>
      </c>
      <c r="G80" s="112">
        <v>13560</v>
      </c>
      <c r="H80" s="112">
        <v>15040</v>
      </c>
      <c r="I80" s="112">
        <v>16150</v>
      </c>
      <c r="J80" s="112">
        <v>16250</v>
      </c>
      <c r="K80" s="112">
        <v>14670</v>
      </c>
      <c r="L80" s="112">
        <v>16450</v>
      </c>
      <c r="M80" s="112">
        <v>17010</v>
      </c>
      <c r="N80" s="112">
        <v>17820</v>
      </c>
      <c r="O80" s="112">
        <v>21080</v>
      </c>
      <c r="P80" s="112">
        <v>20890</v>
      </c>
      <c r="Q80" s="112">
        <v>20760</v>
      </c>
      <c r="R80" s="112">
        <v>20980</v>
      </c>
      <c r="S80" s="112">
        <v>20900</v>
      </c>
      <c r="T80" s="112">
        <v>21340</v>
      </c>
      <c r="U80" s="112">
        <v>21560</v>
      </c>
      <c r="V80" s="112">
        <v>22150</v>
      </c>
      <c r="W80" s="112">
        <v>22730</v>
      </c>
      <c r="X80" s="112">
        <v>23710</v>
      </c>
      <c r="Y80" s="112">
        <v>24230</v>
      </c>
      <c r="Z80" s="112">
        <v>24400</v>
      </c>
      <c r="AA80" s="112">
        <v>25640</v>
      </c>
      <c r="AB80" s="112">
        <v>26050</v>
      </c>
      <c r="AC80" s="112">
        <v>26880</v>
      </c>
      <c r="AD80" s="112">
        <v>27450</v>
      </c>
      <c r="AE80" s="112">
        <v>27380</v>
      </c>
      <c r="AF80" s="112">
        <v>27180</v>
      </c>
      <c r="AG80" s="112">
        <v>26240</v>
      </c>
      <c r="AH80" s="112">
        <v>25960</v>
      </c>
      <c r="AI80" s="112">
        <v>25800</v>
      </c>
      <c r="AJ80" s="112">
        <v>26060</v>
      </c>
      <c r="AK80" s="112">
        <v>26500</v>
      </c>
      <c r="AL80" s="112">
        <v>26350</v>
      </c>
      <c r="AM80" s="112">
        <v>26920</v>
      </c>
      <c r="AN80" s="112">
        <v>26700</v>
      </c>
      <c r="AO80" s="112">
        <v>25700</v>
      </c>
      <c r="AP80" s="112">
        <v>24880</v>
      </c>
      <c r="AQ80" s="112">
        <v>24270</v>
      </c>
      <c r="AR80" s="112">
        <v>23720</v>
      </c>
      <c r="AS80" s="112">
        <v>23730</v>
      </c>
      <c r="AT80" s="112">
        <v>23530</v>
      </c>
      <c r="AU80" s="112">
        <v>24260</v>
      </c>
    </row>
    <row r="81" spans="1:47" x14ac:dyDescent="0.2">
      <c r="A81" s="114" t="s">
        <v>82</v>
      </c>
      <c r="B81" s="8"/>
      <c r="C81" s="112">
        <v>11370</v>
      </c>
      <c r="D81" s="112">
        <v>11680</v>
      </c>
      <c r="E81" s="112">
        <v>11880</v>
      </c>
      <c r="F81" s="112">
        <v>12430</v>
      </c>
      <c r="G81" s="112">
        <v>12970</v>
      </c>
      <c r="H81" s="112">
        <v>13270</v>
      </c>
      <c r="I81" s="112">
        <v>14730</v>
      </c>
      <c r="J81" s="112">
        <v>15820</v>
      </c>
      <c r="K81" s="112">
        <v>15920</v>
      </c>
      <c r="L81" s="112">
        <v>14390</v>
      </c>
      <c r="M81" s="112">
        <v>16140</v>
      </c>
      <c r="N81" s="112">
        <v>16690</v>
      </c>
      <c r="O81" s="112">
        <v>17480</v>
      </c>
      <c r="P81" s="112">
        <v>20690</v>
      </c>
      <c r="Q81" s="112">
        <v>20500</v>
      </c>
      <c r="R81" s="112">
        <v>20390</v>
      </c>
      <c r="S81" s="112">
        <v>20610</v>
      </c>
      <c r="T81" s="112">
        <v>20540</v>
      </c>
      <c r="U81" s="112">
        <v>20980</v>
      </c>
      <c r="V81" s="112">
        <v>21200</v>
      </c>
      <c r="W81" s="112">
        <v>21780</v>
      </c>
      <c r="X81" s="112">
        <v>22360</v>
      </c>
      <c r="Y81" s="112">
        <v>23320</v>
      </c>
      <c r="Z81" s="112">
        <v>23840</v>
      </c>
      <c r="AA81" s="112">
        <v>24010</v>
      </c>
      <c r="AB81" s="112">
        <v>25240</v>
      </c>
      <c r="AC81" s="112">
        <v>25640</v>
      </c>
      <c r="AD81" s="112">
        <v>26460</v>
      </c>
      <c r="AE81" s="112">
        <v>27030</v>
      </c>
      <c r="AF81" s="112">
        <v>26970</v>
      </c>
      <c r="AG81" s="112">
        <v>26770</v>
      </c>
      <c r="AH81" s="112">
        <v>25860</v>
      </c>
      <c r="AI81" s="112">
        <v>25580</v>
      </c>
      <c r="AJ81" s="112">
        <v>25430</v>
      </c>
      <c r="AK81" s="112">
        <v>25690</v>
      </c>
      <c r="AL81" s="112">
        <v>26120</v>
      </c>
      <c r="AM81" s="112">
        <v>25980</v>
      </c>
      <c r="AN81" s="112">
        <v>26540</v>
      </c>
      <c r="AO81" s="112">
        <v>26330</v>
      </c>
      <c r="AP81" s="112">
        <v>25350</v>
      </c>
      <c r="AQ81" s="112">
        <v>24550</v>
      </c>
      <c r="AR81" s="112">
        <v>23940</v>
      </c>
      <c r="AS81" s="112">
        <v>23400</v>
      </c>
      <c r="AT81" s="112">
        <v>23410</v>
      </c>
      <c r="AU81" s="112">
        <v>23220</v>
      </c>
    </row>
    <row r="82" spans="1:47" x14ac:dyDescent="0.2">
      <c r="A82" s="114" t="s">
        <v>83</v>
      </c>
      <c r="B82" s="8"/>
      <c r="C82" s="112">
        <v>10890</v>
      </c>
      <c r="D82" s="112">
        <v>11050</v>
      </c>
      <c r="E82" s="112">
        <v>11410</v>
      </c>
      <c r="F82" s="112">
        <v>11580</v>
      </c>
      <c r="G82" s="112">
        <v>12130</v>
      </c>
      <c r="H82" s="112">
        <v>12670</v>
      </c>
      <c r="I82" s="112">
        <v>12960</v>
      </c>
      <c r="J82" s="112">
        <v>14390</v>
      </c>
      <c r="K82" s="112">
        <v>15460</v>
      </c>
      <c r="L82" s="112">
        <v>15570</v>
      </c>
      <c r="M82" s="112">
        <v>14070</v>
      </c>
      <c r="N82" s="112">
        <v>15790</v>
      </c>
      <c r="O82" s="112">
        <v>16340</v>
      </c>
      <c r="P82" s="112">
        <v>17120</v>
      </c>
      <c r="Q82" s="112">
        <v>20260</v>
      </c>
      <c r="R82" s="112">
        <v>20090</v>
      </c>
      <c r="S82" s="112">
        <v>19980</v>
      </c>
      <c r="T82" s="112">
        <v>20210</v>
      </c>
      <c r="U82" s="112">
        <v>20140</v>
      </c>
      <c r="V82" s="112">
        <v>20580</v>
      </c>
      <c r="W82" s="112">
        <v>20800</v>
      </c>
      <c r="X82" s="112">
        <v>21380</v>
      </c>
      <c r="Y82" s="112">
        <v>21950</v>
      </c>
      <c r="Z82" s="112">
        <v>22900</v>
      </c>
      <c r="AA82" s="112">
        <v>23420</v>
      </c>
      <c r="AB82" s="112">
        <v>23590</v>
      </c>
      <c r="AC82" s="112">
        <v>24800</v>
      </c>
      <c r="AD82" s="112">
        <v>25200</v>
      </c>
      <c r="AE82" s="112">
        <v>26010</v>
      </c>
      <c r="AF82" s="112">
        <v>26580</v>
      </c>
      <c r="AG82" s="112">
        <v>26520</v>
      </c>
      <c r="AH82" s="112">
        <v>26330</v>
      </c>
      <c r="AI82" s="112">
        <v>25430</v>
      </c>
      <c r="AJ82" s="112">
        <v>25170</v>
      </c>
      <c r="AK82" s="112">
        <v>25020</v>
      </c>
      <c r="AL82" s="112">
        <v>25280</v>
      </c>
      <c r="AM82" s="112">
        <v>25710</v>
      </c>
      <c r="AN82" s="112">
        <v>25570</v>
      </c>
      <c r="AO82" s="112">
        <v>26130</v>
      </c>
      <c r="AP82" s="112">
        <v>25930</v>
      </c>
      <c r="AQ82" s="112">
        <v>24960</v>
      </c>
      <c r="AR82" s="112">
        <v>24170</v>
      </c>
      <c r="AS82" s="112">
        <v>23580</v>
      </c>
      <c r="AT82" s="112">
        <v>23050</v>
      </c>
      <c r="AU82" s="112">
        <v>23060</v>
      </c>
    </row>
    <row r="83" spans="1:47" x14ac:dyDescent="0.2">
      <c r="A83" s="114" t="s">
        <v>84</v>
      </c>
      <c r="B83" s="8"/>
      <c r="C83" s="112">
        <v>10790</v>
      </c>
      <c r="D83" s="112">
        <v>10560</v>
      </c>
      <c r="E83" s="112">
        <v>10750</v>
      </c>
      <c r="F83" s="112">
        <v>11060</v>
      </c>
      <c r="G83" s="112">
        <v>11270</v>
      </c>
      <c r="H83" s="112">
        <v>11810</v>
      </c>
      <c r="I83" s="112">
        <v>12340</v>
      </c>
      <c r="J83" s="112">
        <v>12630</v>
      </c>
      <c r="K83" s="112">
        <v>14030</v>
      </c>
      <c r="L83" s="112">
        <v>15080</v>
      </c>
      <c r="M83" s="112">
        <v>15190</v>
      </c>
      <c r="N83" s="112">
        <v>13740</v>
      </c>
      <c r="O83" s="112">
        <v>15420</v>
      </c>
      <c r="P83" s="112">
        <v>15960</v>
      </c>
      <c r="Q83" s="112">
        <v>16730</v>
      </c>
      <c r="R83" s="112">
        <v>19800</v>
      </c>
      <c r="S83" s="112">
        <v>19640</v>
      </c>
      <c r="T83" s="112">
        <v>19540</v>
      </c>
      <c r="U83" s="112">
        <v>19770</v>
      </c>
      <c r="V83" s="112">
        <v>19720</v>
      </c>
      <c r="W83" s="112">
        <v>20150</v>
      </c>
      <c r="X83" s="112">
        <v>20370</v>
      </c>
      <c r="Y83" s="112">
        <v>20940</v>
      </c>
      <c r="Z83" s="112">
        <v>21510</v>
      </c>
      <c r="AA83" s="112">
        <v>22450</v>
      </c>
      <c r="AB83" s="112">
        <v>22960</v>
      </c>
      <c r="AC83" s="112">
        <v>23130</v>
      </c>
      <c r="AD83" s="112">
        <v>24320</v>
      </c>
      <c r="AE83" s="112">
        <v>24720</v>
      </c>
      <c r="AF83" s="112">
        <v>25520</v>
      </c>
      <c r="AG83" s="112">
        <v>26080</v>
      </c>
      <c r="AH83" s="112">
        <v>26030</v>
      </c>
      <c r="AI83" s="112">
        <v>25850</v>
      </c>
      <c r="AJ83" s="112">
        <v>24970</v>
      </c>
      <c r="AK83" s="112">
        <v>24720</v>
      </c>
      <c r="AL83" s="112">
        <v>24580</v>
      </c>
      <c r="AM83" s="112">
        <v>24830</v>
      </c>
      <c r="AN83" s="112">
        <v>25260</v>
      </c>
      <c r="AO83" s="112">
        <v>25130</v>
      </c>
      <c r="AP83" s="112">
        <v>25680</v>
      </c>
      <c r="AQ83" s="112">
        <v>25480</v>
      </c>
      <c r="AR83" s="112">
        <v>24530</v>
      </c>
      <c r="AS83" s="112">
        <v>23760</v>
      </c>
      <c r="AT83" s="112">
        <v>23180</v>
      </c>
      <c r="AU83" s="112">
        <v>22660</v>
      </c>
    </row>
    <row r="84" spans="1:47" x14ac:dyDescent="0.2">
      <c r="A84" s="114" t="s">
        <v>85</v>
      </c>
      <c r="B84" s="8"/>
      <c r="C84" s="112">
        <v>10770</v>
      </c>
      <c r="D84" s="112">
        <v>10470</v>
      </c>
      <c r="E84" s="112">
        <v>10240</v>
      </c>
      <c r="F84" s="112">
        <v>10440</v>
      </c>
      <c r="G84" s="112">
        <v>10720</v>
      </c>
      <c r="H84" s="112">
        <v>10940</v>
      </c>
      <c r="I84" s="112">
        <v>11460</v>
      </c>
      <c r="J84" s="112">
        <v>11980</v>
      </c>
      <c r="K84" s="112">
        <v>12270</v>
      </c>
      <c r="L84" s="112">
        <v>13640</v>
      </c>
      <c r="M84" s="112">
        <v>14660</v>
      </c>
      <c r="N84" s="112">
        <v>14780</v>
      </c>
      <c r="O84" s="112">
        <v>13380</v>
      </c>
      <c r="P84" s="112">
        <v>15020</v>
      </c>
      <c r="Q84" s="112">
        <v>15550</v>
      </c>
      <c r="R84" s="112">
        <v>16310</v>
      </c>
      <c r="S84" s="112">
        <v>19310</v>
      </c>
      <c r="T84" s="112">
        <v>19160</v>
      </c>
      <c r="U84" s="112">
        <v>19070</v>
      </c>
      <c r="V84" s="112">
        <v>19300</v>
      </c>
      <c r="W84" s="112">
        <v>19250</v>
      </c>
      <c r="X84" s="112">
        <v>19680</v>
      </c>
      <c r="Y84" s="112">
        <v>19910</v>
      </c>
      <c r="Z84" s="112">
        <v>20470</v>
      </c>
      <c r="AA84" s="112">
        <v>21030</v>
      </c>
      <c r="AB84" s="112">
        <v>21950</v>
      </c>
      <c r="AC84" s="112">
        <v>22460</v>
      </c>
      <c r="AD84" s="112">
        <v>22630</v>
      </c>
      <c r="AE84" s="112">
        <v>23800</v>
      </c>
      <c r="AF84" s="112">
        <v>24200</v>
      </c>
      <c r="AG84" s="112">
        <v>24990</v>
      </c>
      <c r="AH84" s="112">
        <v>25540</v>
      </c>
      <c r="AI84" s="112">
        <v>25490</v>
      </c>
      <c r="AJ84" s="112">
        <v>25320</v>
      </c>
      <c r="AK84" s="112">
        <v>24470</v>
      </c>
      <c r="AL84" s="112">
        <v>24220</v>
      </c>
      <c r="AM84" s="112">
        <v>24090</v>
      </c>
      <c r="AN84" s="112">
        <v>24350</v>
      </c>
      <c r="AO84" s="112">
        <v>24760</v>
      </c>
      <c r="AP84" s="112">
        <v>24640</v>
      </c>
      <c r="AQ84" s="112">
        <v>25180</v>
      </c>
      <c r="AR84" s="112">
        <v>24990</v>
      </c>
      <c r="AS84" s="112">
        <v>24070</v>
      </c>
      <c r="AT84" s="112">
        <v>23310</v>
      </c>
      <c r="AU84" s="112">
        <v>22750</v>
      </c>
    </row>
    <row r="85" spans="1:47" x14ac:dyDescent="0.2">
      <c r="A85" s="114" t="s">
        <v>86</v>
      </c>
      <c r="B85" s="8"/>
      <c r="C85" s="112">
        <v>10040</v>
      </c>
      <c r="D85" s="112">
        <v>10400</v>
      </c>
      <c r="E85" s="112">
        <v>10120</v>
      </c>
      <c r="F85" s="112">
        <v>9890</v>
      </c>
      <c r="G85" s="112">
        <v>10080</v>
      </c>
      <c r="H85" s="112">
        <v>10370</v>
      </c>
      <c r="I85" s="112">
        <v>10580</v>
      </c>
      <c r="J85" s="112">
        <v>11090</v>
      </c>
      <c r="K85" s="112">
        <v>11600</v>
      </c>
      <c r="L85" s="112">
        <v>11890</v>
      </c>
      <c r="M85" s="112">
        <v>13220</v>
      </c>
      <c r="N85" s="112">
        <v>14220</v>
      </c>
      <c r="O85" s="112">
        <v>14350</v>
      </c>
      <c r="P85" s="112">
        <v>12990</v>
      </c>
      <c r="Q85" s="112">
        <v>14590</v>
      </c>
      <c r="R85" s="112">
        <v>15120</v>
      </c>
      <c r="S85" s="112">
        <v>15860</v>
      </c>
      <c r="T85" s="112">
        <v>18780</v>
      </c>
      <c r="U85" s="112">
        <v>18650</v>
      </c>
      <c r="V85" s="112">
        <v>18560</v>
      </c>
      <c r="W85" s="112">
        <v>18800</v>
      </c>
      <c r="X85" s="112">
        <v>18760</v>
      </c>
      <c r="Y85" s="112">
        <v>19180</v>
      </c>
      <c r="Z85" s="112">
        <v>19410</v>
      </c>
      <c r="AA85" s="112">
        <v>19960</v>
      </c>
      <c r="AB85" s="112">
        <v>20510</v>
      </c>
      <c r="AC85" s="112">
        <v>21420</v>
      </c>
      <c r="AD85" s="112">
        <v>21910</v>
      </c>
      <c r="AE85" s="112">
        <v>22090</v>
      </c>
      <c r="AF85" s="112">
        <v>23240</v>
      </c>
      <c r="AG85" s="112">
        <v>23630</v>
      </c>
      <c r="AH85" s="112">
        <v>24410</v>
      </c>
      <c r="AI85" s="112">
        <v>24950</v>
      </c>
      <c r="AJ85" s="112">
        <v>24910</v>
      </c>
      <c r="AK85" s="112">
        <v>24750</v>
      </c>
      <c r="AL85" s="112">
        <v>23920</v>
      </c>
      <c r="AM85" s="112">
        <v>23690</v>
      </c>
      <c r="AN85" s="112">
        <v>23560</v>
      </c>
      <c r="AO85" s="112">
        <v>23810</v>
      </c>
      <c r="AP85" s="112">
        <v>24230</v>
      </c>
      <c r="AQ85" s="112">
        <v>24110</v>
      </c>
      <c r="AR85" s="112">
        <v>24640</v>
      </c>
      <c r="AS85" s="112">
        <v>24460</v>
      </c>
      <c r="AT85" s="112">
        <v>23560</v>
      </c>
      <c r="AU85" s="112">
        <v>22820</v>
      </c>
    </row>
    <row r="86" spans="1:47" x14ac:dyDescent="0.2">
      <c r="A86" s="114" t="s">
        <v>87</v>
      </c>
      <c r="B86" s="8"/>
      <c r="C86" s="112">
        <v>9480</v>
      </c>
      <c r="D86" s="112">
        <v>9630</v>
      </c>
      <c r="E86" s="112">
        <v>10000</v>
      </c>
      <c r="F86" s="112">
        <v>9680</v>
      </c>
      <c r="G86" s="112">
        <v>9510</v>
      </c>
      <c r="H86" s="112">
        <v>9710</v>
      </c>
      <c r="I86" s="112">
        <v>9990</v>
      </c>
      <c r="J86" s="112">
        <v>10200</v>
      </c>
      <c r="K86" s="112">
        <v>10700</v>
      </c>
      <c r="L86" s="112">
        <v>11200</v>
      </c>
      <c r="M86" s="112">
        <v>11490</v>
      </c>
      <c r="N86" s="112">
        <v>12780</v>
      </c>
      <c r="O86" s="112">
        <v>13760</v>
      </c>
      <c r="P86" s="112">
        <v>13880</v>
      </c>
      <c r="Q86" s="112">
        <v>12580</v>
      </c>
      <c r="R86" s="112">
        <v>14130</v>
      </c>
      <c r="S86" s="112">
        <v>14650</v>
      </c>
      <c r="T86" s="112">
        <v>15380</v>
      </c>
      <c r="U86" s="112">
        <v>18220</v>
      </c>
      <c r="V86" s="112">
        <v>18090</v>
      </c>
      <c r="W86" s="112">
        <v>18020</v>
      </c>
      <c r="X86" s="112">
        <v>18260</v>
      </c>
      <c r="Y86" s="112">
        <v>18220</v>
      </c>
      <c r="Z86" s="112">
        <v>18640</v>
      </c>
      <c r="AA86" s="112">
        <v>18870</v>
      </c>
      <c r="AB86" s="112">
        <v>19410</v>
      </c>
      <c r="AC86" s="112">
        <v>19960</v>
      </c>
      <c r="AD86" s="112">
        <v>20840</v>
      </c>
      <c r="AE86" s="112">
        <v>21330</v>
      </c>
      <c r="AF86" s="112">
        <v>21510</v>
      </c>
      <c r="AG86" s="112">
        <v>22630</v>
      </c>
      <c r="AH86" s="112">
        <v>23020</v>
      </c>
      <c r="AI86" s="112">
        <v>23790</v>
      </c>
      <c r="AJ86" s="112">
        <v>24320</v>
      </c>
      <c r="AK86" s="112">
        <v>24290</v>
      </c>
      <c r="AL86" s="112">
        <v>24130</v>
      </c>
      <c r="AM86" s="112">
        <v>23330</v>
      </c>
      <c r="AN86" s="112">
        <v>23110</v>
      </c>
      <c r="AO86" s="112">
        <v>22990</v>
      </c>
      <c r="AP86" s="112">
        <v>23240</v>
      </c>
      <c r="AQ86" s="112">
        <v>23640</v>
      </c>
      <c r="AR86" s="112">
        <v>23530</v>
      </c>
      <c r="AS86" s="112">
        <v>24060</v>
      </c>
      <c r="AT86" s="112">
        <v>23880</v>
      </c>
      <c r="AU86" s="112">
        <v>23000</v>
      </c>
    </row>
    <row r="87" spans="1:47" x14ac:dyDescent="0.2">
      <c r="A87" s="114" t="s">
        <v>88</v>
      </c>
      <c r="B87" s="8"/>
      <c r="C87" s="112">
        <v>9060</v>
      </c>
      <c r="D87" s="112">
        <v>9070</v>
      </c>
      <c r="E87" s="112">
        <v>9190</v>
      </c>
      <c r="F87" s="112">
        <v>9540</v>
      </c>
      <c r="G87" s="112">
        <v>9270</v>
      </c>
      <c r="H87" s="112">
        <v>9120</v>
      </c>
      <c r="I87" s="112">
        <v>9310</v>
      </c>
      <c r="J87" s="112">
        <v>9590</v>
      </c>
      <c r="K87" s="112">
        <v>9800</v>
      </c>
      <c r="L87" s="112">
        <v>10290</v>
      </c>
      <c r="M87" s="112">
        <v>10780</v>
      </c>
      <c r="N87" s="112">
        <v>11070</v>
      </c>
      <c r="O87" s="112">
        <v>12320</v>
      </c>
      <c r="P87" s="112">
        <v>13260</v>
      </c>
      <c r="Q87" s="112">
        <v>13390</v>
      </c>
      <c r="R87" s="112">
        <v>12140</v>
      </c>
      <c r="S87" s="112">
        <v>13650</v>
      </c>
      <c r="T87" s="112">
        <v>14160</v>
      </c>
      <c r="U87" s="112">
        <v>14860</v>
      </c>
      <c r="V87" s="112">
        <v>17620</v>
      </c>
      <c r="W87" s="112">
        <v>17510</v>
      </c>
      <c r="X87" s="112">
        <v>17450</v>
      </c>
      <c r="Y87" s="112">
        <v>17680</v>
      </c>
      <c r="Z87" s="112">
        <v>17650</v>
      </c>
      <c r="AA87" s="112">
        <v>18070</v>
      </c>
      <c r="AB87" s="112">
        <v>18290</v>
      </c>
      <c r="AC87" s="112">
        <v>18830</v>
      </c>
      <c r="AD87" s="112">
        <v>19360</v>
      </c>
      <c r="AE87" s="112">
        <v>20230</v>
      </c>
      <c r="AF87" s="112">
        <v>20710</v>
      </c>
      <c r="AG87" s="112">
        <v>20890</v>
      </c>
      <c r="AH87" s="112">
        <v>21990</v>
      </c>
      <c r="AI87" s="112">
        <v>22370</v>
      </c>
      <c r="AJ87" s="112">
        <v>23120</v>
      </c>
      <c r="AK87" s="112">
        <v>23640</v>
      </c>
      <c r="AL87" s="112">
        <v>23620</v>
      </c>
      <c r="AM87" s="112">
        <v>23470</v>
      </c>
      <c r="AN87" s="112">
        <v>22700</v>
      </c>
      <c r="AO87" s="112">
        <v>22480</v>
      </c>
      <c r="AP87" s="112">
        <v>22370</v>
      </c>
      <c r="AQ87" s="112">
        <v>22620</v>
      </c>
      <c r="AR87" s="112">
        <v>23020</v>
      </c>
      <c r="AS87" s="112">
        <v>22910</v>
      </c>
      <c r="AT87" s="112">
        <v>23420</v>
      </c>
      <c r="AU87" s="112">
        <v>23260</v>
      </c>
    </row>
    <row r="88" spans="1:47" x14ac:dyDescent="0.2">
      <c r="A88" s="114" t="s">
        <v>89</v>
      </c>
      <c r="B88" s="8"/>
      <c r="C88" s="112">
        <v>8220</v>
      </c>
      <c r="D88" s="112">
        <v>8570</v>
      </c>
      <c r="E88" s="112">
        <v>8640</v>
      </c>
      <c r="F88" s="112">
        <v>8770</v>
      </c>
      <c r="G88" s="112">
        <v>9090</v>
      </c>
      <c r="H88" s="112">
        <v>8840</v>
      </c>
      <c r="I88" s="112">
        <v>8710</v>
      </c>
      <c r="J88" s="112">
        <v>8900</v>
      </c>
      <c r="K88" s="112">
        <v>9170</v>
      </c>
      <c r="L88" s="112">
        <v>9380</v>
      </c>
      <c r="M88" s="112">
        <v>9860</v>
      </c>
      <c r="N88" s="112">
        <v>10340</v>
      </c>
      <c r="O88" s="112">
        <v>10620</v>
      </c>
      <c r="P88" s="112">
        <v>11820</v>
      </c>
      <c r="Q88" s="112">
        <v>12740</v>
      </c>
      <c r="R88" s="112">
        <v>12870</v>
      </c>
      <c r="S88" s="112">
        <v>11680</v>
      </c>
      <c r="T88" s="112">
        <v>13140</v>
      </c>
      <c r="U88" s="112">
        <v>13630</v>
      </c>
      <c r="V88" s="112">
        <v>14320</v>
      </c>
      <c r="W88" s="112">
        <v>16980</v>
      </c>
      <c r="X88" s="112">
        <v>16880</v>
      </c>
      <c r="Y88" s="112">
        <v>16830</v>
      </c>
      <c r="Z88" s="112">
        <v>17070</v>
      </c>
      <c r="AA88" s="112">
        <v>17050</v>
      </c>
      <c r="AB88" s="112">
        <v>17460</v>
      </c>
      <c r="AC88" s="112">
        <v>17680</v>
      </c>
      <c r="AD88" s="112">
        <v>18200</v>
      </c>
      <c r="AE88" s="112">
        <v>18730</v>
      </c>
      <c r="AF88" s="112">
        <v>19570</v>
      </c>
      <c r="AG88" s="112">
        <v>20050</v>
      </c>
      <c r="AH88" s="112">
        <v>20230</v>
      </c>
      <c r="AI88" s="112">
        <v>21290</v>
      </c>
      <c r="AJ88" s="112">
        <v>21670</v>
      </c>
      <c r="AK88" s="112">
        <v>22400</v>
      </c>
      <c r="AL88" s="112">
        <v>22920</v>
      </c>
      <c r="AM88" s="112">
        <v>22900</v>
      </c>
      <c r="AN88" s="112">
        <v>22760</v>
      </c>
      <c r="AO88" s="112">
        <v>22010</v>
      </c>
      <c r="AP88" s="112">
        <v>21810</v>
      </c>
      <c r="AQ88" s="112">
        <v>21710</v>
      </c>
      <c r="AR88" s="112">
        <v>21950</v>
      </c>
      <c r="AS88" s="112">
        <v>22340</v>
      </c>
      <c r="AT88" s="112">
        <v>22240</v>
      </c>
      <c r="AU88" s="112">
        <v>22740</v>
      </c>
    </row>
    <row r="89" spans="1:47" x14ac:dyDescent="0.2">
      <c r="A89" s="114" t="s">
        <v>90</v>
      </c>
      <c r="B89" s="8"/>
      <c r="C89" s="112">
        <v>7520</v>
      </c>
      <c r="D89" s="112">
        <v>7770</v>
      </c>
      <c r="E89" s="112">
        <v>8050</v>
      </c>
      <c r="F89" s="112">
        <v>8150</v>
      </c>
      <c r="G89" s="112">
        <v>8310</v>
      </c>
      <c r="H89" s="112">
        <v>8630</v>
      </c>
      <c r="I89" s="112">
        <v>8400</v>
      </c>
      <c r="J89" s="112">
        <v>8280</v>
      </c>
      <c r="K89" s="112">
        <v>8470</v>
      </c>
      <c r="L89" s="112">
        <v>8740</v>
      </c>
      <c r="M89" s="112">
        <v>8950</v>
      </c>
      <c r="N89" s="112">
        <v>9410</v>
      </c>
      <c r="O89" s="112">
        <v>9870</v>
      </c>
      <c r="P89" s="112">
        <v>10140</v>
      </c>
      <c r="Q89" s="112">
        <v>11300</v>
      </c>
      <c r="R89" s="112">
        <v>12190</v>
      </c>
      <c r="S89" s="112">
        <v>12330</v>
      </c>
      <c r="T89" s="112">
        <v>11190</v>
      </c>
      <c r="U89" s="112">
        <v>12590</v>
      </c>
      <c r="V89" s="112">
        <v>13080</v>
      </c>
      <c r="W89" s="112">
        <v>13750</v>
      </c>
      <c r="X89" s="112">
        <v>16310</v>
      </c>
      <c r="Y89" s="112">
        <v>16220</v>
      </c>
      <c r="Z89" s="112">
        <v>16180</v>
      </c>
      <c r="AA89" s="112">
        <v>16410</v>
      </c>
      <c r="AB89" s="112">
        <v>16410</v>
      </c>
      <c r="AC89" s="112">
        <v>16800</v>
      </c>
      <c r="AD89" s="112">
        <v>17030</v>
      </c>
      <c r="AE89" s="112">
        <v>17540</v>
      </c>
      <c r="AF89" s="112">
        <v>18050</v>
      </c>
      <c r="AG89" s="112">
        <v>18870</v>
      </c>
      <c r="AH89" s="112">
        <v>19340</v>
      </c>
      <c r="AI89" s="112">
        <v>19520</v>
      </c>
      <c r="AJ89" s="112">
        <v>20550</v>
      </c>
      <c r="AK89" s="112">
        <v>20920</v>
      </c>
      <c r="AL89" s="112">
        <v>21630</v>
      </c>
      <c r="AM89" s="112">
        <v>22140</v>
      </c>
      <c r="AN89" s="112">
        <v>22120</v>
      </c>
      <c r="AO89" s="112">
        <v>22000</v>
      </c>
      <c r="AP89" s="112">
        <v>21280</v>
      </c>
      <c r="AQ89" s="112">
        <v>21090</v>
      </c>
      <c r="AR89" s="112">
        <v>20990</v>
      </c>
      <c r="AS89" s="112">
        <v>21230</v>
      </c>
      <c r="AT89" s="112">
        <v>21610</v>
      </c>
      <c r="AU89" s="112">
        <v>21520</v>
      </c>
    </row>
    <row r="90" spans="1:47" x14ac:dyDescent="0.2">
      <c r="A90" s="114" t="s">
        <v>91</v>
      </c>
      <c r="B90" s="8"/>
      <c r="C90" s="112">
        <v>6900</v>
      </c>
      <c r="D90" s="112">
        <v>7020</v>
      </c>
      <c r="E90" s="112">
        <v>7250</v>
      </c>
      <c r="F90" s="112">
        <v>7650</v>
      </c>
      <c r="G90" s="112">
        <v>7670</v>
      </c>
      <c r="H90" s="112">
        <v>7830</v>
      </c>
      <c r="I90" s="112">
        <v>8140</v>
      </c>
      <c r="J90" s="112">
        <v>7930</v>
      </c>
      <c r="K90" s="112">
        <v>7830</v>
      </c>
      <c r="L90" s="112">
        <v>8020</v>
      </c>
      <c r="M90" s="112">
        <v>8280</v>
      </c>
      <c r="N90" s="112">
        <v>8490</v>
      </c>
      <c r="O90" s="112">
        <v>8930</v>
      </c>
      <c r="P90" s="112">
        <v>9380</v>
      </c>
      <c r="Q90" s="112">
        <v>9650</v>
      </c>
      <c r="R90" s="112">
        <v>10760</v>
      </c>
      <c r="S90" s="112">
        <v>11610</v>
      </c>
      <c r="T90" s="112">
        <v>11750</v>
      </c>
      <c r="U90" s="112">
        <v>10680</v>
      </c>
      <c r="V90" s="112">
        <v>12020</v>
      </c>
      <c r="W90" s="112">
        <v>12490</v>
      </c>
      <c r="X90" s="112">
        <v>13140</v>
      </c>
      <c r="Y90" s="112">
        <v>15590</v>
      </c>
      <c r="Z90" s="112">
        <v>15520</v>
      </c>
      <c r="AA90" s="112">
        <v>15490</v>
      </c>
      <c r="AB90" s="112">
        <v>15720</v>
      </c>
      <c r="AC90" s="112">
        <v>15720</v>
      </c>
      <c r="AD90" s="112">
        <v>16110</v>
      </c>
      <c r="AE90" s="112">
        <v>16340</v>
      </c>
      <c r="AF90" s="112">
        <v>16830</v>
      </c>
      <c r="AG90" s="112">
        <v>17330</v>
      </c>
      <c r="AH90" s="112">
        <v>18130</v>
      </c>
      <c r="AI90" s="112">
        <v>18580</v>
      </c>
      <c r="AJ90" s="112">
        <v>18760</v>
      </c>
      <c r="AK90" s="112">
        <v>19760</v>
      </c>
      <c r="AL90" s="112">
        <v>20120</v>
      </c>
      <c r="AM90" s="112">
        <v>20810</v>
      </c>
      <c r="AN90" s="112">
        <v>21300</v>
      </c>
      <c r="AO90" s="112">
        <v>21300</v>
      </c>
      <c r="AP90" s="112">
        <v>21180</v>
      </c>
      <c r="AQ90" s="112">
        <v>20500</v>
      </c>
      <c r="AR90" s="112">
        <v>20320</v>
      </c>
      <c r="AS90" s="112">
        <v>20230</v>
      </c>
      <c r="AT90" s="112">
        <v>20460</v>
      </c>
      <c r="AU90" s="112">
        <v>20830</v>
      </c>
    </row>
    <row r="91" spans="1:47" x14ac:dyDescent="0.2">
      <c r="A91" s="114" t="s">
        <v>92</v>
      </c>
      <c r="B91" s="8"/>
      <c r="C91" s="112">
        <v>5900</v>
      </c>
      <c r="D91" s="112">
        <v>6440</v>
      </c>
      <c r="E91" s="112">
        <v>6520</v>
      </c>
      <c r="F91" s="112">
        <v>6800</v>
      </c>
      <c r="G91" s="112">
        <v>7150</v>
      </c>
      <c r="H91" s="112">
        <v>7180</v>
      </c>
      <c r="I91" s="112">
        <v>7340</v>
      </c>
      <c r="J91" s="112">
        <v>7640</v>
      </c>
      <c r="K91" s="112">
        <v>7450</v>
      </c>
      <c r="L91" s="112">
        <v>7360</v>
      </c>
      <c r="M91" s="112">
        <v>7550</v>
      </c>
      <c r="N91" s="112">
        <v>7810</v>
      </c>
      <c r="O91" s="112">
        <v>8010</v>
      </c>
      <c r="P91" s="112">
        <v>8440</v>
      </c>
      <c r="Q91" s="112">
        <v>8870</v>
      </c>
      <c r="R91" s="112">
        <v>9130</v>
      </c>
      <c r="S91" s="112">
        <v>10190</v>
      </c>
      <c r="T91" s="112">
        <v>11000</v>
      </c>
      <c r="U91" s="112">
        <v>11150</v>
      </c>
      <c r="V91" s="112">
        <v>10140</v>
      </c>
      <c r="W91" s="112">
        <v>11420</v>
      </c>
      <c r="X91" s="112">
        <v>11870</v>
      </c>
      <c r="Y91" s="112">
        <v>12500</v>
      </c>
      <c r="Z91" s="112">
        <v>14840</v>
      </c>
      <c r="AA91" s="112">
        <v>14780</v>
      </c>
      <c r="AB91" s="112">
        <v>14760</v>
      </c>
      <c r="AC91" s="112">
        <v>14990</v>
      </c>
      <c r="AD91" s="112">
        <v>15000</v>
      </c>
      <c r="AE91" s="112">
        <v>15380</v>
      </c>
      <c r="AF91" s="112">
        <v>15600</v>
      </c>
      <c r="AG91" s="112">
        <v>16080</v>
      </c>
      <c r="AH91" s="112">
        <v>16570</v>
      </c>
      <c r="AI91" s="112">
        <v>17340</v>
      </c>
      <c r="AJ91" s="112">
        <v>17770</v>
      </c>
      <c r="AK91" s="112">
        <v>17950</v>
      </c>
      <c r="AL91" s="112">
        <v>18920</v>
      </c>
      <c r="AM91" s="112">
        <v>19270</v>
      </c>
      <c r="AN91" s="112">
        <v>19940</v>
      </c>
      <c r="AO91" s="112">
        <v>20420</v>
      </c>
      <c r="AP91" s="112">
        <v>20410</v>
      </c>
      <c r="AQ91" s="112">
        <v>20310</v>
      </c>
      <c r="AR91" s="112">
        <v>19660</v>
      </c>
      <c r="AS91" s="112">
        <v>19490</v>
      </c>
      <c r="AT91" s="112">
        <v>19410</v>
      </c>
      <c r="AU91" s="112">
        <v>19640</v>
      </c>
    </row>
    <row r="92" spans="1:47" x14ac:dyDescent="0.2">
      <c r="A92" s="114" t="s">
        <v>93</v>
      </c>
      <c r="B92" s="8"/>
      <c r="C92" s="112">
        <v>5210</v>
      </c>
      <c r="D92" s="112">
        <v>5470</v>
      </c>
      <c r="E92" s="112">
        <v>5890</v>
      </c>
      <c r="F92" s="112">
        <v>6090</v>
      </c>
      <c r="G92" s="112">
        <v>6310</v>
      </c>
      <c r="H92" s="112">
        <v>6640</v>
      </c>
      <c r="I92" s="112">
        <v>6670</v>
      </c>
      <c r="J92" s="112">
        <v>6830</v>
      </c>
      <c r="K92" s="112">
        <v>7120</v>
      </c>
      <c r="L92" s="112">
        <v>6960</v>
      </c>
      <c r="M92" s="112">
        <v>6880</v>
      </c>
      <c r="N92" s="112">
        <v>7070</v>
      </c>
      <c r="O92" s="112">
        <v>7310</v>
      </c>
      <c r="P92" s="112">
        <v>7510</v>
      </c>
      <c r="Q92" s="112">
        <v>7920</v>
      </c>
      <c r="R92" s="112">
        <v>8330</v>
      </c>
      <c r="S92" s="112">
        <v>8590</v>
      </c>
      <c r="T92" s="112">
        <v>9600</v>
      </c>
      <c r="U92" s="112">
        <v>10370</v>
      </c>
      <c r="V92" s="112">
        <v>10510</v>
      </c>
      <c r="W92" s="112">
        <v>9570</v>
      </c>
      <c r="X92" s="112">
        <v>10790</v>
      </c>
      <c r="Y92" s="112">
        <v>11230</v>
      </c>
      <c r="Z92" s="112">
        <v>11830</v>
      </c>
      <c r="AA92" s="112">
        <v>14050</v>
      </c>
      <c r="AB92" s="112">
        <v>14010</v>
      </c>
      <c r="AC92" s="112">
        <v>14000</v>
      </c>
      <c r="AD92" s="112">
        <v>14220</v>
      </c>
      <c r="AE92" s="112">
        <v>14240</v>
      </c>
      <c r="AF92" s="112">
        <v>14610</v>
      </c>
      <c r="AG92" s="112">
        <v>14830</v>
      </c>
      <c r="AH92" s="112">
        <v>15290</v>
      </c>
      <c r="AI92" s="112">
        <v>15760</v>
      </c>
      <c r="AJ92" s="112">
        <v>16500</v>
      </c>
      <c r="AK92" s="112">
        <v>16920</v>
      </c>
      <c r="AL92" s="112">
        <v>17100</v>
      </c>
      <c r="AM92" s="112">
        <v>18020</v>
      </c>
      <c r="AN92" s="112">
        <v>18370</v>
      </c>
      <c r="AO92" s="112">
        <v>19010</v>
      </c>
      <c r="AP92" s="112">
        <v>19470</v>
      </c>
      <c r="AQ92" s="112">
        <v>19470</v>
      </c>
      <c r="AR92" s="112">
        <v>19380</v>
      </c>
      <c r="AS92" s="112">
        <v>18760</v>
      </c>
      <c r="AT92" s="112">
        <v>18610</v>
      </c>
      <c r="AU92" s="112">
        <v>18530</v>
      </c>
    </row>
    <row r="93" spans="1:47" x14ac:dyDescent="0.2">
      <c r="A93" s="114" t="s">
        <v>94</v>
      </c>
      <c r="B93" s="8"/>
      <c r="C93" s="112">
        <v>4650</v>
      </c>
      <c r="D93" s="112">
        <v>4740</v>
      </c>
      <c r="E93" s="112">
        <v>5010</v>
      </c>
      <c r="F93" s="112">
        <v>5430</v>
      </c>
      <c r="G93" s="112">
        <v>5590</v>
      </c>
      <c r="H93" s="112">
        <v>5800</v>
      </c>
      <c r="I93" s="112">
        <v>6110</v>
      </c>
      <c r="J93" s="112">
        <v>6160</v>
      </c>
      <c r="K93" s="112">
        <v>6320</v>
      </c>
      <c r="L93" s="112">
        <v>6590</v>
      </c>
      <c r="M93" s="112">
        <v>6450</v>
      </c>
      <c r="N93" s="112">
        <v>6390</v>
      </c>
      <c r="O93" s="112">
        <v>6570</v>
      </c>
      <c r="P93" s="112">
        <v>6800</v>
      </c>
      <c r="Q93" s="112">
        <v>7000</v>
      </c>
      <c r="R93" s="112">
        <v>7390</v>
      </c>
      <c r="S93" s="112">
        <v>7780</v>
      </c>
      <c r="T93" s="112">
        <v>8030</v>
      </c>
      <c r="U93" s="112">
        <v>8980</v>
      </c>
      <c r="V93" s="112">
        <v>9710</v>
      </c>
      <c r="W93" s="112">
        <v>9850</v>
      </c>
      <c r="X93" s="112">
        <v>8980</v>
      </c>
      <c r="Y93" s="112">
        <v>10130</v>
      </c>
      <c r="Z93" s="112">
        <v>10550</v>
      </c>
      <c r="AA93" s="112">
        <v>11120</v>
      </c>
      <c r="AB93" s="112">
        <v>13230</v>
      </c>
      <c r="AC93" s="112">
        <v>13190</v>
      </c>
      <c r="AD93" s="112">
        <v>13190</v>
      </c>
      <c r="AE93" s="112">
        <v>13410</v>
      </c>
      <c r="AF93" s="112">
        <v>13440</v>
      </c>
      <c r="AG93" s="112">
        <v>13790</v>
      </c>
      <c r="AH93" s="112">
        <v>14010</v>
      </c>
      <c r="AI93" s="112">
        <v>14450</v>
      </c>
      <c r="AJ93" s="112">
        <v>14900</v>
      </c>
      <c r="AK93" s="112">
        <v>15610</v>
      </c>
      <c r="AL93" s="112">
        <v>16020</v>
      </c>
      <c r="AM93" s="112">
        <v>16190</v>
      </c>
      <c r="AN93" s="112">
        <v>17080</v>
      </c>
      <c r="AO93" s="112">
        <v>17410</v>
      </c>
      <c r="AP93" s="112">
        <v>18020</v>
      </c>
      <c r="AQ93" s="112">
        <v>18470</v>
      </c>
      <c r="AR93" s="112">
        <v>18480</v>
      </c>
      <c r="AS93" s="112">
        <v>18390</v>
      </c>
      <c r="AT93" s="112">
        <v>17810</v>
      </c>
      <c r="AU93" s="112">
        <v>17670</v>
      </c>
    </row>
    <row r="94" spans="1:47" x14ac:dyDescent="0.2">
      <c r="A94" s="114" t="s">
        <v>95</v>
      </c>
      <c r="B94" s="8"/>
      <c r="C94" s="112">
        <v>3850</v>
      </c>
      <c r="D94" s="112">
        <v>4160</v>
      </c>
      <c r="E94" s="112">
        <v>4280</v>
      </c>
      <c r="F94" s="112">
        <v>4510</v>
      </c>
      <c r="G94" s="112">
        <v>4930</v>
      </c>
      <c r="H94" s="112">
        <v>5080</v>
      </c>
      <c r="I94" s="112">
        <v>5290</v>
      </c>
      <c r="J94" s="112">
        <v>5580</v>
      </c>
      <c r="K94" s="112">
        <v>5630</v>
      </c>
      <c r="L94" s="112">
        <v>5790</v>
      </c>
      <c r="M94" s="112">
        <v>6050</v>
      </c>
      <c r="N94" s="112">
        <v>5930</v>
      </c>
      <c r="O94" s="112">
        <v>5880</v>
      </c>
      <c r="P94" s="112">
        <v>6050</v>
      </c>
      <c r="Q94" s="112">
        <v>6280</v>
      </c>
      <c r="R94" s="112">
        <v>6470</v>
      </c>
      <c r="S94" s="112">
        <v>6840</v>
      </c>
      <c r="T94" s="112">
        <v>7210</v>
      </c>
      <c r="U94" s="112">
        <v>7450</v>
      </c>
      <c r="V94" s="112">
        <v>8340</v>
      </c>
      <c r="W94" s="112">
        <v>9030</v>
      </c>
      <c r="X94" s="112">
        <v>9170</v>
      </c>
      <c r="Y94" s="112">
        <v>8360</v>
      </c>
      <c r="Z94" s="112">
        <v>9450</v>
      </c>
      <c r="AA94" s="112">
        <v>9850</v>
      </c>
      <c r="AB94" s="112">
        <v>10390</v>
      </c>
      <c r="AC94" s="112">
        <v>12360</v>
      </c>
      <c r="AD94" s="112">
        <v>12340</v>
      </c>
      <c r="AE94" s="112">
        <v>12350</v>
      </c>
      <c r="AF94" s="112">
        <v>12570</v>
      </c>
      <c r="AG94" s="112">
        <v>12600</v>
      </c>
      <c r="AH94" s="112">
        <v>12940</v>
      </c>
      <c r="AI94" s="112">
        <v>13150</v>
      </c>
      <c r="AJ94" s="112">
        <v>13570</v>
      </c>
      <c r="AK94" s="112">
        <v>14000</v>
      </c>
      <c r="AL94" s="112">
        <v>14670</v>
      </c>
      <c r="AM94" s="112">
        <v>15070</v>
      </c>
      <c r="AN94" s="112">
        <v>15240</v>
      </c>
      <c r="AO94" s="112">
        <v>16080</v>
      </c>
      <c r="AP94" s="112">
        <v>16400</v>
      </c>
      <c r="AQ94" s="112">
        <v>16980</v>
      </c>
      <c r="AR94" s="112">
        <v>17400</v>
      </c>
      <c r="AS94" s="112">
        <v>17420</v>
      </c>
      <c r="AT94" s="112">
        <v>17340</v>
      </c>
      <c r="AU94" s="112">
        <v>16800</v>
      </c>
    </row>
    <row r="95" spans="1:47" x14ac:dyDescent="0.2">
      <c r="A95" s="114" t="s">
        <v>96</v>
      </c>
      <c r="B95" s="8"/>
      <c r="C95" s="112">
        <v>3290</v>
      </c>
      <c r="D95" s="112">
        <v>3440</v>
      </c>
      <c r="E95" s="112">
        <v>3680</v>
      </c>
      <c r="F95" s="112">
        <v>3840</v>
      </c>
      <c r="G95" s="112">
        <v>4040</v>
      </c>
      <c r="H95" s="112">
        <v>4430</v>
      </c>
      <c r="I95" s="112">
        <v>4580</v>
      </c>
      <c r="J95" s="112">
        <v>4770</v>
      </c>
      <c r="K95" s="112">
        <v>5050</v>
      </c>
      <c r="L95" s="112">
        <v>5100</v>
      </c>
      <c r="M95" s="112">
        <v>5250</v>
      </c>
      <c r="N95" s="112">
        <v>5500</v>
      </c>
      <c r="O95" s="112">
        <v>5400</v>
      </c>
      <c r="P95" s="112">
        <v>5360</v>
      </c>
      <c r="Q95" s="112">
        <v>5530</v>
      </c>
      <c r="R95" s="112">
        <v>5750</v>
      </c>
      <c r="S95" s="112">
        <v>5920</v>
      </c>
      <c r="T95" s="112">
        <v>6270</v>
      </c>
      <c r="U95" s="112">
        <v>6620</v>
      </c>
      <c r="V95" s="112">
        <v>6850</v>
      </c>
      <c r="W95" s="112">
        <v>7680</v>
      </c>
      <c r="X95" s="112">
        <v>8320</v>
      </c>
      <c r="Y95" s="112">
        <v>8460</v>
      </c>
      <c r="Z95" s="112">
        <v>7730</v>
      </c>
      <c r="AA95" s="112">
        <v>8740</v>
      </c>
      <c r="AB95" s="112">
        <v>9120</v>
      </c>
      <c r="AC95" s="112">
        <v>9630</v>
      </c>
      <c r="AD95" s="112">
        <v>11470</v>
      </c>
      <c r="AE95" s="112">
        <v>11450</v>
      </c>
      <c r="AF95" s="112">
        <v>11470</v>
      </c>
      <c r="AG95" s="112">
        <v>11680</v>
      </c>
      <c r="AH95" s="112">
        <v>11720</v>
      </c>
      <c r="AI95" s="112">
        <v>12050</v>
      </c>
      <c r="AJ95" s="112">
        <v>12250</v>
      </c>
      <c r="AK95" s="112">
        <v>12650</v>
      </c>
      <c r="AL95" s="112">
        <v>13060</v>
      </c>
      <c r="AM95" s="112">
        <v>13690</v>
      </c>
      <c r="AN95" s="112">
        <v>14070</v>
      </c>
      <c r="AO95" s="112">
        <v>14230</v>
      </c>
      <c r="AP95" s="112">
        <v>15020</v>
      </c>
      <c r="AQ95" s="112">
        <v>15330</v>
      </c>
      <c r="AR95" s="112">
        <v>15880</v>
      </c>
      <c r="AS95" s="112">
        <v>16280</v>
      </c>
      <c r="AT95" s="112">
        <v>16300</v>
      </c>
      <c r="AU95" s="112">
        <v>16240</v>
      </c>
    </row>
    <row r="96" spans="1:47" x14ac:dyDescent="0.2">
      <c r="A96" s="114" t="s">
        <v>97</v>
      </c>
      <c r="B96" s="8"/>
      <c r="C96" s="112">
        <v>2380</v>
      </c>
      <c r="D96" s="112">
        <v>2870</v>
      </c>
      <c r="E96" s="112">
        <v>3020</v>
      </c>
      <c r="F96" s="112">
        <v>3300</v>
      </c>
      <c r="G96" s="112">
        <v>3400</v>
      </c>
      <c r="H96" s="112">
        <v>3580</v>
      </c>
      <c r="I96" s="112">
        <v>3940</v>
      </c>
      <c r="J96" s="112">
        <v>4070</v>
      </c>
      <c r="K96" s="112">
        <v>4260</v>
      </c>
      <c r="L96" s="112">
        <v>4510</v>
      </c>
      <c r="M96" s="112">
        <v>4570</v>
      </c>
      <c r="N96" s="112">
        <v>4720</v>
      </c>
      <c r="O96" s="112">
        <v>4950</v>
      </c>
      <c r="P96" s="112">
        <v>4870</v>
      </c>
      <c r="Q96" s="112">
        <v>4840</v>
      </c>
      <c r="R96" s="112">
        <v>5000</v>
      </c>
      <c r="S96" s="112">
        <v>5210</v>
      </c>
      <c r="T96" s="112">
        <v>5380</v>
      </c>
      <c r="U96" s="112">
        <v>5700</v>
      </c>
      <c r="V96" s="112">
        <v>6030</v>
      </c>
      <c r="W96" s="112">
        <v>6240</v>
      </c>
      <c r="X96" s="112">
        <v>7000</v>
      </c>
      <c r="Y96" s="112">
        <v>7600</v>
      </c>
      <c r="Z96" s="112">
        <v>7740</v>
      </c>
      <c r="AA96" s="112">
        <v>7080</v>
      </c>
      <c r="AB96" s="112">
        <v>8010</v>
      </c>
      <c r="AC96" s="112">
        <v>8370</v>
      </c>
      <c r="AD96" s="112">
        <v>8840</v>
      </c>
      <c r="AE96" s="112">
        <v>10540</v>
      </c>
      <c r="AF96" s="112">
        <v>10540</v>
      </c>
      <c r="AG96" s="112">
        <v>10570</v>
      </c>
      <c r="AH96" s="112">
        <v>10770</v>
      </c>
      <c r="AI96" s="112">
        <v>10810</v>
      </c>
      <c r="AJ96" s="112">
        <v>11120</v>
      </c>
      <c r="AK96" s="112">
        <v>11320</v>
      </c>
      <c r="AL96" s="112">
        <v>11700</v>
      </c>
      <c r="AM96" s="112">
        <v>12080</v>
      </c>
      <c r="AN96" s="112">
        <v>12680</v>
      </c>
      <c r="AO96" s="112">
        <v>13030</v>
      </c>
      <c r="AP96" s="112">
        <v>13190</v>
      </c>
      <c r="AQ96" s="112">
        <v>13930</v>
      </c>
      <c r="AR96" s="112">
        <v>14220</v>
      </c>
      <c r="AS96" s="112">
        <v>14740</v>
      </c>
      <c r="AT96" s="112">
        <v>15120</v>
      </c>
      <c r="AU96" s="112">
        <v>15140</v>
      </c>
    </row>
    <row r="97" spans="1:47" x14ac:dyDescent="0.2">
      <c r="A97" s="114" t="s">
        <v>98</v>
      </c>
      <c r="B97" s="8"/>
      <c r="C97" s="112">
        <v>1930</v>
      </c>
      <c r="D97" s="112">
        <v>2040</v>
      </c>
      <c r="E97" s="112">
        <v>2490</v>
      </c>
      <c r="F97" s="112">
        <v>2610</v>
      </c>
      <c r="G97" s="112">
        <v>2870</v>
      </c>
      <c r="H97" s="112">
        <v>2970</v>
      </c>
      <c r="I97" s="112">
        <v>3140</v>
      </c>
      <c r="J97" s="112">
        <v>3450</v>
      </c>
      <c r="K97" s="112">
        <v>3580</v>
      </c>
      <c r="L97" s="112">
        <v>3750</v>
      </c>
      <c r="M97" s="112">
        <v>3990</v>
      </c>
      <c r="N97" s="112">
        <v>4050</v>
      </c>
      <c r="O97" s="112">
        <v>4190</v>
      </c>
      <c r="P97" s="112">
        <v>4400</v>
      </c>
      <c r="Q97" s="112">
        <v>4340</v>
      </c>
      <c r="R97" s="112">
        <v>4330</v>
      </c>
      <c r="S97" s="112">
        <v>4480</v>
      </c>
      <c r="T97" s="112">
        <v>4670</v>
      </c>
      <c r="U97" s="112">
        <v>4830</v>
      </c>
      <c r="V97" s="112">
        <v>5130</v>
      </c>
      <c r="W97" s="112">
        <v>5430</v>
      </c>
      <c r="X97" s="112">
        <v>5630</v>
      </c>
      <c r="Y97" s="112">
        <v>6330</v>
      </c>
      <c r="Z97" s="112">
        <v>6880</v>
      </c>
      <c r="AA97" s="112">
        <v>7010</v>
      </c>
      <c r="AB97" s="112">
        <v>6420</v>
      </c>
      <c r="AC97" s="112">
        <v>7280</v>
      </c>
      <c r="AD97" s="112">
        <v>7610</v>
      </c>
      <c r="AE97" s="112">
        <v>8050</v>
      </c>
      <c r="AF97" s="112">
        <v>9610</v>
      </c>
      <c r="AG97" s="112">
        <v>9610</v>
      </c>
      <c r="AH97" s="112">
        <v>9650</v>
      </c>
      <c r="AI97" s="112">
        <v>9840</v>
      </c>
      <c r="AJ97" s="112">
        <v>9890</v>
      </c>
      <c r="AK97" s="112">
        <v>10180</v>
      </c>
      <c r="AL97" s="112">
        <v>10360</v>
      </c>
      <c r="AM97" s="112">
        <v>10720</v>
      </c>
      <c r="AN97" s="112">
        <v>11080</v>
      </c>
      <c r="AO97" s="112">
        <v>11630</v>
      </c>
      <c r="AP97" s="112">
        <v>11960</v>
      </c>
      <c r="AQ97" s="112">
        <v>12120</v>
      </c>
      <c r="AR97" s="112">
        <v>12800</v>
      </c>
      <c r="AS97" s="112">
        <v>13080</v>
      </c>
      <c r="AT97" s="112">
        <v>13560</v>
      </c>
      <c r="AU97" s="112">
        <v>13910</v>
      </c>
    </row>
    <row r="98" spans="1:47" x14ac:dyDescent="0.2">
      <c r="A98" s="114" t="s">
        <v>99</v>
      </c>
      <c r="B98" s="8"/>
      <c r="C98" s="112">
        <v>1720</v>
      </c>
      <c r="D98" s="112">
        <v>1630</v>
      </c>
      <c r="E98" s="112">
        <v>1740</v>
      </c>
      <c r="F98" s="112">
        <v>2130</v>
      </c>
      <c r="G98" s="112">
        <v>2230</v>
      </c>
      <c r="H98" s="112">
        <v>2470</v>
      </c>
      <c r="I98" s="112">
        <v>2550</v>
      </c>
      <c r="J98" s="112">
        <v>2710</v>
      </c>
      <c r="K98" s="112">
        <v>2990</v>
      </c>
      <c r="L98" s="112">
        <v>3110</v>
      </c>
      <c r="M98" s="112">
        <v>3270</v>
      </c>
      <c r="N98" s="112">
        <v>3490</v>
      </c>
      <c r="O98" s="112">
        <v>3550</v>
      </c>
      <c r="P98" s="112">
        <v>3670</v>
      </c>
      <c r="Q98" s="112">
        <v>3870</v>
      </c>
      <c r="R98" s="112">
        <v>3820</v>
      </c>
      <c r="S98" s="112">
        <v>3820</v>
      </c>
      <c r="T98" s="112">
        <v>3960</v>
      </c>
      <c r="U98" s="112">
        <v>4140</v>
      </c>
      <c r="V98" s="112">
        <v>4290</v>
      </c>
      <c r="W98" s="112">
        <v>4560</v>
      </c>
      <c r="X98" s="112">
        <v>4840</v>
      </c>
      <c r="Y98" s="112">
        <v>5030</v>
      </c>
      <c r="Z98" s="112">
        <v>5660</v>
      </c>
      <c r="AA98" s="112">
        <v>6160</v>
      </c>
      <c r="AB98" s="112">
        <v>6290</v>
      </c>
      <c r="AC98" s="112">
        <v>5760</v>
      </c>
      <c r="AD98" s="112">
        <v>6540</v>
      </c>
      <c r="AE98" s="112">
        <v>6850</v>
      </c>
      <c r="AF98" s="112">
        <v>7250</v>
      </c>
      <c r="AG98" s="112">
        <v>8670</v>
      </c>
      <c r="AH98" s="112">
        <v>8680</v>
      </c>
      <c r="AI98" s="112">
        <v>8720</v>
      </c>
      <c r="AJ98" s="112">
        <v>8900</v>
      </c>
      <c r="AK98" s="112">
        <v>8950</v>
      </c>
      <c r="AL98" s="112">
        <v>9230</v>
      </c>
      <c r="AM98" s="112">
        <v>9400</v>
      </c>
      <c r="AN98" s="112">
        <v>9730</v>
      </c>
      <c r="AO98" s="112">
        <v>10070</v>
      </c>
      <c r="AP98" s="112">
        <v>10570</v>
      </c>
      <c r="AQ98" s="112">
        <v>10880</v>
      </c>
      <c r="AR98" s="112">
        <v>11030</v>
      </c>
      <c r="AS98" s="112">
        <v>11660</v>
      </c>
      <c r="AT98" s="112">
        <v>11910</v>
      </c>
      <c r="AU98" s="112">
        <v>12360</v>
      </c>
    </row>
    <row r="99" spans="1:47" x14ac:dyDescent="0.2">
      <c r="A99" s="114" t="s">
        <v>100</v>
      </c>
      <c r="B99" s="8"/>
      <c r="C99" s="112">
        <v>5020</v>
      </c>
      <c r="D99" s="112">
        <v>5330</v>
      </c>
      <c r="E99" s="112">
        <v>5570</v>
      </c>
      <c r="F99" s="112">
        <v>5760</v>
      </c>
      <c r="G99" s="112">
        <v>6310</v>
      </c>
      <c r="H99" s="112">
        <v>6880</v>
      </c>
      <c r="I99" s="112">
        <v>7560</v>
      </c>
      <c r="J99" s="112">
        <v>8210</v>
      </c>
      <c r="K99" s="112">
        <v>8900</v>
      </c>
      <c r="L99" s="112">
        <v>9730</v>
      </c>
      <c r="M99" s="112">
        <v>10550</v>
      </c>
      <c r="N99" s="112">
        <v>11370</v>
      </c>
      <c r="O99" s="112">
        <v>12260</v>
      </c>
      <c r="P99" s="112">
        <v>13080</v>
      </c>
      <c r="Q99" s="112">
        <v>13890</v>
      </c>
      <c r="R99" s="112">
        <v>14760</v>
      </c>
      <c r="S99" s="112">
        <v>15470</v>
      </c>
      <c r="T99" s="112">
        <v>16080</v>
      </c>
      <c r="U99" s="112">
        <v>16730</v>
      </c>
      <c r="V99" s="112">
        <v>17460</v>
      </c>
      <c r="W99" s="112">
        <v>18230</v>
      </c>
      <c r="X99" s="112">
        <v>19150</v>
      </c>
      <c r="Y99" s="112">
        <v>20200</v>
      </c>
      <c r="Z99" s="112">
        <v>21290</v>
      </c>
      <c r="AA99" s="112">
        <v>22800</v>
      </c>
      <c r="AB99" s="112">
        <v>24570</v>
      </c>
      <c r="AC99" s="112">
        <v>26230</v>
      </c>
      <c r="AD99" s="112">
        <v>27210</v>
      </c>
      <c r="AE99" s="112">
        <v>28750</v>
      </c>
      <c r="AF99" s="112">
        <v>30370</v>
      </c>
      <c r="AG99" s="112">
        <v>32140</v>
      </c>
      <c r="AH99" s="112">
        <v>34950</v>
      </c>
      <c r="AI99" s="112">
        <v>37420</v>
      </c>
      <c r="AJ99" s="112">
        <v>39610</v>
      </c>
      <c r="AK99" s="112">
        <v>41670</v>
      </c>
      <c r="AL99" s="112">
        <v>43500</v>
      </c>
      <c r="AM99" s="112">
        <v>45330</v>
      </c>
      <c r="AN99" s="112">
        <v>47060</v>
      </c>
      <c r="AO99" s="112">
        <v>48860</v>
      </c>
      <c r="AP99" s="112">
        <v>50710</v>
      </c>
      <c r="AQ99" s="112">
        <v>52780</v>
      </c>
      <c r="AR99" s="112">
        <v>54860</v>
      </c>
      <c r="AS99" s="112">
        <v>56790</v>
      </c>
      <c r="AT99" s="112">
        <v>59030</v>
      </c>
      <c r="AU99" s="112">
        <v>61220</v>
      </c>
    </row>
    <row r="100" spans="1:47" x14ac:dyDescent="0.2">
      <c r="A100" s="113" t="s">
        <v>104</v>
      </c>
      <c r="B100" s="8"/>
      <c r="C100" s="230">
        <f t="shared" ref="C100:AH100" si="2">SUM(C$9:C$99)/1000000</f>
        <v>2.0483799999999999</v>
      </c>
      <c r="D100" s="230">
        <f t="shared" si="2"/>
        <v>2.0707</v>
      </c>
      <c r="E100" s="230">
        <f t="shared" si="2"/>
        <v>2.09198</v>
      </c>
      <c r="F100" s="230">
        <f t="shared" si="2"/>
        <v>2.11294</v>
      </c>
      <c r="G100" s="230">
        <f t="shared" si="2"/>
        <v>2.1343899999999998</v>
      </c>
      <c r="H100" s="230">
        <f t="shared" si="2"/>
        <v>2.1554199999999999</v>
      </c>
      <c r="I100" s="230">
        <f t="shared" si="2"/>
        <v>2.1758999999999999</v>
      </c>
      <c r="J100" s="230">
        <f t="shared" si="2"/>
        <v>2.19604</v>
      </c>
      <c r="K100" s="230">
        <f t="shared" si="2"/>
        <v>2.2158099999999998</v>
      </c>
      <c r="L100" s="230">
        <f t="shared" si="2"/>
        <v>2.2352400000000001</v>
      </c>
      <c r="M100" s="230">
        <f t="shared" si="2"/>
        <v>2.2543899999999999</v>
      </c>
      <c r="N100" s="230">
        <f t="shared" si="2"/>
        <v>2.2732399999999999</v>
      </c>
      <c r="O100" s="230">
        <f t="shared" si="2"/>
        <v>2.2917700000000001</v>
      </c>
      <c r="P100" s="230">
        <f t="shared" si="2"/>
        <v>2.3099699999999999</v>
      </c>
      <c r="Q100" s="230">
        <f t="shared" si="2"/>
        <v>2.3279700000000001</v>
      </c>
      <c r="R100" s="230">
        <f t="shared" si="2"/>
        <v>2.3456700000000001</v>
      </c>
      <c r="S100" s="230">
        <f t="shared" si="2"/>
        <v>2.3631099999999998</v>
      </c>
      <c r="T100" s="230">
        <f t="shared" si="2"/>
        <v>2.3801800000000002</v>
      </c>
      <c r="U100" s="230">
        <f t="shared" si="2"/>
        <v>2.3969200000000002</v>
      </c>
      <c r="V100" s="230">
        <f t="shared" si="2"/>
        <v>2.4133800000000001</v>
      </c>
      <c r="W100" s="230">
        <f t="shared" si="2"/>
        <v>2.4294099999999998</v>
      </c>
      <c r="X100" s="230">
        <f t="shared" si="2"/>
        <v>2.4451999999999998</v>
      </c>
      <c r="Y100" s="230">
        <f t="shared" si="2"/>
        <v>2.4604900000000001</v>
      </c>
      <c r="Z100" s="230">
        <f t="shared" si="2"/>
        <v>2.4753500000000002</v>
      </c>
      <c r="AA100" s="230">
        <f t="shared" si="2"/>
        <v>2.4897999999999998</v>
      </c>
      <c r="AB100" s="230">
        <f t="shared" si="2"/>
        <v>2.5037600000000002</v>
      </c>
      <c r="AC100" s="230">
        <f t="shared" si="2"/>
        <v>2.5173299999999998</v>
      </c>
      <c r="AD100" s="230">
        <f t="shared" si="2"/>
        <v>2.5303900000000001</v>
      </c>
      <c r="AE100" s="230">
        <f t="shared" si="2"/>
        <v>2.5430799999999998</v>
      </c>
      <c r="AF100" s="230">
        <f t="shared" si="2"/>
        <v>2.5553900000000001</v>
      </c>
      <c r="AG100" s="230">
        <f t="shared" si="2"/>
        <v>2.5672100000000002</v>
      </c>
      <c r="AH100" s="230">
        <f t="shared" si="2"/>
        <v>2.5787900000000001</v>
      </c>
      <c r="AI100" s="230">
        <f t="shared" ref="AI100:AU100" si="3">SUM(AI$9:AI$99)/1000000</f>
        <v>2.59</v>
      </c>
      <c r="AJ100" s="230">
        <f t="shared" si="3"/>
        <v>2.6008300000000002</v>
      </c>
      <c r="AK100" s="230">
        <f t="shared" si="3"/>
        <v>2.6114299999999999</v>
      </c>
      <c r="AL100" s="230">
        <f t="shared" si="3"/>
        <v>2.6216200000000001</v>
      </c>
      <c r="AM100" s="230">
        <f t="shared" si="3"/>
        <v>2.63151</v>
      </c>
      <c r="AN100" s="230">
        <f t="shared" si="3"/>
        <v>2.6410800000000001</v>
      </c>
      <c r="AO100" s="230">
        <f t="shared" si="3"/>
        <v>2.6503999999999999</v>
      </c>
      <c r="AP100" s="230">
        <f t="shared" si="3"/>
        <v>2.6591900000000002</v>
      </c>
      <c r="AQ100" s="230">
        <f t="shared" si="3"/>
        <v>2.6677</v>
      </c>
      <c r="AR100" s="230">
        <f t="shared" si="3"/>
        <v>2.6758299999999999</v>
      </c>
      <c r="AS100" s="230">
        <f t="shared" si="3"/>
        <v>2.6836799999999998</v>
      </c>
      <c r="AT100" s="230">
        <f t="shared" si="3"/>
        <v>2.69103</v>
      </c>
      <c r="AU100" s="230">
        <f t="shared" si="3"/>
        <v>2.6982200000000001</v>
      </c>
    </row>
    <row r="101" spans="1:47" x14ac:dyDescent="0.2">
      <c r="A101" s="113"/>
      <c r="B101" s="8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  <c r="AU101" s="230"/>
    </row>
    <row r="102" spans="1:47" x14ac:dyDescent="0.2">
      <c r="A102" s="113" t="s">
        <v>101</v>
      </c>
      <c r="B102" s="8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</row>
    <row r="103" spans="1:47" x14ac:dyDescent="0.2">
      <c r="A103" s="114" t="s">
        <v>10</v>
      </c>
      <c r="B103" s="8"/>
      <c r="C103" s="112">
        <v>28910</v>
      </c>
      <c r="D103" s="112">
        <v>30110</v>
      </c>
      <c r="E103" s="112">
        <v>31220</v>
      </c>
      <c r="F103" s="112">
        <v>29980</v>
      </c>
      <c r="G103" s="112">
        <v>29680</v>
      </c>
      <c r="H103" s="112">
        <v>29440</v>
      </c>
      <c r="I103" s="112">
        <v>29240</v>
      </c>
      <c r="J103" s="112">
        <v>29070</v>
      </c>
      <c r="K103" s="112">
        <v>28950</v>
      </c>
      <c r="L103" s="112">
        <v>28860</v>
      </c>
      <c r="M103" s="112">
        <v>28800</v>
      </c>
      <c r="N103" s="112">
        <v>28760</v>
      </c>
      <c r="O103" s="112">
        <v>28740</v>
      </c>
      <c r="P103" s="112">
        <v>28730</v>
      </c>
      <c r="Q103" s="112">
        <v>28720</v>
      </c>
      <c r="R103" s="112">
        <v>28720</v>
      </c>
      <c r="S103" s="112">
        <v>28720</v>
      </c>
      <c r="T103" s="112">
        <v>28730</v>
      </c>
      <c r="U103" s="112">
        <v>28740</v>
      </c>
      <c r="V103" s="112">
        <v>28740</v>
      </c>
      <c r="W103" s="112">
        <v>28750</v>
      </c>
      <c r="X103" s="112">
        <v>28750</v>
      </c>
      <c r="Y103" s="112">
        <v>28720</v>
      </c>
      <c r="Z103" s="112">
        <v>28680</v>
      </c>
      <c r="AA103" s="112">
        <v>28640</v>
      </c>
      <c r="AB103" s="112">
        <v>28590</v>
      </c>
      <c r="AC103" s="112">
        <v>28560</v>
      </c>
      <c r="AD103" s="112">
        <v>28540</v>
      </c>
      <c r="AE103" s="112">
        <v>28540</v>
      </c>
      <c r="AF103" s="112">
        <v>28570</v>
      </c>
      <c r="AG103" s="112">
        <v>28610</v>
      </c>
      <c r="AH103" s="112">
        <v>28670</v>
      </c>
      <c r="AI103" s="112">
        <v>28740</v>
      </c>
      <c r="AJ103" s="112">
        <v>28820</v>
      </c>
      <c r="AK103" s="112">
        <v>28900</v>
      </c>
      <c r="AL103" s="112">
        <v>28970</v>
      </c>
      <c r="AM103" s="112">
        <v>29020</v>
      </c>
      <c r="AN103" s="112">
        <v>29050</v>
      </c>
      <c r="AO103" s="112">
        <v>29060</v>
      </c>
      <c r="AP103" s="112">
        <v>29050</v>
      </c>
      <c r="AQ103" s="112">
        <v>29030</v>
      </c>
      <c r="AR103" s="112">
        <v>29000</v>
      </c>
      <c r="AS103" s="112">
        <v>28960</v>
      </c>
      <c r="AT103" s="112">
        <v>28920</v>
      </c>
      <c r="AU103" s="112">
        <v>28880</v>
      </c>
    </row>
    <row r="104" spans="1:47" x14ac:dyDescent="0.2">
      <c r="A104" s="114" t="s">
        <v>11</v>
      </c>
      <c r="B104" s="8"/>
      <c r="C104" s="112">
        <v>27990</v>
      </c>
      <c r="D104" s="112">
        <v>28840</v>
      </c>
      <c r="E104" s="112">
        <v>30040</v>
      </c>
      <c r="F104" s="112">
        <v>30160</v>
      </c>
      <c r="G104" s="112">
        <v>30020</v>
      </c>
      <c r="H104" s="112">
        <v>29730</v>
      </c>
      <c r="I104" s="112">
        <v>29480</v>
      </c>
      <c r="J104" s="112">
        <v>29280</v>
      </c>
      <c r="K104" s="112">
        <v>29120</v>
      </c>
      <c r="L104" s="112">
        <v>28990</v>
      </c>
      <c r="M104" s="112">
        <v>28900</v>
      </c>
      <c r="N104" s="112">
        <v>28840</v>
      </c>
      <c r="O104" s="112">
        <v>28800</v>
      </c>
      <c r="P104" s="112">
        <v>28780</v>
      </c>
      <c r="Q104" s="112">
        <v>28770</v>
      </c>
      <c r="R104" s="112">
        <v>28770</v>
      </c>
      <c r="S104" s="112">
        <v>28760</v>
      </c>
      <c r="T104" s="112">
        <v>28770</v>
      </c>
      <c r="U104" s="112">
        <v>28770</v>
      </c>
      <c r="V104" s="112">
        <v>28780</v>
      </c>
      <c r="W104" s="112">
        <v>28790</v>
      </c>
      <c r="X104" s="112">
        <v>28790</v>
      </c>
      <c r="Y104" s="112">
        <v>28790</v>
      </c>
      <c r="Z104" s="112">
        <v>28770</v>
      </c>
      <c r="AA104" s="112">
        <v>28730</v>
      </c>
      <c r="AB104" s="112">
        <v>28680</v>
      </c>
      <c r="AC104" s="112">
        <v>28640</v>
      </c>
      <c r="AD104" s="112">
        <v>28610</v>
      </c>
      <c r="AE104" s="112">
        <v>28590</v>
      </c>
      <c r="AF104" s="112">
        <v>28590</v>
      </c>
      <c r="AG104" s="112">
        <v>28610</v>
      </c>
      <c r="AH104" s="112">
        <v>28660</v>
      </c>
      <c r="AI104" s="112">
        <v>28720</v>
      </c>
      <c r="AJ104" s="112">
        <v>28790</v>
      </c>
      <c r="AK104" s="112">
        <v>28870</v>
      </c>
      <c r="AL104" s="112">
        <v>28950</v>
      </c>
      <c r="AM104" s="112">
        <v>29010</v>
      </c>
      <c r="AN104" s="112">
        <v>29060</v>
      </c>
      <c r="AO104" s="112">
        <v>29100</v>
      </c>
      <c r="AP104" s="112">
        <v>29110</v>
      </c>
      <c r="AQ104" s="112">
        <v>29100</v>
      </c>
      <c r="AR104" s="112">
        <v>29080</v>
      </c>
      <c r="AS104" s="112">
        <v>29040</v>
      </c>
      <c r="AT104" s="112">
        <v>29010</v>
      </c>
      <c r="AU104" s="112">
        <v>28970</v>
      </c>
    </row>
    <row r="105" spans="1:47" x14ac:dyDescent="0.2">
      <c r="A105" s="114" t="s">
        <v>12</v>
      </c>
      <c r="B105" s="8"/>
      <c r="C105" s="112">
        <v>28180</v>
      </c>
      <c r="D105" s="112">
        <v>28020</v>
      </c>
      <c r="E105" s="112">
        <v>28820</v>
      </c>
      <c r="F105" s="112">
        <v>30090</v>
      </c>
      <c r="G105" s="112">
        <v>30220</v>
      </c>
      <c r="H105" s="112">
        <v>30080</v>
      </c>
      <c r="I105" s="112">
        <v>29790</v>
      </c>
      <c r="J105" s="112">
        <v>29540</v>
      </c>
      <c r="K105" s="112">
        <v>29340</v>
      </c>
      <c r="L105" s="112">
        <v>29180</v>
      </c>
      <c r="M105" s="112">
        <v>29050</v>
      </c>
      <c r="N105" s="112">
        <v>28960</v>
      </c>
      <c r="O105" s="112">
        <v>28900</v>
      </c>
      <c r="P105" s="112">
        <v>28870</v>
      </c>
      <c r="Q105" s="112">
        <v>28840</v>
      </c>
      <c r="R105" s="112">
        <v>28830</v>
      </c>
      <c r="S105" s="112">
        <v>28830</v>
      </c>
      <c r="T105" s="112">
        <v>28820</v>
      </c>
      <c r="U105" s="112">
        <v>28830</v>
      </c>
      <c r="V105" s="112">
        <v>28830</v>
      </c>
      <c r="W105" s="112">
        <v>28840</v>
      </c>
      <c r="X105" s="112">
        <v>28850</v>
      </c>
      <c r="Y105" s="112">
        <v>28860</v>
      </c>
      <c r="Z105" s="112">
        <v>28860</v>
      </c>
      <c r="AA105" s="112">
        <v>28830</v>
      </c>
      <c r="AB105" s="112">
        <v>28790</v>
      </c>
      <c r="AC105" s="112">
        <v>28750</v>
      </c>
      <c r="AD105" s="112">
        <v>28700</v>
      </c>
      <c r="AE105" s="112">
        <v>28670</v>
      </c>
      <c r="AF105" s="112">
        <v>28650</v>
      </c>
      <c r="AG105" s="112">
        <v>28650</v>
      </c>
      <c r="AH105" s="112">
        <v>28680</v>
      </c>
      <c r="AI105" s="112">
        <v>28720</v>
      </c>
      <c r="AJ105" s="112">
        <v>28780</v>
      </c>
      <c r="AK105" s="112">
        <v>28850</v>
      </c>
      <c r="AL105" s="112">
        <v>28930</v>
      </c>
      <c r="AM105" s="112">
        <v>29010</v>
      </c>
      <c r="AN105" s="112">
        <v>29080</v>
      </c>
      <c r="AO105" s="112">
        <v>29130</v>
      </c>
      <c r="AP105" s="112">
        <v>29160</v>
      </c>
      <c r="AQ105" s="112">
        <v>29170</v>
      </c>
      <c r="AR105" s="112">
        <v>29160</v>
      </c>
      <c r="AS105" s="112">
        <v>29140</v>
      </c>
      <c r="AT105" s="112">
        <v>29110</v>
      </c>
      <c r="AU105" s="112">
        <v>29070</v>
      </c>
    </row>
    <row r="106" spans="1:47" x14ac:dyDescent="0.2">
      <c r="A106" s="114" t="s">
        <v>13</v>
      </c>
      <c r="B106" s="8"/>
      <c r="C106" s="112">
        <v>27310</v>
      </c>
      <c r="D106" s="112">
        <v>28230</v>
      </c>
      <c r="E106" s="112">
        <v>28010</v>
      </c>
      <c r="F106" s="112">
        <v>29060</v>
      </c>
      <c r="G106" s="112">
        <v>30150</v>
      </c>
      <c r="H106" s="112">
        <v>30280</v>
      </c>
      <c r="I106" s="112">
        <v>30140</v>
      </c>
      <c r="J106" s="112">
        <v>29850</v>
      </c>
      <c r="K106" s="112">
        <v>29610</v>
      </c>
      <c r="L106" s="112">
        <v>29410</v>
      </c>
      <c r="M106" s="112">
        <v>29240</v>
      </c>
      <c r="N106" s="112">
        <v>29120</v>
      </c>
      <c r="O106" s="112">
        <v>29030</v>
      </c>
      <c r="P106" s="112">
        <v>28970</v>
      </c>
      <c r="Q106" s="112">
        <v>28930</v>
      </c>
      <c r="R106" s="112">
        <v>28910</v>
      </c>
      <c r="S106" s="112">
        <v>28900</v>
      </c>
      <c r="T106" s="112">
        <v>28890</v>
      </c>
      <c r="U106" s="112">
        <v>28890</v>
      </c>
      <c r="V106" s="112">
        <v>28900</v>
      </c>
      <c r="W106" s="112">
        <v>28900</v>
      </c>
      <c r="X106" s="112">
        <v>28910</v>
      </c>
      <c r="Y106" s="112">
        <v>28920</v>
      </c>
      <c r="Z106" s="112">
        <v>28920</v>
      </c>
      <c r="AA106" s="112">
        <v>28920</v>
      </c>
      <c r="AB106" s="112">
        <v>28900</v>
      </c>
      <c r="AC106" s="112">
        <v>28860</v>
      </c>
      <c r="AD106" s="112">
        <v>28810</v>
      </c>
      <c r="AE106" s="112">
        <v>28770</v>
      </c>
      <c r="AF106" s="112">
        <v>28740</v>
      </c>
      <c r="AG106" s="112">
        <v>28720</v>
      </c>
      <c r="AH106" s="112">
        <v>28720</v>
      </c>
      <c r="AI106" s="112">
        <v>28740</v>
      </c>
      <c r="AJ106" s="112">
        <v>28790</v>
      </c>
      <c r="AK106" s="112">
        <v>28850</v>
      </c>
      <c r="AL106" s="112">
        <v>28920</v>
      </c>
      <c r="AM106" s="112">
        <v>29000</v>
      </c>
      <c r="AN106" s="112">
        <v>29080</v>
      </c>
      <c r="AO106" s="112">
        <v>29140</v>
      </c>
      <c r="AP106" s="112">
        <v>29200</v>
      </c>
      <c r="AQ106" s="112">
        <v>29230</v>
      </c>
      <c r="AR106" s="112">
        <v>29240</v>
      </c>
      <c r="AS106" s="112">
        <v>29230</v>
      </c>
      <c r="AT106" s="112">
        <v>29210</v>
      </c>
      <c r="AU106" s="112">
        <v>29170</v>
      </c>
    </row>
    <row r="107" spans="1:47" x14ac:dyDescent="0.2">
      <c r="A107" s="114" t="s">
        <v>14</v>
      </c>
      <c r="B107" s="8"/>
      <c r="C107" s="112">
        <v>27400</v>
      </c>
      <c r="D107" s="112">
        <v>27380</v>
      </c>
      <c r="E107" s="112">
        <v>28240</v>
      </c>
      <c r="F107" s="112">
        <v>28170</v>
      </c>
      <c r="G107" s="112">
        <v>29130</v>
      </c>
      <c r="H107" s="112">
        <v>30220</v>
      </c>
      <c r="I107" s="112">
        <v>30350</v>
      </c>
      <c r="J107" s="112">
        <v>30210</v>
      </c>
      <c r="K107" s="112">
        <v>29920</v>
      </c>
      <c r="L107" s="112">
        <v>29680</v>
      </c>
      <c r="M107" s="112">
        <v>29480</v>
      </c>
      <c r="N107" s="112">
        <v>29320</v>
      </c>
      <c r="O107" s="112">
        <v>29190</v>
      </c>
      <c r="P107" s="112">
        <v>29100</v>
      </c>
      <c r="Q107" s="112">
        <v>29040</v>
      </c>
      <c r="R107" s="112">
        <v>29000</v>
      </c>
      <c r="S107" s="112">
        <v>28980</v>
      </c>
      <c r="T107" s="112">
        <v>28970</v>
      </c>
      <c r="U107" s="112">
        <v>28970</v>
      </c>
      <c r="V107" s="112">
        <v>28970</v>
      </c>
      <c r="W107" s="112">
        <v>28970</v>
      </c>
      <c r="X107" s="112">
        <v>28980</v>
      </c>
      <c r="Y107" s="112">
        <v>28980</v>
      </c>
      <c r="Z107" s="112">
        <v>28990</v>
      </c>
      <c r="AA107" s="112">
        <v>29000</v>
      </c>
      <c r="AB107" s="112">
        <v>29000</v>
      </c>
      <c r="AC107" s="112">
        <v>28970</v>
      </c>
      <c r="AD107" s="112">
        <v>28930</v>
      </c>
      <c r="AE107" s="112">
        <v>28890</v>
      </c>
      <c r="AF107" s="112">
        <v>28840</v>
      </c>
      <c r="AG107" s="112">
        <v>28810</v>
      </c>
      <c r="AH107" s="112">
        <v>28790</v>
      </c>
      <c r="AI107" s="112">
        <v>28800</v>
      </c>
      <c r="AJ107" s="112">
        <v>28820</v>
      </c>
      <c r="AK107" s="112">
        <v>28860</v>
      </c>
      <c r="AL107" s="112">
        <v>28920</v>
      </c>
      <c r="AM107" s="112">
        <v>29000</v>
      </c>
      <c r="AN107" s="112">
        <v>29070</v>
      </c>
      <c r="AO107" s="112">
        <v>29150</v>
      </c>
      <c r="AP107" s="112">
        <v>29220</v>
      </c>
      <c r="AQ107" s="112">
        <v>29270</v>
      </c>
      <c r="AR107" s="112">
        <v>29300</v>
      </c>
      <c r="AS107" s="112">
        <v>29310</v>
      </c>
      <c r="AT107" s="112">
        <v>29300</v>
      </c>
      <c r="AU107" s="112">
        <v>29280</v>
      </c>
    </row>
    <row r="108" spans="1:47" x14ac:dyDescent="0.2">
      <c r="A108" s="114" t="s">
        <v>15</v>
      </c>
      <c r="B108" s="8"/>
      <c r="C108" s="112">
        <v>28370</v>
      </c>
      <c r="D108" s="112">
        <v>27510</v>
      </c>
      <c r="E108" s="112">
        <v>27400</v>
      </c>
      <c r="F108" s="112">
        <v>28370</v>
      </c>
      <c r="G108" s="112">
        <v>28250</v>
      </c>
      <c r="H108" s="112">
        <v>29210</v>
      </c>
      <c r="I108" s="112">
        <v>30300</v>
      </c>
      <c r="J108" s="112">
        <v>30430</v>
      </c>
      <c r="K108" s="112">
        <v>30290</v>
      </c>
      <c r="L108" s="112">
        <v>30000</v>
      </c>
      <c r="M108" s="112">
        <v>29760</v>
      </c>
      <c r="N108" s="112">
        <v>29560</v>
      </c>
      <c r="O108" s="112">
        <v>29390</v>
      </c>
      <c r="P108" s="112">
        <v>29270</v>
      </c>
      <c r="Q108" s="112">
        <v>29180</v>
      </c>
      <c r="R108" s="112">
        <v>29120</v>
      </c>
      <c r="S108" s="112">
        <v>29080</v>
      </c>
      <c r="T108" s="112">
        <v>29060</v>
      </c>
      <c r="U108" s="112">
        <v>29050</v>
      </c>
      <c r="V108" s="112">
        <v>29050</v>
      </c>
      <c r="W108" s="112">
        <v>29040</v>
      </c>
      <c r="X108" s="112">
        <v>29050</v>
      </c>
      <c r="Y108" s="112">
        <v>29050</v>
      </c>
      <c r="Z108" s="112">
        <v>29060</v>
      </c>
      <c r="AA108" s="112">
        <v>29070</v>
      </c>
      <c r="AB108" s="112">
        <v>29080</v>
      </c>
      <c r="AC108" s="112">
        <v>29070</v>
      </c>
      <c r="AD108" s="112">
        <v>29050</v>
      </c>
      <c r="AE108" s="112">
        <v>29010</v>
      </c>
      <c r="AF108" s="112">
        <v>28970</v>
      </c>
      <c r="AG108" s="112">
        <v>28920</v>
      </c>
      <c r="AH108" s="112">
        <v>28890</v>
      </c>
      <c r="AI108" s="112">
        <v>28870</v>
      </c>
      <c r="AJ108" s="112">
        <v>28870</v>
      </c>
      <c r="AK108" s="112">
        <v>28900</v>
      </c>
      <c r="AL108" s="112">
        <v>28940</v>
      </c>
      <c r="AM108" s="112">
        <v>29000</v>
      </c>
      <c r="AN108" s="112">
        <v>29070</v>
      </c>
      <c r="AO108" s="112">
        <v>29150</v>
      </c>
      <c r="AP108" s="112">
        <v>29230</v>
      </c>
      <c r="AQ108" s="112">
        <v>29300</v>
      </c>
      <c r="AR108" s="112">
        <v>29350</v>
      </c>
      <c r="AS108" s="112">
        <v>29380</v>
      </c>
      <c r="AT108" s="112">
        <v>29390</v>
      </c>
      <c r="AU108" s="112">
        <v>29380</v>
      </c>
    </row>
    <row r="109" spans="1:47" x14ac:dyDescent="0.2">
      <c r="A109" s="114" t="s">
        <v>16</v>
      </c>
      <c r="B109" s="8"/>
      <c r="C109" s="112">
        <v>28910</v>
      </c>
      <c r="D109" s="112">
        <v>28430</v>
      </c>
      <c r="E109" s="112">
        <v>27520</v>
      </c>
      <c r="F109" s="112">
        <v>27520</v>
      </c>
      <c r="G109" s="112">
        <v>28450</v>
      </c>
      <c r="H109" s="112">
        <v>28330</v>
      </c>
      <c r="I109" s="112">
        <v>29290</v>
      </c>
      <c r="J109" s="112">
        <v>30380</v>
      </c>
      <c r="K109" s="112">
        <v>30510</v>
      </c>
      <c r="L109" s="112">
        <v>30370</v>
      </c>
      <c r="M109" s="112">
        <v>30080</v>
      </c>
      <c r="N109" s="112">
        <v>29840</v>
      </c>
      <c r="O109" s="112">
        <v>29640</v>
      </c>
      <c r="P109" s="112">
        <v>29470</v>
      </c>
      <c r="Q109" s="112">
        <v>29350</v>
      </c>
      <c r="R109" s="112">
        <v>29260</v>
      </c>
      <c r="S109" s="112">
        <v>29200</v>
      </c>
      <c r="T109" s="112">
        <v>29160</v>
      </c>
      <c r="U109" s="112">
        <v>29140</v>
      </c>
      <c r="V109" s="112">
        <v>29130</v>
      </c>
      <c r="W109" s="112">
        <v>29130</v>
      </c>
      <c r="X109" s="112">
        <v>29120</v>
      </c>
      <c r="Y109" s="112">
        <v>29130</v>
      </c>
      <c r="Z109" s="112">
        <v>29130</v>
      </c>
      <c r="AA109" s="112">
        <v>29140</v>
      </c>
      <c r="AB109" s="112">
        <v>29150</v>
      </c>
      <c r="AC109" s="112">
        <v>29160</v>
      </c>
      <c r="AD109" s="112">
        <v>29160</v>
      </c>
      <c r="AE109" s="112">
        <v>29130</v>
      </c>
      <c r="AF109" s="112">
        <v>29090</v>
      </c>
      <c r="AG109" s="112">
        <v>29050</v>
      </c>
      <c r="AH109" s="112">
        <v>29000</v>
      </c>
      <c r="AI109" s="112">
        <v>28970</v>
      </c>
      <c r="AJ109" s="112">
        <v>28950</v>
      </c>
      <c r="AK109" s="112">
        <v>28960</v>
      </c>
      <c r="AL109" s="112">
        <v>28980</v>
      </c>
      <c r="AM109" s="112">
        <v>29020</v>
      </c>
      <c r="AN109" s="112">
        <v>29080</v>
      </c>
      <c r="AO109" s="112">
        <v>29160</v>
      </c>
      <c r="AP109" s="112">
        <v>29230</v>
      </c>
      <c r="AQ109" s="112">
        <v>29310</v>
      </c>
      <c r="AR109" s="112">
        <v>29380</v>
      </c>
      <c r="AS109" s="112">
        <v>29430</v>
      </c>
      <c r="AT109" s="112">
        <v>29460</v>
      </c>
      <c r="AU109" s="112">
        <v>29470</v>
      </c>
    </row>
    <row r="110" spans="1:47" x14ac:dyDescent="0.2">
      <c r="A110" s="114" t="s">
        <v>17</v>
      </c>
      <c r="B110" s="8"/>
      <c r="C110" s="112">
        <v>27980</v>
      </c>
      <c r="D110" s="112">
        <v>29000</v>
      </c>
      <c r="E110" s="112">
        <v>28410</v>
      </c>
      <c r="F110" s="112">
        <v>27620</v>
      </c>
      <c r="G110" s="112">
        <v>27600</v>
      </c>
      <c r="H110" s="112">
        <v>28530</v>
      </c>
      <c r="I110" s="112">
        <v>28410</v>
      </c>
      <c r="J110" s="112">
        <v>29370</v>
      </c>
      <c r="K110" s="112">
        <v>30460</v>
      </c>
      <c r="L110" s="112">
        <v>30600</v>
      </c>
      <c r="M110" s="112">
        <v>30450</v>
      </c>
      <c r="N110" s="112">
        <v>30170</v>
      </c>
      <c r="O110" s="112">
        <v>29920</v>
      </c>
      <c r="P110" s="112">
        <v>29720</v>
      </c>
      <c r="Q110" s="112">
        <v>29560</v>
      </c>
      <c r="R110" s="112">
        <v>29430</v>
      </c>
      <c r="S110" s="112">
        <v>29340</v>
      </c>
      <c r="T110" s="112">
        <v>29280</v>
      </c>
      <c r="U110" s="112">
        <v>29250</v>
      </c>
      <c r="V110" s="112">
        <v>29230</v>
      </c>
      <c r="W110" s="112">
        <v>29220</v>
      </c>
      <c r="X110" s="112">
        <v>29210</v>
      </c>
      <c r="Y110" s="112">
        <v>29210</v>
      </c>
      <c r="Z110" s="112">
        <v>29210</v>
      </c>
      <c r="AA110" s="112">
        <v>29220</v>
      </c>
      <c r="AB110" s="112">
        <v>29230</v>
      </c>
      <c r="AC110" s="112">
        <v>29240</v>
      </c>
      <c r="AD110" s="112">
        <v>29240</v>
      </c>
      <c r="AE110" s="112">
        <v>29240</v>
      </c>
      <c r="AF110" s="112">
        <v>29220</v>
      </c>
      <c r="AG110" s="112">
        <v>29180</v>
      </c>
      <c r="AH110" s="112">
        <v>29130</v>
      </c>
      <c r="AI110" s="112">
        <v>29090</v>
      </c>
      <c r="AJ110" s="112">
        <v>29050</v>
      </c>
      <c r="AK110" s="112">
        <v>29040</v>
      </c>
      <c r="AL110" s="112">
        <v>29040</v>
      </c>
      <c r="AM110" s="112">
        <v>29060</v>
      </c>
      <c r="AN110" s="112">
        <v>29110</v>
      </c>
      <c r="AO110" s="112">
        <v>29170</v>
      </c>
      <c r="AP110" s="112">
        <v>29240</v>
      </c>
      <c r="AQ110" s="112">
        <v>29320</v>
      </c>
      <c r="AR110" s="112">
        <v>29400</v>
      </c>
      <c r="AS110" s="112">
        <v>29460</v>
      </c>
      <c r="AT110" s="112">
        <v>29510</v>
      </c>
      <c r="AU110" s="112">
        <v>29540</v>
      </c>
    </row>
    <row r="111" spans="1:47" x14ac:dyDescent="0.2">
      <c r="A111" s="114" t="s">
        <v>18</v>
      </c>
      <c r="B111" s="8"/>
      <c r="C111" s="112">
        <v>28620</v>
      </c>
      <c r="D111" s="112">
        <v>28050</v>
      </c>
      <c r="E111" s="112">
        <v>29030</v>
      </c>
      <c r="F111" s="112">
        <v>28590</v>
      </c>
      <c r="G111" s="112">
        <v>27700</v>
      </c>
      <c r="H111" s="112">
        <v>27680</v>
      </c>
      <c r="I111" s="112">
        <v>28620</v>
      </c>
      <c r="J111" s="112">
        <v>28500</v>
      </c>
      <c r="K111" s="112">
        <v>29450</v>
      </c>
      <c r="L111" s="112">
        <v>30550</v>
      </c>
      <c r="M111" s="112">
        <v>30680</v>
      </c>
      <c r="N111" s="112">
        <v>30540</v>
      </c>
      <c r="O111" s="112">
        <v>30250</v>
      </c>
      <c r="P111" s="112">
        <v>30010</v>
      </c>
      <c r="Q111" s="112">
        <v>29800</v>
      </c>
      <c r="R111" s="112">
        <v>29640</v>
      </c>
      <c r="S111" s="112">
        <v>29520</v>
      </c>
      <c r="T111" s="112">
        <v>29430</v>
      </c>
      <c r="U111" s="112">
        <v>29370</v>
      </c>
      <c r="V111" s="112">
        <v>29330</v>
      </c>
      <c r="W111" s="112">
        <v>29310</v>
      </c>
      <c r="X111" s="112">
        <v>29300</v>
      </c>
      <c r="Y111" s="112">
        <v>29290</v>
      </c>
      <c r="Z111" s="112">
        <v>29290</v>
      </c>
      <c r="AA111" s="112">
        <v>29300</v>
      </c>
      <c r="AB111" s="112">
        <v>29300</v>
      </c>
      <c r="AC111" s="112">
        <v>29310</v>
      </c>
      <c r="AD111" s="112">
        <v>29320</v>
      </c>
      <c r="AE111" s="112">
        <v>29320</v>
      </c>
      <c r="AF111" s="112">
        <v>29320</v>
      </c>
      <c r="AG111" s="112">
        <v>29300</v>
      </c>
      <c r="AH111" s="112">
        <v>29260</v>
      </c>
      <c r="AI111" s="112">
        <v>29220</v>
      </c>
      <c r="AJ111" s="112">
        <v>29170</v>
      </c>
      <c r="AK111" s="112">
        <v>29140</v>
      </c>
      <c r="AL111" s="112">
        <v>29120</v>
      </c>
      <c r="AM111" s="112">
        <v>29120</v>
      </c>
      <c r="AN111" s="112">
        <v>29150</v>
      </c>
      <c r="AO111" s="112">
        <v>29190</v>
      </c>
      <c r="AP111" s="112">
        <v>29250</v>
      </c>
      <c r="AQ111" s="112">
        <v>29320</v>
      </c>
      <c r="AR111" s="112">
        <v>29400</v>
      </c>
      <c r="AS111" s="112">
        <v>29480</v>
      </c>
      <c r="AT111" s="112">
        <v>29550</v>
      </c>
      <c r="AU111" s="112">
        <v>29600</v>
      </c>
    </row>
    <row r="112" spans="1:47" x14ac:dyDescent="0.2">
      <c r="A112" s="114" t="s">
        <v>19</v>
      </c>
      <c r="B112" s="8"/>
      <c r="C112" s="112">
        <v>28770</v>
      </c>
      <c r="D112" s="112">
        <v>28700</v>
      </c>
      <c r="E112" s="112">
        <v>28050</v>
      </c>
      <c r="F112" s="112">
        <v>29140</v>
      </c>
      <c r="G112" s="112">
        <v>28670</v>
      </c>
      <c r="H112" s="112">
        <v>27790</v>
      </c>
      <c r="I112" s="112">
        <v>27770</v>
      </c>
      <c r="J112" s="112">
        <v>28700</v>
      </c>
      <c r="K112" s="112">
        <v>28580</v>
      </c>
      <c r="L112" s="112">
        <v>29540</v>
      </c>
      <c r="M112" s="112">
        <v>30630</v>
      </c>
      <c r="N112" s="112">
        <v>30760</v>
      </c>
      <c r="O112" s="112">
        <v>30620</v>
      </c>
      <c r="P112" s="112">
        <v>30330</v>
      </c>
      <c r="Q112" s="112">
        <v>30090</v>
      </c>
      <c r="R112" s="112">
        <v>29890</v>
      </c>
      <c r="S112" s="112">
        <v>29720</v>
      </c>
      <c r="T112" s="112">
        <v>29600</v>
      </c>
      <c r="U112" s="112">
        <v>29510</v>
      </c>
      <c r="V112" s="112">
        <v>29450</v>
      </c>
      <c r="W112" s="112">
        <v>29410</v>
      </c>
      <c r="X112" s="112">
        <v>29390</v>
      </c>
      <c r="Y112" s="112">
        <v>29380</v>
      </c>
      <c r="Z112" s="112">
        <v>29380</v>
      </c>
      <c r="AA112" s="112">
        <v>29380</v>
      </c>
      <c r="AB112" s="112">
        <v>29380</v>
      </c>
      <c r="AC112" s="112">
        <v>29390</v>
      </c>
      <c r="AD112" s="112">
        <v>29400</v>
      </c>
      <c r="AE112" s="112">
        <v>29400</v>
      </c>
      <c r="AF112" s="112">
        <v>29410</v>
      </c>
      <c r="AG112" s="112">
        <v>29410</v>
      </c>
      <c r="AH112" s="112">
        <v>29380</v>
      </c>
      <c r="AI112" s="112">
        <v>29350</v>
      </c>
      <c r="AJ112" s="112">
        <v>29300</v>
      </c>
      <c r="AK112" s="112">
        <v>29250</v>
      </c>
      <c r="AL112" s="112">
        <v>29220</v>
      </c>
      <c r="AM112" s="112">
        <v>29200</v>
      </c>
      <c r="AN112" s="112">
        <v>29210</v>
      </c>
      <c r="AO112" s="112">
        <v>29230</v>
      </c>
      <c r="AP112" s="112">
        <v>29270</v>
      </c>
      <c r="AQ112" s="112">
        <v>29330</v>
      </c>
      <c r="AR112" s="112">
        <v>29410</v>
      </c>
      <c r="AS112" s="112">
        <v>29490</v>
      </c>
      <c r="AT112" s="112">
        <v>29560</v>
      </c>
      <c r="AU112" s="112">
        <v>29630</v>
      </c>
    </row>
    <row r="113" spans="1:47" x14ac:dyDescent="0.2">
      <c r="A113" s="114" t="s">
        <v>20</v>
      </c>
      <c r="B113" s="8"/>
      <c r="C113" s="112">
        <v>29250</v>
      </c>
      <c r="D113" s="112">
        <v>28830</v>
      </c>
      <c r="E113" s="112">
        <v>28670</v>
      </c>
      <c r="F113" s="112">
        <v>28210</v>
      </c>
      <c r="G113" s="112">
        <v>29220</v>
      </c>
      <c r="H113" s="112">
        <v>28760</v>
      </c>
      <c r="I113" s="112">
        <v>27870</v>
      </c>
      <c r="J113" s="112">
        <v>27850</v>
      </c>
      <c r="K113" s="112">
        <v>28780</v>
      </c>
      <c r="L113" s="112">
        <v>28660</v>
      </c>
      <c r="M113" s="112">
        <v>29620</v>
      </c>
      <c r="N113" s="112">
        <v>30710</v>
      </c>
      <c r="O113" s="112">
        <v>30840</v>
      </c>
      <c r="P113" s="112">
        <v>30700</v>
      </c>
      <c r="Q113" s="112">
        <v>30410</v>
      </c>
      <c r="R113" s="112">
        <v>30170</v>
      </c>
      <c r="S113" s="112">
        <v>29970</v>
      </c>
      <c r="T113" s="112">
        <v>29810</v>
      </c>
      <c r="U113" s="112">
        <v>29680</v>
      </c>
      <c r="V113" s="112">
        <v>29590</v>
      </c>
      <c r="W113" s="112">
        <v>29530</v>
      </c>
      <c r="X113" s="112">
        <v>29500</v>
      </c>
      <c r="Y113" s="112">
        <v>29480</v>
      </c>
      <c r="Z113" s="112">
        <v>29470</v>
      </c>
      <c r="AA113" s="112">
        <v>29460</v>
      </c>
      <c r="AB113" s="112">
        <v>29460</v>
      </c>
      <c r="AC113" s="112">
        <v>29460</v>
      </c>
      <c r="AD113" s="112">
        <v>29470</v>
      </c>
      <c r="AE113" s="112">
        <v>29480</v>
      </c>
      <c r="AF113" s="112">
        <v>29490</v>
      </c>
      <c r="AG113" s="112">
        <v>29490</v>
      </c>
      <c r="AH113" s="112">
        <v>29490</v>
      </c>
      <c r="AI113" s="112">
        <v>29470</v>
      </c>
      <c r="AJ113" s="112">
        <v>29430</v>
      </c>
      <c r="AK113" s="112">
        <v>29380</v>
      </c>
      <c r="AL113" s="112">
        <v>29340</v>
      </c>
      <c r="AM113" s="112">
        <v>29300</v>
      </c>
      <c r="AN113" s="112">
        <v>29290</v>
      </c>
      <c r="AO113" s="112">
        <v>29290</v>
      </c>
      <c r="AP113" s="112">
        <v>29310</v>
      </c>
      <c r="AQ113" s="112">
        <v>29360</v>
      </c>
      <c r="AR113" s="112">
        <v>29420</v>
      </c>
      <c r="AS113" s="112">
        <v>29490</v>
      </c>
      <c r="AT113" s="112">
        <v>29570</v>
      </c>
      <c r="AU113" s="112">
        <v>29650</v>
      </c>
    </row>
    <row r="114" spans="1:47" x14ac:dyDescent="0.2">
      <c r="A114" s="114" t="s">
        <v>21</v>
      </c>
      <c r="B114" s="8"/>
      <c r="C114" s="112">
        <v>29970</v>
      </c>
      <c r="D114" s="112">
        <v>29320</v>
      </c>
      <c r="E114" s="112">
        <v>28830</v>
      </c>
      <c r="F114" s="112">
        <v>28840</v>
      </c>
      <c r="G114" s="112">
        <v>28290</v>
      </c>
      <c r="H114" s="112">
        <v>29310</v>
      </c>
      <c r="I114" s="112">
        <v>28840</v>
      </c>
      <c r="J114" s="112">
        <v>27950</v>
      </c>
      <c r="K114" s="112">
        <v>27930</v>
      </c>
      <c r="L114" s="112">
        <v>28860</v>
      </c>
      <c r="M114" s="112">
        <v>28740</v>
      </c>
      <c r="N114" s="112">
        <v>29700</v>
      </c>
      <c r="O114" s="112">
        <v>30790</v>
      </c>
      <c r="P114" s="112">
        <v>30920</v>
      </c>
      <c r="Q114" s="112">
        <v>30780</v>
      </c>
      <c r="R114" s="112">
        <v>30490</v>
      </c>
      <c r="S114" s="112">
        <v>30250</v>
      </c>
      <c r="T114" s="112">
        <v>30050</v>
      </c>
      <c r="U114" s="112">
        <v>29890</v>
      </c>
      <c r="V114" s="112">
        <v>29760</v>
      </c>
      <c r="W114" s="112">
        <v>29680</v>
      </c>
      <c r="X114" s="112">
        <v>29620</v>
      </c>
      <c r="Y114" s="112">
        <v>29580</v>
      </c>
      <c r="Z114" s="112">
        <v>29560</v>
      </c>
      <c r="AA114" s="112">
        <v>29550</v>
      </c>
      <c r="AB114" s="112">
        <v>29540</v>
      </c>
      <c r="AC114" s="112">
        <v>29540</v>
      </c>
      <c r="AD114" s="112">
        <v>29540</v>
      </c>
      <c r="AE114" s="112">
        <v>29550</v>
      </c>
      <c r="AF114" s="112">
        <v>29560</v>
      </c>
      <c r="AG114" s="112">
        <v>29570</v>
      </c>
      <c r="AH114" s="112">
        <v>29570</v>
      </c>
      <c r="AI114" s="112">
        <v>29570</v>
      </c>
      <c r="AJ114" s="112">
        <v>29550</v>
      </c>
      <c r="AK114" s="112">
        <v>29510</v>
      </c>
      <c r="AL114" s="112">
        <v>29460</v>
      </c>
      <c r="AM114" s="112">
        <v>29420</v>
      </c>
      <c r="AN114" s="112">
        <v>29390</v>
      </c>
      <c r="AO114" s="112">
        <v>29370</v>
      </c>
      <c r="AP114" s="112">
        <v>29370</v>
      </c>
      <c r="AQ114" s="112">
        <v>29390</v>
      </c>
      <c r="AR114" s="112">
        <v>29440</v>
      </c>
      <c r="AS114" s="112">
        <v>29500</v>
      </c>
      <c r="AT114" s="112">
        <v>29570</v>
      </c>
      <c r="AU114" s="112">
        <v>29650</v>
      </c>
    </row>
    <row r="115" spans="1:47" x14ac:dyDescent="0.2">
      <c r="A115" s="114" t="s">
        <v>22</v>
      </c>
      <c r="B115" s="8"/>
      <c r="C115" s="112">
        <v>29990</v>
      </c>
      <c r="D115" s="112">
        <v>30050</v>
      </c>
      <c r="E115" s="112">
        <v>29330</v>
      </c>
      <c r="F115" s="112">
        <v>28990</v>
      </c>
      <c r="G115" s="112">
        <v>28930</v>
      </c>
      <c r="H115" s="112">
        <v>28370</v>
      </c>
      <c r="I115" s="112">
        <v>29390</v>
      </c>
      <c r="J115" s="112">
        <v>28920</v>
      </c>
      <c r="K115" s="112">
        <v>28030</v>
      </c>
      <c r="L115" s="112">
        <v>28010</v>
      </c>
      <c r="M115" s="112">
        <v>28950</v>
      </c>
      <c r="N115" s="112">
        <v>28830</v>
      </c>
      <c r="O115" s="112">
        <v>29780</v>
      </c>
      <c r="P115" s="112">
        <v>30870</v>
      </c>
      <c r="Q115" s="112">
        <v>31010</v>
      </c>
      <c r="R115" s="112">
        <v>30870</v>
      </c>
      <c r="S115" s="112">
        <v>30580</v>
      </c>
      <c r="T115" s="112">
        <v>30340</v>
      </c>
      <c r="U115" s="112">
        <v>30130</v>
      </c>
      <c r="V115" s="112">
        <v>29970</v>
      </c>
      <c r="W115" s="112">
        <v>29850</v>
      </c>
      <c r="X115" s="112">
        <v>29760</v>
      </c>
      <c r="Y115" s="112">
        <v>29700</v>
      </c>
      <c r="Z115" s="112">
        <v>29660</v>
      </c>
      <c r="AA115" s="112">
        <v>29640</v>
      </c>
      <c r="AB115" s="112">
        <v>29630</v>
      </c>
      <c r="AC115" s="112">
        <v>29630</v>
      </c>
      <c r="AD115" s="112">
        <v>29620</v>
      </c>
      <c r="AE115" s="112">
        <v>29630</v>
      </c>
      <c r="AF115" s="112">
        <v>29630</v>
      </c>
      <c r="AG115" s="112">
        <v>29640</v>
      </c>
      <c r="AH115" s="112">
        <v>29650</v>
      </c>
      <c r="AI115" s="112">
        <v>29660</v>
      </c>
      <c r="AJ115" s="112">
        <v>29660</v>
      </c>
      <c r="AK115" s="112">
        <v>29630</v>
      </c>
      <c r="AL115" s="112">
        <v>29590</v>
      </c>
      <c r="AM115" s="112">
        <v>29550</v>
      </c>
      <c r="AN115" s="112">
        <v>29500</v>
      </c>
      <c r="AO115" s="112">
        <v>29470</v>
      </c>
      <c r="AP115" s="112">
        <v>29450</v>
      </c>
      <c r="AQ115" s="112">
        <v>29450</v>
      </c>
      <c r="AR115" s="112">
        <v>29480</v>
      </c>
      <c r="AS115" s="112">
        <v>29520</v>
      </c>
      <c r="AT115" s="112">
        <v>29580</v>
      </c>
      <c r="AU115" s="112">
        <v>29660</v>
      </c>
    </row>
    <row r="116" spans="1:47" x14ac:dyDescent="0.2">
      <c r="A116" s="114" t="s">
        <v>23</v>
      </c>
      <c r="B116" s="8"/>
      <c r="C116" s="112">
        <v>30750</v>
      </c>
      <c r="D116" s="112">
        <v>30070</v>
      </c>
      <c r="E116" s="112">
        <v>30040</v>
      </c>
      <c r="F116" s="112">
        <v>29490</v>
      </c>
      <c r="G116" s="112">
        <v>29080</v>
      </c>
      <c r="H116" s="112">
        <v>29020</v>
      </c>
      <c r="I116" s="112">
        <v>28460</v>
      </c>
      <c r="J116" s="112">
        <v>29480</v>
      </c>
      <c r="K116" s="112">
        <v>29010</v>
      </c>
      <c r="L116" s="112">
        <v>28130</v>
      </c>
      <c r="M116" s="112">
        <v>28110</v>
      </c>
      <c r="N116" s="112">
        <v>29040</v>
      </c>
      <c r="O116" s="112">
        <v>28920</v>
      </c>
      <c r="P116" s="112">
        <v>29880</v>
      </c>
      <c r="Q116" s="112">
        <v>30970</v>
      </c>
      <c r="R116" s="112">
        <v>31100</v>
      </c>
      <c r="S116" s="112">
        <v>30960</v>
      </c>
      <c r="T116" s="112">
        <v>30670</v>
      </c>
      <c r="U116" s="112">
        <v>30430</v>
      </c>
      <c r="V116" s="112">
        <v>30230</v>
      </c>
      <c r="W116" s="112">
        <v>30070</v>
      </c>
      <c r="X116" s="112">
        <v>29940</v>
      </c>
      <c r="Y116" s="112">
        <v>29850</v>
      </c>
      <c r="Z116" s="112">
        <v>29790</v>
      </c>
      <c r="AA116" s="112">
        <v>29760</v>
      </c>
      <c r="AB116" s="112">
        <v>29740</v>
      </c>
      <c r="AC116" s="112">
        <v>29730</v>
      </c>
      <c r="AD116" s="112">
        <v>29720</v>
      </c>
      <c r="AE116" s="112">
        <v>29720</v>
      </c>
      <c r="AF116" s="112">
        <v>29720</v>
      </c>
      <c r="AG116" s="112">
        <v>29730</v>
      </c>
      <c r="AH116" s="112">
        <v>29740</v>
      </c>
      <c r="AI116" s="112">
        <v>29740</v>
      </c>
      <c r="AJ116" s="112">
        <v>29750</v>
      </c>
      <c r="AK116" s="112">
        <v>29750</v>
      </c>
      <c r="AL116" s="112">
        <v>29730</v>
      </c>
      <c r="AM116" s="112">
        <v>29690</v>
      </c>
      <c r="AN116" s="112">
        <v>29640</v>
      </c>
      <c r="AO116" s="112">
        <v>29600</v>
      </c>
      <c r="AP116" s="112">
        <v>29560</v>
      </c>
      <c r="AQ116" s="112">
        <v>29550</v>
      </c>
      <c r="AR116" s="112">
        <v>29550</v>
      </c>
      <c r="AS116" s="112">
        <v>29570</v>
      </c>
      <c r="AT116" s="112">
        <v>29620</v>
      </c>
      <c r="AU116" s="112">
        <v>29680</v>
      </c>
    </row>
    <row r="117" spans="1:47" x14ac:dyDescent="0.2">
      <c r="A117" s="114" t="s">
        <v>24</v>
      </c>
      <c r="B117" s="8"/>
      <c r="C117" s="112">
        <v>30960</v>
      </c>
      <c r="D117" s="112">
        <v>30820</v>
      </c>
      <c r="E117" s="112">
        <v>30090</v>
      </c>
      <c r="F117" s="112">
        <v>30250</v>
      </c>
      <c r="G117" s="112">
        <v>29610</v>
      </c>
      <c r="H117" s="112">
        <v>29210</v>
      </c>
      <c r="I117" s="112">
        <v>29140</v>
      </c>
      <c r="J117" s="112">
        <v>28590</v>
      </c>
      <c r="K117" s="112">
        <v>29600</v>
      </c>
      <c r="L117" s="112">
        <v>29140</v>
      </c>
      <c r="M117" s="112">
        <v>28250</v>
      </c>
      <c r="N117" s="112">
        <v>28230</v>
      </c>
      <c r="O117" s="112">
        <v>29160</v>
      </c>
      <c r="P117" s="112">
        <v>29040</v>
      </c>
      <c r="Q117" s="112">
        <v>30000</v>
      </c>
      <c r="R117" s="112">
        <v>31090</v>
      </c>
      <c r="S117" s="112">
        <v>31230</v>
      </c>
      <c r="T117" s="112">
        <v>31080</v>
      </c>
      <c r="U117" s="112">
        <v>30800</v>
      </c>
      <c r="V117" s="112">
        <v>30550</v>
      </c>
      <c r="W117" s="112">
        <v>30350</v>
      </c>
      <c r="X117" s="112">
        <v>30190</v>
      </c>
      <c r="Y117" s="112">
        <v>30070</v>
      </c>
      <c r="Z117" s="112">
        <v>29980</v>
      </c>
      <c r="AA117" s="112">
        <v>29920</v>
      </c>
      <c r="AB117" s="112">
        <v>29880</v>
      </c>
      <c r="AC117" s="112">
        <v>29860</v>
      </c>
      <c r="AD117" s="112">
        <v>29850</v>
      </c>
      <c r="AE117" s="112">
        <v>29840</v>
      </c>
      <c r="AF117" s="112">
        <v>29840</v>
      </c>
      <c r="AG117" s="112">
        <v>29850</v>
      </c>
      <c r="AH117" s="112">
        <v>29850</v>
      </c>
      <c r="AI117" s="112">
        <v>29860</v>
      </c>
      <c r="AJ117" s="112">
        <v>29870</v>
      </c>
      <c r="AK117" s="112">
        <v>29870</v>
      </c>
      <c r="AL117" s="112">
        <v>29870</v>
      </c>
      <c r="AM117" s="112">
        <v>29850</v>
      </c>
      <c r="AN117" s="112">
        <v>29810</v>
      </c>
      <c r="AO117" s="112">
        <v>29770</v>
      </c>
      <c r="AP117" s="112">
        <v>29720</v>
      </c>
      <c r="AQ117" s="112">
        <v>29690</v>
      </c>
      <c r="AR117" s="112">
        <v>29670</v>
      </c>
      <c r="AS117" s="112">
        <v>29670</v>
      </c>
      <c r="AT117" s="112">
        <v>29700</v>
      </c>
      <c r="AU117" s="112">
        <v>29740</v>
      </c>
    </row>
    <row r="118" spans="1:47" x14ac:dyDescent="0.2">
      <c r="A118" s="114" t="s">
        <v>25</v>
      </c>
      <c r="B118" s="8"/>
      <c r="C118" s="112">
        <v>32030</v>
      </c>
      <c r="D118" s="112">
        <v>31160</v>
      </c>
      <c r="E118" s="112">
        <v>30910</v>
      </c>
      <c r="F118" s="112">
        <v>30360</v>
      </c>
      <c r="G118" s="112">
        <v>30420</v>
      </c>
      <c r="H118" s="112">
        <v>29790</v>
      </c>
      <c r="I118" s="112">
        <v>29380</v>
      </c>
      <c r="J118" s="112">
        <v>29320</v>
      </c>
      <c r="K118" s="112">
        <v>28760</v>
      </c>
      <c r="L118" s="112">
        <v>29780</v>
      </c>
      <c r="M118" s="112">
        <v>29310</v>
      </c>
      <c r="N118" s="112">
        <v>28430</v>
      </c>
      <c r="O118" s="112">
        <v>28410</v>
      </c>
      <c r="P118" s="112">
        <v>29340</v>
      </c>
      <c r="Q118" s="112">
        <v>29220</v>
      </c>
      <c r="R118" s="112">
        <v>30180</v>
      </c>
      <c r="S118" s="112">
        <v>31270</v>
      </c>
      <c r="T118" s="112">
        <v>31400</v>
      </c>
      <c r="U118" s="112">
        <v>31260</v>
      </c>
      <c r="V118" s="112">
        <v>30970</v>
      </c>
      <c r="W118" s="112">
        <v>30730</v>
      </c>
      <c r="X118" s="112">
        <v>30530</v>
      </c>
      <c r="Y118" s="112">
        <v>30370</v>
      </c>
      <c r="Z118" s="112">
        <v>30240</v>
      </c>
      <c r="AA118" s="112">
        <v>30150</v>
      </c>
      <c r="AB118" s="112">
        <v>30090</v>
      </c>
      <c r="AC118" s="112">
        <v>30060</v>
      </c>
      <c r="AD118" s="112">
        <v>30040</v>
      </c>
      <c r="AE118" s="112">
        <v>30030</v>
      </c>
      <c r="AF118" s="112">
        <v>30020</v>
      </c>
      <c r="AG118" s="112">
        <v>30020</v>
      </c>
      <c r="AH118" s="112">
        <v>30020</v>
      </c>
      <c r="AI118" s="112">
        <v>30030</v>
      </c>
      <c r="AJ118" s="112">
        <v>30040</v>
      </c>
      <c r="AK118" s="112">
        <v>30050</v>
      </c>
      <c r="AL118" s="112">
        <v>30050</v>
      </c>
      <c r="AM118" s="112">
        <v>30050</v>
      </c>
      <c r="AN118" s="112">
        <v>30030</v>
      </c>
      <c r="AO118" s="112">
        <v>29990</v>
      </c>
      <c r="AP118" s="112">
        <v>29950</v>
      </c>
      <c r="AQ118" s="112">
        <v>29900</v>
      </c>
      <c r="AR118" s="112">
        <v>29870</v>
      </c>
      <c r="AS118" s="112">
        <v>29850</v>
      </c>
      <c r="AT118" s="112">
        <v>29850</v>
      </c>
      <c r="AU118" s="112">
        <v>29880</v>
      </c>
    </row>
    <row r="119" spans="1:47" x14ac:dyDescent="0.2">
      <c r="A119" s="114" t="s">
        <v>26</v>
      </c>
      <c r="B119" s="8"/>
      <c r="C119" s="112">
        <v>31990</v>
      </c>
      <c r="D119" s="112">
        <v>32290</v>
      </c>
      <c r="E119" s="112">
        <v>31330</v>
      </c>
      <c r="F119" s="112">
        <v>31240</v>
      </c>
      <c r="G119" s="112">
        <v>30580</v>
      </c>
      <c r="H119" s="112">
        <v>30640</v>
      </c>
      <c r="I119" s="112">
        <v>30010</v>
      </c>
      <c r="J119" s="112">
        <v>29600</v>
      </c>
      <c r="K119" s="112">
        <v>29540</v>
      </c>
      <c r="L119" s="112">
        <v>28980</v>
      </c>
      <c r="M119" s="112">
        <v>30000</v>
      </c>
      <c r="N119" s="112">
        <v>29530</v>
      </c>
      <c r="O119" s="112">
        <v>28650</v>
      </c>
      <c r="P119" s="112">
        <v>28620</v>
      </c>
      <c r="Q119" s="112">
        <v>29560</v>
      </c>
      <c r="R119" s="112">
        <v>29440</v>
      </c>
      <c r="S119" s="112">
        <v>30390</v>
      </c>
      <c r="T119" s="112">
        <v>31490</v>
      </c>
      <c r="U119" s="112">
        <v>31620</v>
      </c>
      <c r="V119" s="112">
        <v>31480</v>
      </c>
      <c r="W119" s="112">
        <v>31190</v>
      </c>
      <c r="X119" s="112">
        <v>30950</v>
      </c>
      <c r="Y119" s="112">
        <v>30750</v>
      </c>
      <c r="Z119" s="112">
        <v>30590</v>
      </c>
      <c r="AA119" s="112">
        <v>30460</v>
      </c>
      <c r="AB119" s="112">
        <v>30370</v>
      </c>
      <c r="AC119" s="112">
        <v>30310</v>
      </c>
      <c r="AD119" s="112">
        <v>30280</v>
      </c>
      <c r="AE119" s="112">
        <v>30260</v>
      </c>
      <c r="AF119" s="112">
        <v>30250</v>
      </c>
      <c r="AG119" s="112">
        <v>30240</v>
      </c>
      <c r="AH119" s="112">
        <v>30240</v>
      </c>
      <c r="AI119" s="112">
        <v>30240</v>
      </c>
      <c r="AJ119" s="112">
        <v>30250</v>
      </c>
      <c r="AK119" s="112">
        <v>30260</v>
      </c>
      <c r="AL119" s="112">
        <v>30270</v>
      </c>
      <c r="AM119" s="112">
        <v>30270</v>
      </c>
      <c r="AN119" s="112">
        <v>30270</v>
      </c>
      <c r="AO119" s="112">
        <v>30250</v>
      </c>
      <c r="AP119" s="112">
        <v>30210</v>
      </c>
      <c r="AQ119" s="112">
        <v>30160</v>
      </c>
      <c r="AR119" s="112">
        <v>30120</v>
      </c>
      <c r="AS119" s="112">
        <v>30090</v>
      </c>
      <c r="AT119" s="112">
        <v>30070</v>
      </c>
      <c r="AU119" s="112">
        <v>30070</v>
      </c>
    </row>
    <row r="120" spans="1:47" x14ac:dyDescent="0.2">
      <c r="A120" s="114" t="s">
        <v>27</v>
      </c>
      <c r="B120" s="8"/>
      <c r="C120" s="112">
        <v>30880</v>
      </c>
      <c r="D120" s="112">
        <v>32240</v>
      </c>
      <c r="E120" s="112">
        <v>32480</v>
      </c>
      <c r="F120" s="112">
        <v>31540</v>
      </c>
      <c r="G120" s="112">
        <v>31460</v>
      </c>
      <c r="H120" s="112">
        <v>30790</v>
      </c>
      <c r="I120" s="112">
        <v>30860</v>
      </c>
      <c r="J120" s="112">
        <v>30220</v>
      </c>
      <c r="K120" s="112">
        <v>29820</v>
      </c>
      <c r="L120" s="112">
        <v>29750</v>
      </c>
      <c r="M120" s="112">
        <v>29200</v>
      </c>
      <c r="N120" s="112">
        <v>30220</v>
      </c>
      <c r="O120" s="112">
        <v>29750</v>
      </c>
      <c r="P120" s="112">
        <v>28870</v>
      </c>
      <c r="Q120" s="112">
        <v>28840</v>
      </c>
      <c r="R120" s="112">
        <v>29780</v>
      </c>
      <c r="S120" s="112">
        <v>29660</v>
      </c>
      <c r="T120" s="112">
        <v>30610</v>
      </c>
      <c r="U120" s="112">
        <v>31710</v>
      </c>
      <c r="V120" s="112">
        <v>31840</v>
      </c>
      <c r="W120" s="112">
        <v>31700</v>
      </c>
      <c r="X120" s="112">
        <v>31410</v>
      </c>
      <c r="Y120" s="112">
        <v>31170</v>
      </c>
      <c r="Z120" s="112">
        <v>30970</v>
      </c>
      <c r="AA120" s="112">
        <v>30810</v>
      </c>
      <c r="AB120" s="112">
        <v>30680</v>
      </c>
      <c r="AC120" s="112">
        <v>30590</v>
      </c>
      <c r="AD120" s="112">
        <v>30530</v>
      </c>
      <c r="AE120" s="112">
        <v>30500</v>
      </c>
      <c r="AF120" s="112">
        <v>30480</v>
      </c>
      <c r="AG120" s="112">
        <v>30470</v>
      </c>
      <c r="AH120" s="112">
        <v>30460</v>
      </c>
      <c r="AI120" s="112">
        <v>30460</v>
      </c>
      <c r="AJ120" s="112">
        <v>30460</v>
      </c>
      <c r="AK120" s="112">
        <v>30470</v>
      </c>
      <c r="AL120" s="112">
        <v>30480</v>
      </c>
      <c r="AM120" s="112">
        <v>30490</v>
      </c>
      <c r="AN120" s="112">
        <v>30490</v>
      </c>
      <c r="AO120" s="112">
        <v>30490</v>
      </c>
      <c r="AP120" s="112">
        <v>30470</v>
      </c>
      <c r="AQ120" s="112">
        <v>30430</v>
      </c>
      <c r="AR120" s="112">
        <v>30390</v>
      </c>
      <c r="AS120" s="112">
        <v>30340</v>
      </c>
      <c r="AT120" s="112">
        <v>30310</v>
      </c>
      <c r="AU120" s="112">
        <v>30290</v>
      </c>
    </row>
    <row r="121" spans="1:47" x14ac:dyDescent="0.2">
      <c r="A121" s="114" t="s">
        <v>28</v>
      </c>
      <c r="B121" s="8"/>
      <c r="C121" s="112">
        <v>30180</v>
      </c>
      <c r="D121" s="112">
        <v>30880</v>
      </c>
      <c r="E121" s="112">
        <v>32210</v>
      </c>
      <c r="F121" s="112">
        <v>32620</v>
      </c>
      <c r="G121" s="112">
        <v>31730</v>
      </c>
      <c r="H121" s="112">
        <v>31650</v>
      </c>
      <c r="I121" s="112">
        <v>30980</v>
      </c>
      <c r="J121" s="112">
        <v>31050</v>
      </c>
      <c r="K121" s="112">
        <v>30420</v>
      </c>
      <c r="L121" s="112">
        <v>30010</v>
      </c>
      <c r="M121" s="112">
        <v>29950</v>
      </c>
      <c r="N121" s="112">
        <v>29390</v>
      </c>
      <c r="O121" s="112">
        <v>30410</v>
      </c>
      <c r="P121" s="112">
        <v>29940</v>
      </c>
      <c r="Q121" s="112">
        <v>29060</v>
      </c>
      <c r="R121" s="112">
        <v>29040</v>
      </c>
      <c r="S121" s="112">
        <v>29970</v>
      </c>
      <c r="T121" s="112">
        <v>29850</v>
      </c>
      <c r="U121" s="112">
        <v>30810</v>
      </c>
      <c r="V121" s="112">
        <v>31900</v>
      </c>
      <c r="W121" s="112">
        <v>32030</v>
      </c>
      <c r="X121" s="112">
        <v>31890</v>
      </c>
      <c r="Y121" s="112">
        <v>31600</v>
      </c>
      <c r="Z121" s="112">
        <v>31360</v>
      </c>
      <c r="AA121" s="112">
        <v>31160</v>
      </c>
      <c r="AB121" s="112">
        <v>31000</v>
      </c>
      <c r="AC121" s="112">
        <v>30880</v>
      </c>
      <c r="AD121" s="112">
        <v>30790</v>
      </c>
      <c r="AE121" s="112">
        <v>30730</v>
      </c>
      <c r="AF121" s="112">
        <v>30690</v>
      </c>
      <c r="AG121" s="112">
        <v>30670</v>
      </c>
      <c r="AH121" s="112">
        <v>30660</v>
      </c>
      <c r="AI121" s="112">
        <v>30660</v>
      </c>
      <c r="AJ121" s="112">
        <v>30650</v>
      </c>
      <c r="AK121" s="112">
        <v>30660</v>
      </c>
      <c r="AL121" s="112">
        <v>30670</v>
      </c>
      <c r="AM121" s="112">
        <v>30670</v>
      </c>
      <c r="AN121" s="112">
        <v>30680</v>
      </c>
      <c r="AO121" s="112">
        <v>30690</v>
      </c>
      <c r="AP121" s="112">
        <v>30690</v>
      </c>
      <c r="AQ121" s="112">
        <v>30670</v>
      </c>
      <c r="AR121" s="112">
        <v>30630</v>
      </c>
      <c r="AS121" s="112">
        <v>30580</v>
      </c>
      <c r="AT121" s="112">
        <v>30540</v>
      </c>
      <c r="AU121" s="112">
        <v>30500</v>
      </c>
    </row>
    <row r="122" spans="1:47" x14ac:dyDescent="0.2">
      <c r="A122" s="114" t="s">
        <v>29</v>
      </c>
      <c r="B122" s="8"/>
      <c r="C122" s="112">
        <v>29070</v>
      </c>
      <c r="D122" s="112">
        <v>30220</v>
      </c>
      <c r="E122" s="112">
        <v>30910</v>
      </c>
      <c r="F122" s="112">
        <v>32470</v>
      </c>
      <c r="G122" s="112">
        <v>32740</v>
      </c>
      <c r="H122" s="112">
        <v>31850</v>
      </c>
      <c r="I122" s="112">
        <v>31770</v>
      </c>
      <c r="J122" s="112">
        <v>31110</v>
      </c>
      <c r="K122" s="112">
        <v>31170</v>
      </c>
      <c r="L122" s="112">
        <v>30540</v>
      </c>
      <c r="M122" s="112">
        <v>30140</v>
      </c>
      <c r="N122" s="112">
        <v>30070</v>
      </c>
      <c r="O122" s="112">
        <v>29520</v>
      </c>
      <c r="P122" s="112">
        <v>30530</v>
      </c>
      <c r="Q122" s="112">
        <v>30070</v>
      </c>
      <c r="R122" s="112">
        <v>29180</v>
      </c>
      <c r="S122" s="112">
        <v>29160</v>
      </c>
      <c r="T122" s="112">
        <v>30100</v>
      </c>
      <c r="U122" s="112">
        <v>29980</v>
      </c>
      <c r="V122" s="112">
        <v>30930</v>
      </c>
      <c r="W122" s="112">
        <v>32020</v>
      </c>
      <c r="X122" s="112">
        <v>32160</v>
      </c>
      <c r="Y122" s="112">
        <v>32020</v>
      </c>
      <c r="Z122" s="112">
        <v>31730</v>
      </c>
      <c r="AA122" s="112">
        <v>31490</v>
      </c>
      <c r="AB122" s="112">
        <v>31290</v>
      </c>
      <c r="AC122" s="112">
        <v>31130</v>
      </c>
      <c r="AD122" s="112">
        <v>31000</v>
      </c>
      <c r="AE122" s="112">
        <v>30910</v>
      </c>
      <c r="AF122" s="112">
        <v>30850</v>
      </c>
      <c r="AG122" s="112">
        <v>30820</v>
      </c>
      <c r="AH122" s="112">
        <v>30800</v>
      </c>
      <c r="AI122" s="112">
        <v>30790</v>
      </c>
      <c r="AJ122" s="112">
        <v>30780</v>
      </c>
      <c r="AK122" s="112">
        <v>30780</v>
      </c>
      <c r="AL122" s="112">
        <v>30780</v>
      </c>
      <c r="AM122" s="112">
        <v>30790</v>
      </c>
      <c r="AN122" s="112">
        <v>30800</v>
      </c>
      <c r="AO122" s="112">
        <v>30810</v>
      </c>
      <c r="AP122" s="112">
        <v>30820</v>
      </c>
      <c r="AQ122" s="112">
        <v>30820</v>
      </c>
      <c r="AR122" s="112">
        <v>30790</v>
      </c>
      <c r="AS122" s="112">
        <v>30750</v>
      </c>
      <c r="AT122" s="112">
        <v>30710</v>
      </c>
      <c r="AU122" s="112">
        <v>30660</v>
      </c>
    </row>
    <row r="123" spans="1:47" x14ac:dyDescent="0.2">
      <c r="A123" s="114" t="s">
        <v>30</v>
      </c>
      <c r="B123" s="8"/>
      <c r="C123" s="112">
        <v>29720</v>
      </c>
      <c r="D123" s="112">
        <v>29220</v>
      </c>
      <c r="E123" s="112">
        <v>30430</v>
      </c>
      <c r="F123" s="112">
        <v>31100</v>
      </c>
      <c r="G123" s="112">
        <v>32430</v>
      </c>
      <c r="H123" s="112">
        <v>32710</v>
      </c>
      <c r="I123" s="112">
        <v>31820</v>
      </c>
      <c r="J123" s="112">
        <v>31730</v>
      </c>
      <c r="K123" s="112">
        <v>31070</v>
      </c>
      <c r="L123" s="112">
        <v>31130</v>
      </c>
      <c r="M123" s="112">
        <v>30500</v>
      </c>
      <c r="N123" s="112">
        <v>30100</v>
      </c>
      <c r="O123" s="112">
        <v>30030</v>
      </c>
      <c r="P123" s="112">
        <v>29480</v>
      </c>
      <c r="Q123" s="112">
        <v>30500</v>
      </c>
      <c r="R123" s="112">
        <v>30030</v>
      </c>
      <c r="S123" s="112">
        <v>29150</v>
      </c>
      <c r="T123" s="112">
        <v>29130</v>
      </c>
      <c r="U123" s="112">
        <v>30060</v>
      </c>
      <c r="V123" s="112">
        <v>29940</v>
      </c>
      <c r="W123" s="112">
        <v>30900</v>
      </c>
      <c r="X123" s="112">
        <v>31990</v>
      </c>
      <c r="Y123" s="112">
        <v>32120</v>
      </c>
      <c r="Z123" s="112">
        <v>31980</v>
      </c>
      <c r="AA123" s="112">
        <v>31690</v>
      </c>
      <c r="AB123" s="112">
        <v>31450</v>
      </c>
      <c r="AC123" s="112">
        <v>31250</v>
      </c>
      <c r="AD123" s="112">
        <v>31090</v>
      </c>
      <c r="AE123" s="112">
        <v>30970</v>
      </c>
      <c r="AF123" s="112">
        <v>30880</v>
      </c>
      <c r="AG123" s="112">
        <v>30820</v>
      </c>
      <c r="AH123" s="112">
        <v>30780</v>
      </c>
      <c r="AI123" s="112">
        <v>30770</v>
      </c>
      <c r="AJ123" s="112">
        <v>30760</v>
      </c>
      <c r="AK123" s="112">
        <v>30750</v>
      </c>
      <c r="AL123" s="112">
        <v>30750</v>
      </c>
      <c r="AM123" s="112">
        <v>30750</v>
      </c>
      <c r="AN123" s="112">
        <v>30760</v>
      </c>
      <c r="AO123" s="112">
        <v>30770</v>
      </c>
      <c r="AP123" s="112">
        <v>30780</v>
      </c>
      <c r="AQ123" s="112">
        <v>30780</v>
      </c>
      <c r="AR123" s="112">
        <v>30780</v>
      </c>
      <c r="AS123" s="112">
        <v>30760</v>
      </c>
      <c r="AT123" s="112">
        <v>30720</v>
      </c>
      <c r="AU123" s="112">
        <v>30670</v>
      </c>
    </row>
    <row r="124" spans="1:47" x14ac:dyDescent="0.2">
      <c r="A124" s="114" t="s">
        <v>31</v>
      </c>
      <c r="B124" s="8"/>
      <c r="C124" s="112">
        <v>29650</v>
      </c>
      <c r="D124" s="112">
        <v>29650</v>
      </c>
      <c r="E124" s="112">
        <v>29160</v>
      </c>
      <c r="F124" s="112">
        <v>29930</v>
      </c>
      <c r="G124" s="112">
        <v>30830</v>
      </c>
      <c r="H124" s="112">
        <v>32170</v>
      </c>
      <c r="I124" s="112">
        <v>32440</v>
      </c>
      <c r="J124" s="112">
        <v>31550</v>
      </c>
      <c r="K124" s="112">
        <v>31470</v>
      </c>
      <c r="L124" s="112">
        <v>30810</v>
      </c>
      <c r="M124" s="112">
        <v>30870</v>
      </c>
      <c r="N124" s="112">
        <v>30240</v>
      </c>
      <c r="O124" s="112">
        <v>29840</v>
      </c>
      <c r="P124" s="112">
        <v>29770</v>
      </c>
      <c r="Q124" s="112">
        <v>29220</v>
      </c>
      <c r="R124" s="112">
        <v>30240</v>
      </c>
      <c r="S124" s="112">
        <v>29770</v>
      </c>
      <c r="T124" s="112">
        <v>28890</v>
      </c>
      <c r="U124" s="112">
        <v>28870</v>
      </c>
      <c r="V124" s="112">
        <v>29800</v>
      </c>
      <c r="W124" s="112">
        <v>29680</v>
      </c>
      <c r="X124" s="112">
        <v>30640</v>
      </c>
      <c r="Y124" s="112">
        <v>31730</v>
      </c>
      <c r="Z124" s="112">
        <v>31860</v>
      </c>
      <c r="AA124" s="112">
        <v>31720</v>
      </c>
      <c r="AB124" s="112">
        <v>31430</v>
      </c>
      <c r="AC124" s="112">
        <v>31190</v>
      </c>
      <c r="AD124" s="112">
        <v>30990</v>
      </c>
      <c r="AE124" s="112">
        <v>30830</v>
      </c>
      <c r="AF124" s="112">
        <v>30710</v>
      </c>
      <c r="AG124" s="112">
        <v>30620</v>
      </c>
      <c r="AH124" s="112">
        <v>30560</v>
      </c>
      <c r="AI124" s="112">
        <v>30530</v>
      </c>
      <c r="AJ124" s="112">
        <v>30510</v>
      </c>
      <c r="AK124" s="112">
        <v>30500</v>
      </c>
      <c r="AL124" s="112">
        <v>30490</v>
      </c>
      <c r="AM124" s="112">
        <v>30490</v>
      </c>
      <c r="AN124" s="112">
        <v>30490</v>
      </c>
      <c r="AO124" s="112">
        <v>30500</v>
      </c>
      <c r="AP124" s="112">
        <v>30510</v>
      </c>
      <c r="AQ124" s="112">
        <v>30520</v>
      </c>
      <c r="AR124" s="112">
        <v>30520</v>
      </c>
      <c r="AS124" s="112">
        <v>30520</v>
      </c>
      <c r="AT124" s="112">
        <v>30500</v>
      </c>
      <c r="AU124" s="112">
        <v>30460</v>
      </c>
    </row>
    <row r="125" spans="1:47" x14ac:dyDescent="0.2">
      <c r="A125" s="114" t="s">
        <v>32</v>
      </c>
      <c r="B125" s="8"/>
      <c r="C125" s="112">
        <v>29240</v>
      </c>
      <c r="D125" s="112">
        <v>29350</v>
      </c>
      <c r="E125" s="112">
        <v>29360</v>
      </c>
      <c r="F125" s="112">
        <v>28300</v>
      </c>
      <c r="G125" s="112">
        <v>29520</v>
      </c>
      <c r="H125" s="112">
        <v>30430</v>
      </c>
      <c r="I125" s="112">
        <v>31760</v>
      </c>
      <c r="J125" s="112">
        <v>32030</v>
      </c>
      <c r="K125" s="112">
        <v>31150</v>
      </c>
      <c r="L125" s="112">
        <v>31060</v>
      </c>
      <c r="M125" s="112">
        <v>30400</v>
      </c>
      <c r="N125" s="112">
        <v>30470</v>
      </c>
      <c r="O125" s="112">
        <v>29840</v>
      </c>
      <c r="P125" s="112">
        <v>29430</v>
      </c>
      <c r="Q125" s="112">
        <v>29370</v>
      </c>
      <c r="R125" s="112">
        <v>28820</v>
      </c>
      <c r="S125" s="112">
        <v>29830</v>
      </c>
      <c r="T125" s="112">
        <v>29370</v>
      </c>
      <c r="U125" s="112">
        <v>28480</v>
      </c>
      <c r="V125" s="112">
        <v>28460</v>
      </c>
      <c r="W125" s="112">
        <v>29400</v>
      </c>
      <c r="X125" s="112">
        <v>29280</v>
      </c>
      <c r="Y125" s="112">
        <v>30230</v>
      </c>
      <c r="Z125" s="112">
        <v>31320</v>
      </c>
      <c r="AA125" s="112">
        <v>31460</v>
      </c>
      <c r="AB125" s="112">
        <v>31320</v>
      </c>
      <c r="AC125" s="112">
        <v>31030</v>
      </c>
      <c r="AD125" s="112">
        <v>30790</v>
      </c>
      <c r="AE125" s="112">
        <v>30590</v>
      </c>
      <c r="AF125" s="112">
        <v>30430</v>
      </c>
      <c r="AG125" s="112">
        <v>30310</v>
      </c>
      <c r="AH125" s="112">
        <v>30220</v>
      </c>
      <c r="AI125" s="112">
        <v>30160</v>
      </c>
      <c r="AJ125" s="112">
        <v>30120</v>
      </c>
      <c r="AK125" s="112">
        <v>30100</v>
      </c>
      <c r="AL125" s="112">
        <v>30090</v>
      </c>
      <c r="AM125" s="112">
        <v>30090</v>
      </c>
      <c r="AN125" s="112">
        <v>30090</v>
      </c>
      <c r="AO125" s="112">
        <v>30090</v>
      </c>
      <c r="AP125" s="112">
        <v>30100</v>
      </c>
      <c r="AQ125" s="112">
        <v>30110</v>
      </c>
      <c r="AR125" s="112">
        <v>30120</v>
      </c>
      <c r="AS125" s="112">
        <v>30120</v>
      </c>
      <c r="AT125" s="112">
        <v>30120</v>
      </c>
      <c r="AU125" s="112">
        <v>30100</v>
      </c>
    </row>
    <row r="126" spans="1:47" x14ac:dyDescent="0.2">
      <c r="A126" s="114" t="s">
        <v>33</v>
      </c>
      <c r="B126" s="8"/>
      <c r="C126" s="112">
        <v>28880</v>
      </c>
      <c r="D126" s="112">
        <v>28950</v>
      </c>
      <c r="E126" s="112">
        <v>29100</v>
      </c>
      <c r="F126" s="112">
        <v>28560</v>
      </c>
      <c r="G126" s="112">
        <v>27890</v>
      </c>
      <c r="H126" s="112">
        <v>29110</v>
      </c>
      <c r="I126" s="112">
        <v>30020</v>
      </c>
      <c r="J126" s="112">
        <v>31350</v>
      </c>
      <c r="K126" s="112">
        <v>31620</v>
      </c>
      <c r="L126" s="112">
        <v>30740</v>
      </c>
      <c r="M126" s="112">
        <v>30650</v>
      </c>
      <c r="N126" s="112">
        <v>29990</v>
      </c>
      <c r="O126" s="112">
        <v>30060</v>
      </c>
      <c r="P126" s="112">
        <v>29430</v>
      </c>
      <c r="Q126" s="112">
        <v>29020</v>
      </c>
      <c r="R126" s="112">
        <v>28960</v>
      </c>
      <c r="S126" s="112">
        <v>28410</v>
      </c>
      <c r="T126" s="112">
        <v>29420</v>
      </c>
      <c r="U126" s="112">
        <v>28960</v>
      </c>
      <c r="V126" s="112">
        <v>28080</v>
      </c>
      <c r="W126" s="112">
        <v>28060</v>
      </c>
      <c r="X126" s="112">
        <v>28990</v>
      </c>
      <c r="Y126" s="112">
        <v>28870</v>
      </c>
      <c r="Z126" s="112">
        <v>29830</v>
      </c>
      <c r="AA126" s="112">
        <v>30920</v>
      </c>
      <c r="AB126" s="112">
        <v>31050</v>
      </c>
      <c r="AC126" s="112">
        <v>30910</v>
      </c>
      <c r="AD126" s="112">
        <v>30620</v>
      </c>
      <c r="AE126" s="112">
        <v>30380</v>
      </c>
      <c r="AF126" s="112">
        <v>30180</v>
      </c>
      <c r="AG126" s="112">
        <v>30020</v>
      </c>
      <c r="AH126" s="112">
        <v>29900</v>
      </c>
      <c r="AI126" s="112">
        <v>29810</v>
      </c>
      <c r="AJ126" s="112">
        <v>29750</v>
      </c>
      <c r="AK126" s="112">
        <v>29720</v>
      </c>
      <c r="AL126" s="112">
        <v>29700</v>
      </c>
      <c r="AM126" s="112">
        <v>29690</v>
      </c>
      <c r="AN126" s="112">
        <v>29680</v>
      </c>
      <c r="AO126" s="112">
        <v>29680</v>
      </c>
      <c r="AP126" s="112">
        <v>29680</v>
      </c>
      <c r="AQ126" s="112">
        <v>29690</v>
      </c>
      <c r="AR126" s="112">
        <v>29700</v>
      </c>
      <c r="AS126" s="112">
        <v>29710</v>
      </c>
      <c r="AT126" s="112">
        <v>29710</v>
      </c>
      <c r="AU126" s="112">
        <v>29710</v>
      </c>
    </row>
    <row r="127" spans="1:47" x14ac:dyDescent="0.2">
      <c r="A127" s="114" t="s">
        <v>34</v>
      </c>
      <c r="B127" s="8"/>
      <c r="C127" s="112">
        <v>27860</v>
      </c>
      <c r="D127" s="112">
        <v>28700</v>
      </c>
      <c r="E127" s="112">
        <v>28780</v>
      </c>
      <c r="F127" s="112">
        <v>28430</v>
      </c>
      <c r="G127" s="112">
        <v>28250</v>
      </c>
      <c r="H127" s="112">
        <v>27570</v>
      </c>
      <c r="I127" s="112">
        <v>28800</v>
      </c>
      <c r="J127" s="112">
        <v>29700</v>
      </c>
      <c r="K127" s="112">
        <v>31040</v>
      </c>
      <c r="L127" s="112">
        <v>31310</v>
      </c>
      <c r="M127" s="112">
        <v>30420</v>
      </c>
      <c r="N127" s="112">
        <v>30340</v>
      </c>
      <c r="O127" s="112">
        <v>29680</v>
      </c>
      <c r="P127" s="112">
        <v>29740</v>
      </c>
      <c r="Q127" s="112">
        <v>29110</v>
      </c>
      <c r="R127" s="112">
        <v>28710</v>
      </c>
      <c r="S127" s="112">
        <v>28650</v>
      </c>
      <c r="T127" s="112">
        <v>28100</v>
      </c>
      <c r="U127" s="112">
        <v>29110</v>
      </c>
      <c r="V127" s="112">
        <v>28650</v>
      </c>
      <c r="W127" s="112">
        <v>27770</v>
      </c>
      <c r="X127" s="112">
        <v>27750</v>
      </c>
      <c r="Y127" s="112">
        <v>28680</v>
      </c>
      <c r="Z127" s="112">
        <v>28560</v>
      </c>
      <c r="AA127" s="112">
        <v>29510</v>
      </c>
      <c r="AB127" s="112">
        <v>30600</v>
      </c>
      <c r="AC127" s="112">
        <v>30740</v>
      </c>
      <c r="AD127" s="112">
        <v>30600</v>
      </c>
      <c r="AE127" s="112">
        <v>30310</v>
      </c>
      <c r="AF127" s="112">
        <v>30070</v>
      </c>
      <c r="AG127" s="112">
        <v>29870</v>
      </c>
      <c r="AH127" s="112">
        <v>29710</v>
      </c>
      <c r="AI127" s="112">
        <v>29590</v>
      </c>
      <c r="AJ127" s="112">
        <v>29500</v>
      </c>
      <c r="AK127" s="112">
        <v>29440</v>
      </c>
      <c r="AL127" s="112">
        <v>29400</v>
      </c>
      <c r="AM127" s="112">
        <v>29390</v>
      </c>
      <c r="AN127" s="112">
        <v>29380</v>
      </c>
      <c r="AO127" s="112">
        <v>29370</v>
      </c>
      <c r="AP127" s="112">
        <v>29370</v>
      </c>
      <c r="AQ127" s="112">
        <v>29370</v>
      </c>
      <c r="AR127" s="112">
        <v>29380</v>
      </c>
      <c r="AS127" s="112">
        <v>29390</v>
      </c>
      <c r="AT127" s="112">
        <v>29400</v>
      </c>
      <c r="AU127" s="112">
        <v>29400</v>
      </c>
    </row>
    <row r="128" spans="1:47" x14ac:dyDescent="0.2">
      <c r="A128" s="114" t="s">
        <v>35</v>
      </c>
      <c r="B128" s="8"/>
      <c r="C128" s="112">
        <v>27140</v>
      </c>
      <c r="D128" s="112">
        <v>27880</v>
      </c>
      <c r="E128" s="112">
        <v>28610</v>
      </c>
      <c r="F128" s="112">
        <v>28310</v>
      </c>
      <c r="G128" s="112">
        <v>28320</v>
      </c>
      <c r="H128" s="112">
        <v>28140</v>
      </c>
      <c r="I128" s="112">
        <v>27470</v>
      </c>
      <c r="J128" s="112">
        <v>28690</v>
      </c>
      <c r="K128" s="112">
        <v>29590</v>
      </c>
      <c r="L128" s="112">
        <v>30930</v>
      </c>
      <c r="M128" s="112">
        <v>31200</v>
      </c>
      <c r="N128" s="112">
        <v>30320</v>
      </c>
      <c r="O128" s="112">
        <v>30230</v>
      </c>
      <c r="P128" s="112">
        <v>29570</v>
      </c>
      <c r="Q128" s="112">
        <v>29640</v>
      </c>
      <c r="R128" s="112">
        <v>29010</v>
      </c>
      <c r="S128" s="112">
        <v>28600</v>
      </c>
      <c r="T128" s="112">
        <v>28540</v>
      </c>
      <c r="U128" s="112">
        <v>27990</v>
      </c>
      <c r="V128" s="112">
        <v>29000</v>
      </c>
      <c r="W128" s="112">
        <v>28540</v>
      </c>
      <c r="X128" s="112">
        <v>27660</v>
      </c>
      <c r="Y128" s="112">
        <v>27640</v>
      </c>
      <c r="Z128" s="112">
        <v>28570</v>
      </c>
      <c r="AA128" s="112">
        <v>28450</v>
      </c>
      <c r="AB128" s="112">
        <v>29410</v>
      </c>
      <c r="AC128" s="112">
        <v>30500</v>
      </c>
      <c r="AD128" s="112">
        <v>30630</v>
      </c>
      <c r="AE128" s="112">
        <v>30490</v>
      </c>
      <c r="AF128" s="112">
        <v>30210</v>
      </c>
      <c r="AG128" s="112">
        <v>29960</v>
      </c>
      <c r="AH128" s="112">
        <v>29760</v>
      </c>
      <c r="AI128" s="112">
        <v>29610</v>
      </c>
      <c r="AJ128" s="112">
        <v>29480</v>
      </c>
      <c r="AK128" s="112">
        <v>29390</v>
      </c>
      <c r="AL128" s="112">
        <v>29330</v>
      </c>
      <c r="AM128" s="112">
        <v>29300</v>
      </c>
      <c r="AN128" s="112">
        <v>29280</v>
      </c>
      <c r="AO128" s="112">
        <v>29270</v>
      </c>
      <c r="AP128" s="112">
        <v>29270</v>
      </c>
      <c r="AQ128" s="112">
        <v>29260</v>
      </c>
      <c r="AR128" s="112">
        <v>29270</v>
      </c>
      <c r="AS128" s="112">
        <v>29280</v>
      </c>
      <c r="AT128" s="112">
        <v>29280</v>
      </c>
      <c r="AU128" s="112">
        <v>29290</v>
      </c>
    </row>
    <row r="129" spans="1:47" x14ac:dyDescent="0.2">
      <c r="A129" s="114" t="s">
        <v>36</v>
      </c>
      <c r="B129" s="8"/>
      <c r="C129" s="112">
        <v>26810</v>
      </c>
      <c r="D129" s="112">
        <v>27310</v>
      </c>
      <c r="E129" s="112">
        <v>27900</v>
      </c>
      <c r="F129" s="112">
        <v>28500</v>
      </c>
      <c r="G129" s="112">
        <v>28430</v>
      </c>
      <c r="H129" s="112">
        <v>28450</v>
      </c>
      <c r="I129" s="112">
        <v>28260</v>
      </c>
      <c r="J129" s="112">
        <v>27590</v>
      </c>
      <c r="K129" s="112">
        <v>28810</v>
      </c>
      <c r="L129" s="112">
        <v>29710</v>
      </c>
      <c r="M129" s="112">
        <v>31050</v>
      </c>
      <c r="N129" s="112">
        <v>31320</v>
      </c>
      <c r="O129" s="112">
        <v>30440</v>
      </c>
      <c r="P129" s="112">
        <v>30350</v>
      </c>
      <c r="Q129" s="112">
        <v>29690</v>
      </c>
      <c r="R129" s="112">
        <v>29760</v>
      </c>
      <c r="S129" s="112">
        <v>29130</v>
      </c>
      <c r="T129" s="112">
        <v>28730</v>
      </c>
      <c r="U129" s="112">
        <v>28660</v>
      </c>
      <c r="V129" s="112">
        <v>28110</v>
      </c>
      <c r="W129" s="112">
        <v>29130</v>
      </c>
      <c r="X129" s="112">
        <v>28660</v>
      </c>
      <c r="Y129" s="112">
        <v>27780</v>
      </c>
      <c r="Z129" s="112">
        <v>27760</v>
      </c>
      <c r="AA129" s="112">
        <v>28700</v>
      </c>
      <c r="AB129" s="112">
        <v>28580</v>
      </c>
      <c r="AC129" s="112">
        <v>29530</v>
      </c>
      <c r="AD129" s="112">
        <v>30620</v>
      </c>
      <c r="AE129" s="112">
        <v>30750</v>
      </c>
      <c r="AF129" s="112">
        <v>30620</v>
      </c>
      <c r="AG129" s="112">
        <v>30330</v>
      </c>
      <c r="AH129" s="112">
        <v>30090</v>
      </c>
      <c r="AI129" s="112">
        <v>29890</v>
      </c>
      <c r="AJ129" s="112">
        <v>29730</v>
      </c>
      <c r="AK129" s="112">
        <v>29610</v>
      </c>
      <c r="AL129" s="112">
        <v>29520</v>
      </c>
      <c r="AM129" s="112">
        <v>29460</v>
      </c>
      <c r="AN129" s="112">
        <v>29420</v>
      </c>
      <c r="AO129" s="112">
        <v>29400</v>
      </c>
      <c r="AP129" s="112">
        <v>29390</v>
      </c>
      <c r="AQ129" s="112">
        <v>29390</v>
      </c>
      <c r="AR129" s="112">
        <v>29390</v>
      </c>
      <c r="AS129" s="112">
        <v>29390</v>
      </c>
      <c r="AT129" s="112">
        <v>29400</v>
      </c>
      <c r="AU129" s="112">
        <v>29410</v>
      </c>
    </row>
    <row r="130" spans="1:47" x14ac:dyDescent="0.2">
      <c r="A130" s="114" t="s">
        <v>37</v>
      </c>
      <c r="B130" s="8"/>
      <c r="C130" s="112">
        <v>26790</v>
      </c>
      <c r="D130" s="112">
        <v>27070</v>
      </c>
      <c r="E130" s="112">
        <v>27530</v>
      </c>
      <c r="F130" s="112">
        <v>28070</v>
      </c>
      <c r="G130" s="112">
        <v>28770</v>
      </c>
      <c r="H130" s="112">
        <v>28700</v>
      </c>
      <c r="I130" s="112">
        <v>28710</v>
      </c>
      <c r="J130" s="112">
        <v>28530</v>
      </c>
      <c r="K130" s="112">
        <v>27850</v>
      </c>
      <c r="L130" s="112">
        <v>29080</v>
      </c>
      <c r="M130" s="112">
        <v>29980</v>
      </c>
      <c r="N130" s="112">
        <v>31320</v>
      </c>
      <c r="O130" s="112">
        <v>31590</v>
      </c>
      <c r="P130" s="112">
        <v>30700</v>
      </c>
      <c r="Q130" s="112">
        <v>30620</v>
      </c>
      <c r="R130" s="112">
        <v>29960</v>
      </c>
      <c r="S130" s="112">
        <v>30030</v>
      </c>
      <c r="T130" s="112">
        <v>29400</v>
      </c>
      <c r="U130" s="112">
        <v>29000</v>
      </c>
      <c r="V130" s="112">
        <v>28930</v>
      </c>
      <c r="W130" s="112">
        <v>28380</v>
      </c>
      <c r="X130" s="112">
        <v>29400</v>
      </c>
      <c r="Y130" s="112">
        <v>28930</v>
      </c>
      <c r="Z130" s="112">
        <v>28050</v>
      </c>
      <c r="AA130" s="112">
        <v>28030</v>
      </c>
      <c r="AB130" s="112">
        <v>28960</v>
      </c>
      <c r="AC130" s="112">
        <v>28850</v>
      </c>
      <c r="AD130" s="112">
        <v>29800</v>
      </c>
      <c r="AE130" s="112">
        <v>30890</v>
      </c>
      <c r="AF130" s="112">
        <v>31020</v>
      </c>
      <c r="AG130" s="112">
        <v>30880</v>
      </c>
      <c r="AH130" s="112">
        <v>30600</v>
      </c>
      <c r="AI130" s="112">
        <v>30360</v>
      </c>
      <c r="AJ130" s="112">
        <v>30160</v>
      </c>
      <c r="AK130" s="112">
        <v>30000</v>
      </c>
      <c r="AL130" s="112">
        <v>29870</v>
      </c>
      <c r="AM130" s="112">
        <v>29790</v>
      </c>
      <c r="AN130" s="112">
        <v>29730</v>
      </c>
      <c r="AO130" s="112">
        <v>29690</v>
      </c>
      <c r="AP130" s="112">
        <v>29670</v>
      </c>
      <c r="AQ130" s="112">
        <v>29660</v>
      </c>
      <c r="AR130" s="112">
        <v>29660</v>
      </c>
      <c r="AS130" s="112">
        <v>29660</v>
      </c>
      <c r="AT130" s="112">
        <v>29660</v>
      </c>
      <c r="AU130" s="112">
        <v>29670</v>
      </c>
    </row>
    <row r="131" spans="1:47" x14ac:dyDescent="0.2">
      <c r="A131" s="114" t="s">
        <v>38</v>
      </c>
      <c r="B131" s="8"/>
      <c r="C131" s="112">
        <v>26050</v>
      </c>
      <c r="D131" s="112">
        <v>27170</v>
      </c>
      <c r="E131" s="112">
        <v>27400</v>
      </c>
      <c r="F131" s="112">
        <v>27810</v>
      </c>
      <c r="G131" s="112">
        <v>28420</v>
      </c>
      <c r="H131" s="112">
        <v>29120</v>
      </c>
      <c r="I131" s="112">
        <v>29050</v>
      </c>
      <c r="J131" s="112">
        <v>29060</v>
      </c>
      <c r="K131" s="112">
        <v>28880</v>
      </c>
      <c r="L131" s="112">
        <v>28210</v>
      </c>
      <c r="M131" s="112">
        <v>29430</v>
      </c>
      <c r="N131" s="112">
        <v>30330</v>
      </c>
      <c r="O131" s="112">
        <v>31670</v>
      </c>
      <c r="P131" s="112">
        <v>31940</v>
      </c>
      <c r="Q131" s="112">
        <v>31060</v>
      </c>
      <c r="R131" s="112">
        <v>30970</v>
      </c>
      <c r="S131" s="112">
        <v>30320</v>
      </c>
      <c r="T131" s="112">
        <v>30380</v>
      </c>
      <c r="U131" s="112">
        <v>29750</v>
      </c>
      <c r="V131" s="112">
        <v>29350</v>
      </c>
      <c r="W131" s="112">
        <v>29290</v>
      </c>
      <c r="X131" s="112">
        <v>28730</v>
      </c>
      <c r="Y131" s="112">
        <v>29750</v>
      </c>
      <c r="Z131" s="112">
        <v>29290</v>
      </c>
      <c r="AA131" s="112">
        <v>28410</v>
      </c>
      <c r="AB131" s="112">
        <v>28390</v>
      </c>
      <c r="AC131" s="112">
        <v>29320</v>
      </c>
      <c r="AD131" s="112">
        <v>29200</v>
      </c>
      <c r="AE131" s="112">
        <v>30150</v>
      </c>
      <c r="AF131" s="112">
        <v>31240</v>
      </c>
      <c r="AG131" s="112">
        <v>31380</v>
      </c>
      <c r="AH131" s="112">
        <v>31240</v>
      </c>
      <c r="AI131" s="112">
        <v>30950</v>
      </c>
      <c r="AJ131" s="112">
        <v>30710</v>
      </c>
      <c r="AK131" s="112">
        <v>30510</v>
      </c>
      <c r="AL131" s="112">
        <v>30350</v>
      </c>
      <c r="AM131" s="112">
        <v>30230</v>
      </c>
      <c r="AN131" s="112">
        <v>30140</v>
      </c>
      <c r="AO131" s="112">
        <v>30080</v>
      </c>
      <c r="AP131" s="112">
        <v>30050</v>
      </c>
      <c r="AQ131" s="112">
        <v>30030</v>
      </c>
      <c r="AR131" s="112">
        <v>30020</v>
      </c>
      <c r="AS131" s="112">
        <v>30010</v>
      </c>
      <c r="AT131" s="112">
        <v>30010</v>
      </c>
      <c r="AU131" s="112">
        <v>30020</v>
      </c>
    </row>
    <row r="132" spans="1:47" x14ac:dyDescent="0.2">
      <c r="A132" s="114" t="s">
        <v>39</v>
      </c>
      <c r="B132" s="8"/>
      <c r="C132" s="112">
        <v>26810</v>
      </c>
      <c r="D132" s="112">
        <v>26500</v>
      </c>
      <c r="E132" s="112">
        <v>27540</v>
      </c>
      <c r="F132" s="112">
        <v>27760</v>
      </c>
      <c r="G132" s="112">
        <v>28220</v>
      </c>
      <c r="H132" s="112">
        <v>28830</v>
      </c>
      <c r="I132" s="112">
        <v>29530</v>
      </c>
      <c r="J132" s="112">
        <v>29460</v>
      </c>
      <c r="K132" s="112">
        <v>29480</v>
      </c>
      <c r="L132" s="112">
        <v>29290</v>
      </c>
      <c r="M132" s="112">
        <v>28620</v>
      </c>
      <c r="N132" s="112">
        <v>29840</v>
      </c>
      <c r="O132" s="112">
        <v>30750</v>
      </c>
      <c r="P132" s="112">
        <v>32080</v>
      </c>
      <c r="Q132" s="112">
        <v>32360</v>
      </c>
      <c r="R132" s="112">
        <v>31470</v>
      </c>
      <c r="S132" s="112">
        <v>31390</v>
      </c>
      <c r="T132" s="112">
        <v>30730</v>
      </c>
      <c r="U132" s="112">
        <v>30790</v>
      </c>
      <c r="V132" s="112">
        <v>30170</v>
      </c>
      <c r="W132" s="112">
        <v>29760</v>
      </c>
      <c r="X132" s="112">
        <v>29700</v>
      </c>
      <c r="Y132" s="112">
        <v>29150</v>
      </c>
      <c r="Z132" s="112">
        <v>30160</v>
      </c>
      <c r="AA132" s="112">
        <v>29700</v>
      </c>
      <c r="AB132" s="112">
        <v>28820</v>
      </c>
      <c r="AC132" s="112">
        <v>28800</v>
      </c>
      <c r="AD132" s="112">
        <v>29730</v>
      </c>
      <c r="AE132" s="112">
        <v>29620</v>
      </c>
      <c r="AF132" s="112">
        <v>30570</v>
      </c>
      <c r="AG132" s="112">
        <v>31660</v>
      </c>
      <c r="AH132" s="112">
        <v>31790</v>
      </c>
      <c r="AI132" s="112">
        <v>31650</v>
      </c>
      <c r="AJ132" s="112">
        <v>31370</v>
      </c>
      <c r="AK132" s="112">
        <v>31130</v>
      </c>
      <c r="AL132" s="112">
        <v>30930</v>
      </c>
      <c r="AM132" s="112">
        <v>30770</v>
      </c>
      <c r="AN132" s="112">
        <v>30640</v>
      </c>
      <c r="AO132" s="112">
        <v>30560</v>
      </c>
      <c r="AP132" s="112">
        <v>30500</v>
      </c>
      <c r="AQ132" s="112">
        <v>30460</v>
      </c>
      <c r="AR132" s="112">
        <v>30440</v>
      </c>
      <c r="AS132" s="112">
        <v>30430</v>
      </c>
      <c r="AT132" s="112">
        <v>30430</v>
      </c>
      <c r="AU132" s="112">
        <v>30430</v>
      </c>
    </row>
    <row r="133" spans="1:47" x14ac:dyDescent="0.2">
      <c r="A133" s="114" t="s">
        <v>40</v>
      </c>
      <c r="B133" s="8"/>
      <c r="C133" s="112">
        <v>27080</v>
      </c>
      <c r="D133" s="112">
        <v>27260</v>
      </c>
      <c r="E133" s="112">
        <v>26910</v>
      </c>
      <c r="F133" s="112">
        <v>27920</v>
      </c>
      <c r="G133" s="112">
        <v>28200</v>
      </c>
      <c r="H133" s="112">
        <v>28660</v>
      </c>
      <c r="I133" s="112">
        <v>29270</v>
      </c>
      <c r="J133" s="112">
        <v>29970</v>
      </c>
      <c r="K133" s="112">
        <v>29900</v>
      </c>
      <c r="L133" s="112">
        <v>29920</v>
      </c>
      <c r="M133" s="112">
        <v>29740</v>
      </c>
      <c r="N133" s="112">
        <v>29060</v>
      </c>
      <c r="O133" s="112">
        <v>30280</v>
      </c>
      <c r="P133" s="112">
        <v>31190</v>
      </c>
      <c r="Q133" s="112">
        <v>32520</v>
      </c>
      <c r="R133" s="112">
        <v>32800</v>
      </c>
      <c r="S133" s="112">
        <v>31910</v>
      </c>
      <c r="T133" s="112">
        <v>31830</v>
      </c>
      <c r="U133" s="112">
        <v>31170</v>
      </c>
      <c r="V133" s="112">
        <v>31240</v>
      </c>
      <c r="W133" s="112">
        <v>30610</v>
      </c>
      <c r="X133" s="112">
        <v>30210</v>
      </c>
      <c r="Y133" s="112">
        <v>30140</v>
      </c>
      <c r="Z133" s="112">
        <v>29590</v>
      </c>
      <c r="AA133" s="112">
        <v>30610</v>
      </c>
      <c r="AB133" s="112">
        <v>30140</v>
      </c>
      <c r="AC133" s="112">
        <v>29260</v>
      </c>
      <c r="AD133" s="112">
        <v>29240</v>
      </c>
      <c r="AE133" s="112">
        <v>30180</v>
      </c>
      <c r="AF133" s="112">
        <v>30060</v>
      </c>
      <c r="AG133" s="112">
        <v>31010</v>
      </c>
      <c r="AH133" s="112">
        <v>32100</v>
      </c>
      <c r="AI133" s="112">
        <v>32240</v>
      </c>
      <c r="AJ133" s="112">
        <v>32100</v>
      </c>
      <c r="AK133" s="112">
        <v>31810</v>
      </c>
      <c r="AL133" s="112">
        <v>31570</v>
      </c>
      <c r="AM133" s="112">
        <v>31370</v>
      </c>
      <c r="AN133" s="112">
        <v>31210</v>
      </c>
      <c r="AO133" s="112">
        <v>31090</v>
      </c>
      <c r="AP133" s="112">
        <v>31000</v>
      </c>
      <c r="AQ133" s="112">
        <v>30940</v>
      </c>
      <c r="AR133" s="112">
        <v>30910</v>
      </c>
      <c r="AS133" s="112">
        <v>30890</v>
      </c>
      <c r="AT133" s="112">
        <v>30880</v>
      </c>
      <c r="AU133" s="112">
        <v>30870</v>
      </c>
    </row>
    <row r="134" spans="1:47" x14ac:dyDescent="0.2">
      <c r="A134" s="114" t="s">
        <v>41</v>
      </c>
      <c r="B134" s="8"/>
      <c r="C134" s="112">
        <v>28670</v>
      </c>
      <c r="D134" s="112">
        <v>27490</v>
      </c>
      <c r="E134" s="112">
        <v>27530</v>
      </c>
      <c r="F134" s="112">
        <v>27240</v>
      </c>
      <c r="G134" s="112">
        <v>28330</v>
      </c>
      <c r="H134" s="112">
        <v>28610</v>
      </c>
      <c r="I134" s="112">
        <v>29070</v>
      </c>
      <c r="J134" s="112">
        <v>29680</v>
      </c>
      <c r="K134" s="112">
        <v>30380</v>
      </c>
      <c r="L134" s="112">
        <v>30310</v>
      </c>
      <c r="M134" s="112">
        <v>30330</v>
      </c>
      <c r="N134" s="112">
        <v>30150</v>
      </c>
      <c r="O134" s="112">
        <v>29470</v>
      </c>
      <c r="P134" s="112">
        <v>30690</v>
      </c>
      <c r="Q134" s="112">
        <v>31600</v>
      </c>
      <c r="R134" s="112">
        <v>32930</v>
      </c>
      <c r="S134" s="112">
        <v>33210</v>
      </c>
      <c r="T134" s="112">
        <v>32320</v>
      </c>
      <c r="U134" s="112">
        <v>32240</v>
      </c>
      <c r="V134" s="112">
        <v>31580</v>
      </c>
      <c r="W134" s="112">
        <v>31650</v>
      </c>
      <c r="X134" s="112">
        <v>31020</v>
      </c>
      <c r="Y134" s="112">
        <v>30620</v>
      </c>
      <c r="Z134" s="112">
        <v>30560</v>
      </c>
      <c r="AA134" s="112">
        <v>30000</v>
      </c>
      <c r="AB134" s="112">
        <v>31020</v>
      </c>
      <c r="AC134" s="112">
        <v>30560</v>
      </c>
      <c r="AD134" s="112">
        <v>29680</v>
      </c>
      <c r="AE134" s="112">
        <v>29660</v>
      </c>
      <c r="AF134" s="112">
        <v>30590</v>
      </c>
      <c r="AG134" s="112">
        <v>30470</v>
      </c>
      <c r="AH134" s="112">
        <v>31420</v>
      </c>
      <c r="AI134" s="112">
        <v>32510</v>
      </c>
      <c r="AJ134" s="112">
        <v>32650</v>
      </c>
      <c r="AK134" s="112">
        <v>32510</v>
      </c>
      <c r="AL134" s="112">
        <v>32220</v>
      </c>
      <c r="AM134" s="112">
        <v>31980</v>
      </c>
      <c r="AN134" s="112">
        <v>31780</v>
      </c>
      <c r="AO134" s="112">
        <v>31620</v>
      </c>
      <c r="AP134" s="112">
        <v>31500</v>
      </c>
      <c r="AQ134" s="112">
        <v>31410</v>
      </c>
      <c r="AR134" s="112">
        <v>31350</v>
      </c>
      <c r="AS134" s="112">
        <v>31320</v>
      </c>
      <c r="AT134" s="112">
        <v>31300</v>
      </c>
      <c r="AU134" s="112">
        <v>31290</v>
      </c>
    </row>
    <row r="135" spans="1:47" x14ac:dyDescent="0.2">
      <c r="A135" s="114" t="s">
        <v>42</v>
      </c>
      <c r="B135" s="8"/>
      <c r="C135" s="112">
        <v>29960</v>
      </c>
      <c r="D135" s="112">
        <v>28910</v>
      </c>
      <c r="E135" s="112">
        <v>27640</v>
      </c>
      <c r="F135" s="112">
        <v>27930</v>
      </c>
      <c r="G135" s="112">
        <v>27570</v>
      </c>
      <c r="H135" s="112">
        <v>28660</v>
      </c>
      <c r="I135" s="112">
        <v>28940</v>
      </c>
      <c r="J135" s="112">
        <v>29400</v>
      </c>
      <c r="K135" s="112">
        <v>30020</v>
      </c>
      <c r="L135" s="112">
        <v>30710</v>
      </c>
      <c r="M135" s="112">
        <v>30650</v>
      </c>
      <c r="N135" s="112">
        <v>30660</v>
      </c>
      <c r="O135" s="112">
        <v>30480</v>
      </c>
      <c r="P135" s="112">
        <v>29810</v>
      </c>
      <c r="Q135" s="112">
        <v>31030</v>
      </c>
      <c r="R135" s="112">
        <v>31930</v>
      </c>
      <c r="S135" s="112">
        <v>33270</v>
      </c>
      <c r="T135" s="112">
        <v>33540</v>
      </c>
      <c r="U135" s="112">
        <v>32660</v>
      </c>
      <c r="V135" s="112">
        <v>32570</v>
      </c>
      <c r="W135" s="112">
        <v>31920</v>
      </c>
      <c r="X135" s="112">
        <v>31980</v>
      </c>
      <c r="Y135" s="112">
        <v>31350</v>
      </c>
      <c r="Z135" s="112">
        <v>30950</v>
      </c>
      <c r="AA135" s="112">
        <v>30890</v>
      </c>
      <c r="AB135" s="112">
        <v>30340</v>
      </c>
      <c r="AC135" s="112">
        <v>31360</v>
      </c>
      <c r="AD135" s="112">
        <v>30890</v>
      </c>
      <c r="AE135" s="112">
        <v>30010</v>
      </c>
      <c r="AF135" s="112">
        <v>29990</v>
      </c>
      <c r="AG135" s="112">
        <v>30930</v>
      </c>
      <c r="AH135" s="112">
        <v>30810</v>
      </c>
      <c r="AI135" s="112">
        <v>31760</v>
      </c>
      <c r="AJ135" s="112">
        <v>32850</v>
      </c>
      <c r="AK135" s="112">
        <v>32980</v>
      </c>
      <c r="AL135" s="112">
        <v>32850</v>
      </c>
      <c r="AM135" s="112">
        <v>32560</v>
      </c>
      <c r="AN135" s="112">
        <v>32320</v>
      </c>
      <c r="AO135" s="112">
        <v>32120</v>
      </c>
      <c r="AP135" s="112">
        <v>31960</v>
      </c>
      <c r="AQ135" s="112">
        <v>31840</v>
      </c>
      <c r="AR135" s="112">
        <v>31750</v>
      </c>
      <c r="AS135" s="112">
        <v>31690</v>
      </c>
      <c r="AT135" s="112">
        <v>31660</v>
      </c>
      <c r="AU135" s="112">
        <v>31640</v>
      </c>
    </row>
    <row r="136" spans="1:47" x14ac:dyDescent="0.2">
      <c r="A136" s="114" t="s">
        <v>43</v>
      </c>
      <c r="B136" s="8"/>
      <c r="C136" s="112">
        <v>31240</v>
      </c>
      <c r="D136" s="112">
        <v>30190</v>
      </c>
      <c r="E136" s="112">
        <v>29020</v>
      </c>
      <c r="F136" s="112">
        <v>28040</v>
      </c>
      <c r="G136" s="112">
        <v>28200</v>
      </c>
      <c r="H136" s="112">
        <v>27830</v>
      </c>
      <c r="I136" s="112">
        <v>28920</v>
      </c>
      <c r="J136" s="112">
        <v>29210</v>
      </c>
      <c r="K136" s="112">
        <v>29660</v>
      </c>
      <c r="L136" s="112">
        <v>30280</v>
      </c>
      <c r="M136" s="112">
        <v>30980</v>
      </c>
      <c r="N136" s="112">
        <v>30910</v>
      </c>
      <c r="O136" s="112">
        <v>30920</v>
      </c>
      <c r="P136" s="112">
        <v>30740</v>
      </c>
      <c r="Q136" s="112">
        <v>30070</v>
      </c>
      <c r="R136" s="112">
        <v>31290</v>
      </c>
      <c r="S136" s="112">
        <v>32200</v>
      </c>
      <c r="T136" s="112">
        <v>33530</v>
      </c>
      <c r="U136" s="112">
        <v>33800</v>
      </c>
      <c r="V136" s="112">
        <v>32920</v>
      </c>
      <c r="W136" s="112">
        <v>32840</v>
      </c>
      <c r="X136" s="112">
        <v>32180</v>
      </c>
      <c r="Y136" s="112">
        <v>32250</v>
      </c>
      <c r="Z136" s="112">
        <v>31620</v>
      </c>
      <c r="AA136" s="112">
        <v>31220</v>
      </c>
      <c r="AB136" s="112">
        <v>31160</v>
      </c>
      <c r="AC136" s="112">
        <v>30610</v>
      </c>
      <c r="AD136" s="112">
        <v>31620</v>
      </c>
      <c r="AE136" s="112">
        <v>31160</v>
      </c>
      <c r="AF136" s="112">
        <v>30280</v>
      </c>
      <c r="AG136" s="112">
        <v>30260</v>
      </c>
      <c r="AH136" s="112">
        <v>31190</v>
      </c>
      <c r="AI136" s="112">
        <v>31070</v>
      </c>
      <c r="AJ136" s="112">
        <v>32030</v>
      </c>
      <c r="AK136" s="112">
        <v>33120</v>
      </c>
      <c r="AL136" s="112">
        <v>33250</v>
      </c>
      <c r="AM136" s="112">
        <v>33110</v>
      </c>
      <c r="AN136" s="112">
        <v>32820</v>
      </c>
      <c r="AO136" s="112">
        <v>32590</v>
      </c>
      <c r="AP136" s="112">
        <v>32390</v>
      </c>
      <c r="AQ136" s="112">
        <v>32230</v>
      </c>
      <c r="AR136" s="112">
        <v>32100</v>
      </c>
      <c r="AS136" s="112">
        <v>32020</v>
      </c>
      <c r="AT136" s="112">
        <v>31960</v>
      </c>
      <c r="AU136" s="112">
        <v>31920</v>
      </c>
    </row>
    <row r="137" spans="1:47" x14ac:dyDescent="0.2">
      <c r="A137" s="114" t="s">
        <v>44</v>
      </c>
      <c r="B137" s="8"/>
      <c r="C137" s="112">
        <v>32740</v>
      </c>
      <c r="D137" s="112">
        <v>31420</v>
      </c>
      <c r="E137" s="112">
        <v>30320</v>
      </c>
      <c r="F137" s="112">
        <v>29450</v>
      </c>
      <c r="G137" s="112">
        <v>28260</v>
      </c>
      <c r="H137" s="112">
        <v>28410</v>
      </c>
      <c r="I137" s="112">
        <v>28050</v>
      </c>
      <c r="J137" s="112">
        <v>29140</v>
      </c>
      <c r="K137" s="112">
        <v>29420</v>
      </c>
      <c r="L137" s="112">
        <v>29880</v>
      </c>
      <c r="M137" s="112">
        <v>30500</v>
      </c>
      <c r="N137" s="112">
        <v>31190</v>
      </c>
      <c r="O137" s="112">
        <v>31130</v>
      </c>
      <c r="P137" s="112">
        <v>31140</v>
      </c>
      <c r="Q137" s="112">
        <v>30960</v>
      </c>
      <c r="R137" s="112">
        <v>30290</v>
      </c>
      <c r="S137" s="112">
        <v>31510</v>
      </c>
      <c r="T137" s="112">
        <v>32410</v>
      </c>
      <c r="U137" s="112">
        <v>33750</v>
      </c>
      <c r="V137" s="112">
        <v>34020</v>
      </c>
      <c r="W137" s="112">
        <v>33140</v>
      </c>
      <c r="X137" s="112">
        <v>33060</v>
      </c>
      <c r="Y137" s="112">
        <v>32400</v>
      </c>
      <c r="Z137" s="112">
        <v>32460</v>
      </c>
      <c r="AA137" s="112">
        <v>31840</v>
      </c>
      <c r="AB137" s="112">
        <v>31440</v>
      </c>
      <c r="AC137" s="112">
        <v>31380</v>
      </c>
      <c r="AD137" s="112">
        <v>30830</v>
      </c>
      <c r="AE137" s="112">
        <v>31840</v>
      </c>
      <c r="AF137" s="112">
        <v>31380</v>
      </c>
      <c r="AG137" s="112">
        <v>30500</v>
      </c>
      <c r="AH137" s="112">
        <v>30480</v>
      </c>
      <c r="AI137" s="112">
        <v>31410</v>
      </c>
      <c r="AJ137" s="112">
        <v>31290</v>
      </c>
      <c r="AK137" s="112">
        <v>32250</v>
      </c>
      <c r="AL137" s="112">
        <v>33340</v>
      </c>
      <c r="AM137" s="112">
        <v>33470</v>
      </c>
      <c r="AN137" s="112">
        <v>33330</v>
      </c>
      <c r="AO137" s="112">
        <v>33050</v>
      </c>
      <c r="AP137" s="112">
        <v>32810</v>
      </c>
      <c r="AQ137" s="112">
        <v>32610</v>
      </c>
      <c r="AR137" s="112">
        <v>32450</v>
      </c>
      <c r="AS137" s="112">
        <v>32330</v>
      </c>
      <c r="AT137" s="112">
        <v>32240</v>
      </c>
      <c r="AU137" s="112">
        <v>32180</v>
      </c>
    </row>
    <row r="138" spans="1:47" x14ac:dyDescent="0.2">
      <c r="A138" s="114" t="s">
        <v>45</v>
      </c>
      <c r="B138" s="8"/>
      <c r="C138" s="112">
        <v>33360</v>
      </c>
      <c r="D138" s="112">
        <v>32920</v>
      </c>
      <c r="E138" s="112">
        <v>31490</v>
      </c>
      <c r="F138" s="112">
        <v>30600</v>
      </c>
      <c r="G138" s="112">
        <v>29640</v>
      </c>
      <c r="H138" s="112">
        <v>28450</v>
      </c>
      <c r="I138" s="112">
        <v>28610</v>
      </c>
      <c r="J138" s="112">
        <v>28250</v>
      </c>
      <c r="K138" s="112">
        <v>29340</v>
      </c>
      <c r="L138" s="112">
        <v>29620</v>
      </c>
      <c r="M138" s="112">
        <v>30080</v>
      </c>
      <c r="N138" s="112">
        <v>30690</v>
      </c>
      <c r="O138" s="112">
        <v>31390</v>
      </c>
      <c r="P138" s="112">
        <v>31320</v>
      </c>
      <c r="Q138" s="112">
        <v>31340</v>
      </c>
      <c r="R138" s="112">
        <v>31160</v>
      </c>
      <c r="S138" s="112">
        <v>30490</v>
      </c>
      <c r="T138" s="112">
        <v>31710</v>
      </c>
      <c r="U138" s="112">
        <v>32610</v>
      </c>
      <c r="V138" s="112">
        <v>33940</v>
      </c>
      <c r="W138" s="112">
        <v>34220</v>
      </c>
      <c r="X138" s="112">
        <v>33330</v>
      </c>
      <c r="Y138" s="112">
        <v>33250</v>
      </c>
      <c r="Z138" s="112">
        <v>32600</v>
      </c>
      <c r="AA138" s="112">
        <v>32660</v>
      </c>
      <c r="AB138" s="112">
        <v>32040</v>
      </c>
      <c r="AC138" s="112">
        <v>31640</v>
      </c>
      <c r="AD138" s="112">
        <v>31570</v>
      </c>
      <c r="AE138" s="112">
        <v>31030</v>
      </c>
      <c r="AF138" s="112">
        <v>32040</v>
      </c>
      <c r="AG138" s="112">
        <v>31580</v>
      </c>
      <c r="AH138" s="112">
        <v>30700</v>
      </c>
      <c r="AI138" s="112">
        <v>30680</v>
      </c>
      <c r="AJ138" s="112">
        <v>31610</v>
      </c>
      <c r="AK138" s="112">
        <v>31490</v>
      </c>
      <c r="AL138" s="112">
        <v>32450</v>
      </c>
      <c r="AM138" s="112">
        <v>33530</v>
      </c>
      <c r="AN138" s="112">
        <v>33670</v>
      </c>
      <c r="AO138" s="112">
        <v>33530</v>
      </c>
      <c r="AP138" s="112">
        <v>33250</v>
      </c>
      <c r="AQ138" s="112">
        <v>33010</v>
      </c>
      <c r="AR138" s="112">
        <v>32810</v>
      </c>
      <c r="AS138" s="112">
        <v>32650</v>
      </c>
      <c r="AT138" s="112">
        <v>32530</v>
      </c>
      <c r="AU138" s="112">
        <v>32440</v>
      </c>
    </row>
    <row r="139" spans="1:47" x14ac:dyDescent="0.2">
      <c r="A139" s="114" t="s">
        <v>46</v>
      </c>
      <c r="B139" s="8"/>
      <c r="C139" s="112">
        <v>32520</v>
      </c>
      <c r="D139" s="112">
        <v>33540</v>
      </c>
      <c r="E139" s="112">
        <v>33010</v>
      </c>
      <c r="F139" s="112">
        <v>31800</v>
      </c>
      <c r="G139" s="112">
        <v>30780</v>
      </c>
      <c r="H139" s="112">
        <v>29820</v>
      </c>
      <c r="I139" s="112">
        <v>28630</v>
      </c>
      <c r="J139" s="112">
        <v>28780</v>
      </c>
      <c r="K139" s="112">
        <v>28420</v>
      </c>
      <c r="L139" s="112">
        <v>29510</v>
      </c>
      <c r="M139" s="112">
        <v>29800</v>
      </c>
      <c r="N139" s="112">
        <v>30250</v>
      </c>
      <c r="O139" s="112">
        <v>30870</v>
      </c>
      <c r="P139" s="112">
        <v>31560</v>
      </c>
      <c r="Q139" s="112">
        <v>31500</v>
      </c>
      <c r="R139" s="112">
        <v>31510</v>
      </c>
      <c r="S139" s="112">
        <v>31330</v>
      </c>
      <c r="T139" s="112">
        <v>30670</v>
      </c>
      <c r="U139" s="112">
        <v>31880</v>
      </c>
      <c r="V139" s="112">
        <v>32790</v>
      </c>
      <c r="W139" s="112">
        <v>34120</v>
      </c>
      <c r="X139" s="112">
        <v>34390</v>
      </c>
      <c r="Y139" s="112">
        <v>33510</v>
      </c>
      <c r="Z139" s="112">
        <v>33430</v>
      </c>
      <c r="AA139" s="112">
        <v>32780</v>
      </c>
      <c r="AB139" s="112">
        <v>32840</v>
      </c>
      <c r="AC139" s="112">
        <v>32220</v>
      </c>
      <c r="AD139" s="112">
        <v>31820</v>
      </c>
      <c r="AE139" s="112">
        <v>31750</v>
      </c>
      <c r="AF139" s="112">
        <v>31210</v>
      </c>
      <c r="AG139" s="112">
        <v>32220</v>
      </c>
      <c r="AH139" s="112">
        <v>31760</v>
      </c>
      <c r="AI139" s="112">
        <v>30880</v>
      </c>
      <c r="AJ139" s="112">
        <v>30860</v>
      </c>
      <c r="AK139" s="112">
        <v>31790</v>
      </c>
      <c r="AL139" s="112">
        <v>31680</v>
      </c>
      <c r="AM139" s="112">
        <v>32630</v>
      </c>
      <c r="AN139" s="112">
        <v>33710</v>
      </c>
      <c r="AO139" s="112">
        <v>33850</v>
      </c>
      <c r="AP139" s="112">
        <v>33710</v>
      </c>
      <c r="AQ139" s="112">
        <v>33430</v>
      </c>
      <c r="AR139" s="112">
        <v>33190</v>
      </c>
      <c r="AS139" s="112">
        <v>32990</v>
      </c>
      <c r="AT139" s="112">
        <v>32830</v>
      </c>
      <c r="AU139" s="112">
        <v>32710</v>
      </c>
    </row>
    <row r="140" spans="1:47" x14ac:dyDescent="0.2">
      <c r="A140" s="114" t="s">
        <v>47</v>
      </c>
      <c r="B140" s="8"/>
      <c r="C140" s="112">
        <v>32870</v>
      </c>
      <c r="D140" s="112">
        <v>32650</v>
      </c>
      <c r="E140" s="112">
        <v>33590</v>
      </c>
      <c r="F140" s="112">
        <v>33230</v>
      </c>
      <c r="G140" s="112">
        <v>31950</v>
      </c>
      <c r="H140" s="112">
        <v>30930</v>
      </c>
      <c r="I140" s="112">
        <v>29970</v>
      </c>
      <c r="J140" s="112">
        <v>28790</v>
      </c>
      <c r="K140" s="112">
        <v>28940</v>
      </c>
      <c r="L140" s="112">
        <v>28580</v>
      </c>
      <c r="M140" s="112">
        <v>29670</v>
      </c>
      <c r="N140" s="112">
        <v>29950</v>
      </c>
      <c r="O140" s="112">
        <v>30410</v>
      </c>
      <c r="P140" s="112">
        <v>31020</v>
      </c>
      <c r="Q140" s="112">
        <v>31720</v>
      </c>
      <c r="R140" s="112">
        <v>31660</v>
      </c>
      <c r="S140" s="112">
        <v>31670</v>
      </c>
      <c r="T140" s="112">
        <v>31490</v>
      </c>
      <c r="U140" s="112">
        <v>30820</v>
      </c>
      <c r="V140" s="112">
        <v>32040</v>
      </c>
      <c r="W140" s="112">
        <v>32940</v>
      </c>
      <c r="X140" s="112">
        <v>34280</v>
      </c>
      <c r="Y140" s="112">
        <v>34550</v>
      </c>
      <c r="Z140" s="112">
        <v>33670</v>
      </c>
      <c r="AA140" s="112">
        <v>33590</v>
      </c>
      <c r="AB140" s="112">
        <v>32930</v>
      </c>
      <c r="AC140" s="112">
        <v>33000</v>
      </c>
      <c r="AD140" s="112">
        <v>32370</v>
      </c>
      <c r="AE140" s="112">
        <v>31980</v>
      </c>
      <c r="AF140" s="112">
        <v>31910</v>
      </c>
      <c r="AG140" s="112">
        <v>31370</v>
      </c>
      <c r="AH140" s="112">
        <v>32380</v>
      </c>
      <c r="AI140" s="112">
        <v>31920</v>
      </c>
      <c r="AJ140" s="112">
        <v>31040</v>
      </c>
      <c r="AK140" s="112">
        <v>31020</v>
      </c>
      <c r="AL140" s="112">
        <v>31950</v>
      </c>
      <c r="AM140" s="112">
        <v>31840</v>
      </c>
      <c r="AN140" s="112">
        <v>32790</v>
      </c>
      <c r="AO140" s="112">
        <v>33870</v>
      </c>
      <c r="AP140" s="112">
        <v>34010</v>
      </c>
      <c r="AQ140" s="112">
        <v>33870</v>
      </c>
      <c r="AR140" s="112">
        <v>33590</v>
      </c>
      <c r="AS140" s="112">
        <v>33350</v>
      </c>
      <c r="AT140" s="112">
        <v>33150</v>
      </c>
      <c r="AU140" s="112">
        <v>32990</v>
      </c>
    </row>
    <row r="141" spans="1:47" x14ac:dyDescent="0.2">
      <c r="A141" s="114" t="s">
        <v>48</v>
      </c>
      <c r="B141" s="8"/>
      <c r="C141" s="112">
        <v>32450</v>
      </c>
      <c r="D141" s="112">
        <v>32970</v>
      </c>
      <c r="E141" s="112">
        <v>32650</v>
      </c>
      <c r="F141" s="112">
        <v>33780</v>
      </c>
      <c r="G141" s="112">
        <v>33360</v>
      </c>
      <c r="H141" s="112">
        <v>32080</v>
      </c>
      <c r="I141" s="112">
        <v>31060</v>
      </c>
      <c r="J141" s="112">
        <v>30100</v>
      </c>
      <c r="K141" s="112">
        <v>28920</v>
      </c>
      <c r="L141" s="112">
        <v>29070</v>
      </c>
      <c r="M141" s="112">
        <v>28710</v>
      </c>
      <c r="N141" s="112">
        <v>29800</v>
      </c>
      <c r="O141" s="112">
        <v>30090</v>
      </c>
      <c r="P141" s="112">
        <v>30540</v>
      </c>
      <c r="Q141" s="112">
        <v>31160</v>
      </c>
      <c r="R141" s="112">
        <v>31850</v>
      </c>
      <c r="S141" s="112">
        <v>31790</v>
      </c>
      <c r="T141" s="112">
        <v>31810</v>
      </c>
      <c r="U141" s="112">
        <v>31630</v>
      </c>
      <c r="V141" s="112">
        <v>30960</v>
      </c>
      <c r="W141" s="112">
        <v>32180</v>
      </c>
      <c r="X141" s="112">
        <v>33080</v>
      </c>
      <c r="Y141" s="112">
        <v>34410</v>
      </c>
      <c r="Z141" s="112">
        <v>34690</v>
      </c>
      <c r="AA141" s="112">
        <v>33810</v>
      </c>
      <c r="AB141" s="112">
        <v>33720</v>
      </c>
      <c r="AC141" s="112">
        <v>33070</v>
      </c>
      <c r="AD141" s="112">
        <v>33140</v>
      </c>
      <c r="AE141" s="112">
        <v>32510</v>
      </c>
      <c r="AF141" s="112">
        <v>32110</v>
      </c>
      <c r="AG141" s="112">
        <v>32050</v>
      </c>
      <c r="AH141" s="112">
        <v>31500</v>
      </c>
      <c r="AI141" s="112">
        <v>32520</v>
      </c>
      <c r="AJ141" s="112">
        <v>32060</v>
      </c>
      <c r="AK141" s="112">
        <v>31180</v>
      </c>
      <c r="AL141" s="112">
        <v>31160</v>
      </c>
      <c r="AM141" s="112">
        <v>32090</v>
      </c>
      <c r="AN141" s="112">
        <v>31970</v>
      </c>
      <c r="AO141" s="112">
        <v>32920</v>
      </c>
      <c r="AP141" s="112">
        <v>34010</v>
      </c>
      <c r="AQ141" s="112">
        <v>34150</v>
      </c>
      <c r="AR141" s="112">
        <v>34010</v>
      </c>
      <c r="AS141" s="112">
        <v>33720</v>
      </c>
      <c r="AT141" s="112">
        <v>33480</v>
      </c>
      <c r="AU141" s="112">
        <v>33290</v>
      </c>
    </row>
    <row r="142" spans="1:47" x14ac:dyDescent="0.2">
      <c r="A142" s="114" t="s">
        <v>49</v>
      </c>
      <c r="B142" s="8"/>
      <c r="C142" s="112">
        <v>32220</v>
      </c>
      <c r="D142" s="112">
        <v>32520</v>
      </c>
      <c r="E142" s="112">
        <v>32990</v>
      </c>
      <c r="F142" s="112">
        <v>32880</v>
      </c>
      <c r="G142" s="112">
        <v>33890</v>
      </c>
      <c r="H142" s="112">
        <v>33470</v>
      </c>
      <c r="I142" s="112">
        <v>32190</v>
      </c>
      <c r="J142" s="112">
        <v>31170</v>
      </c>
      <c r="K142" s="112">
        <v>30220</v>
      </c>
      <c r="L142" s="112">
        <v>29040</v>
      </c>
      <c r="M142" s="112">
        <v>29190</v>
      </c>
      <c r="N142" s="112">
        <v>28830</v>
      </c>
      <c r="O142" s="112">
        <v>29920</v>
      </c>
      <c r="P142" s="112">
        <v>30200</v>
      </c>
      <c r="Q142" s="112">
        <v>30660</v>
      </c>
      <c r="R142" s="112">
        <v>31280</v>
      </c>
      <c r="S142" s="112">
        <v>31970</v>
      </c>
      <c r="T142" s="112">
        <v>31910</v>
      </c>
      <c r="U142" s="112">
        <v>31920</v>
      </c>
      <c r="V142" s="112">
        <v>31740</v>
      </c>
      <c r="W142" s="112">
        <v>31080</v>
      </c>
      <c r="X142" s="112">
        <v>32290</v>
      </c>
      <c r="Y142" s="112">
        <v>33200</v>
      </c>
      <c r="Z142" s="112">
        <v>34530</v>
      </c>
      <c r="AA142" s="112">
        <v>34800</v>
      </c>
      <c r="AB142" s="112">
        <v>33920</v>
      </c>
      <c r="AC142" s="112">
        <v>33840</v>
      </c>
      <c r="AD142" s="112">
        <v>33190</v>
      </c>
      <c r="AE142" s="112">
        <v>33260</v>
      </c>
      <c r="AF142" s="112">
        <v>32630</v>
      </c>
      <c r="AG142" s="112">
        <v>32230</v>
      </c>
      <c r="AH142" s="112">
        <v>32170</v>
      </c>
      <c r="AI142" s="112">
        <v>31620</v>
      </c>
      <c r="AJ142" s="112">
        <v>32640</v>
      </c>
      <c r="AK142" s="112">
        <v>32180</v>
      </c>
      <c r="AL142" s="112">
        <v>31300</v>
      </c>
      <c r="AM142" s="112">
        <v>31280</v>
      </c>
      <c r="AN142" s="112">
        <v>32210</v>
      </c>
      <c r="AO142" s="112">
        <v>32100</v>
      </c>
      <c r="AP142" s="112">
        <v>33050</v>
      </c>
      <c r="AQ142" s="112">
        <v>34130</v>
      </c>
      <c r="AR142" s="112">
        <v>34270</v>
      </c>
      <c r="AS142" s="112">
        <v>34130</v>
      </c>
      <c r="AT142" s="112">
        <v>33850</v>
      </c>
      <c r="AU142" s="112">
        <v>33610</v>
      </c>
    </row>
    <row r="143" spans="1:47" x14ac:dyDescent="0.2">
      <c r="A143" s="114" t="s">
        <v>50</v>
      </c>
      <c r="B143" s="8"/>
      <c r="C143" s="112">
        <v>32020</v>
      </c>
      <c r="D143" s="112">
        <v>32260</v>
      </c>
      <c r="E143" s="112">
        <v>32540</v>
      </c>
      <c r="F143" s="112">
        <v>33180</v>
      </c>
      <c r="G143" s="112">
        <v>32980</v>
      </c>
      <c r="H143" s="112">
        <v>33980</v>
      </c>
      <c r="I143" s="112">
        <v>33560</v>
      </c>
      <c r="J143" s="112">
        <v>32290</v>
      </c>
      <c r="K143" s="112">
        <v>31270</v>
      </c>
      <c r="L143" s="112">
        <v>30320</v>
      </c>
      <c r="M143" s="112">
        <v>29140</v>
      </c>
      <c r="N143" s="112">
        <v>29290</v>
      </c>
      <c r="O143" s="112">
        <v>28930</v>
      </c>
      <c r="P143" s="112">
        <v>30020</v>
      </c>
      <c r="Q143" s="112">
        <v>30300</v>
      </c>
      <c r="R143" s="112">
        <v>30760</v>
      </c>
      <c r="S143" s="112">
        <v>31380</v>
      </c>
      <c r="T143" s="112">
        <v>32070</v>
      </c>
      <c r="U143" s="112">
        <v>32010</v>
      </c>
      <c r="V143" s="112">
        <v>32020</v>
      </c>
      <c r="W143" s="112">
        <v>31850</v>
      </c>
      <c r="X143" s="112">
        <v>31180</v>
      </c>
      <c r="Y143" s="112">
        <v>32400</v>
      </c>
      <c r="Z143" s="112">
        <v>33300</v>
      </c>
      <c r="AA143" s="112">
        <v>34630</v>
      </c>
      <c r="AB143" s="112">
        <v>34900</v>
      </c>
      <c r="AC143" s="112">
        <v>34020</v>
      </c>
      <c r="AD143" s="112">
        <v>33940</v>
      </c>
      <c r="AE143" s="112">
        <v>33290</v>
      </c>
      <c r="AF143" s="112">
        <v>33360</v>
      </c>
      <c r="AG143" s="112">
        <v>32730</v>
      </c>
      <c r="AH143" s="112">
        <v>32340</v>
      </c>
      <c r="AI143" s="112">
        <v>32280</v>
      </c>
      <c r="AJ143" s="112">
        <v>31730</v>
      </c>
      <c r="AK143" s="112">
        <v>32740</v>
      </c>
      <c r="AL143" s="112">
        <v>32280</v>
      </c>
      <c r="AM143" s="112">
        <v>31410</v>
      </c>
      <c r="AN143" s="112">
        <v>31390</v>
      </c>
      <c r="AO143" s="112">
        <v>32320</v>
      </c>
      <c r="AP143" s="112">
        <v>32200</v>
      </c>
      <c r="AQ143" s="112">
        <v>33150</v>
      </c>
      <c r="AR143" s="112">
        <v>34240</v>
      </c>
      <c r="AS143" s="112">
        <v>34370</v>
      </c>
      <c r="AT143" s="112">
        <v>34230</v>
      </c>
      <c r="AU143" s="112">
        <v>33950</v>
      </c>
    </row>
    <row r="144" spans="1:47" x14ac:dyDescent="0.2">
      <c r="A144" s="114" t="s">
        <v>51</v>
      </c>
      <c r="B144" s="8"/>
      <c r="C144" s="112">
        <v>32420</v>
      </c>
      <c r="D144" s="112">
        <v>32090</v>
      </c>
      <c r="E144" s="112">
        <v>32260</v>
      </c>
      <c r="F144" s="112">
        <v>32700</v>
      </c>
      <c r="G144" s="112">
        <v>33250</v>
      </c>
      <c r="H144" s="112">
        <v>33050</v>
      </c>
      <c r="I144" s="112">
        <v>34060</v>
      </c>
      <c r="J144" s="112">
        <v>33630</v>
      </c>
      <c r="K144" s="112">
        <v>32360</v>
      </c>
      <c r="L144" s="112">
        <v>31350</v>
      </c>
      <c r="M144" s="112">
        <v>30390</v>
      </c>
      <c r="N144" s="112">
        <v>29210</v>
      </c>
      <c r="O144" s="112">
        <v>29370</v>
      </c>
      <c r="P144" s="112">
        <v>29010</v>
      </c>
      <c r="Q144" s="112">
        <v>30100</v>
      </c>
      <c r="R144" s="112">
        <v>30380</v>
      </c>
      <c r="S144" s="112">
        <v>30840</v>
      </c>
      <c r="T144" s="112">
        <v>31460</v>
      </c>
      <c r="U144" s="112">
        <v>32150</v>
      </c>
      <c r="V144" s="112">
        <v>32090</v>
      </c>
      <c r="W144" s="112">
        <v>32100</v>
      </c>
      <c r="X144" s="112">
        <v>31930</v>
      </c>
      <c r="Y144" s="112">
        <v>31260</v>
      </c>
      <c r="Z144" s="112">
        <v>32480</v>
      </c>
      <c r="AA144" s="112">
        <v>33380</v>
      </c>
      <c r="AB144" s="112">
        <v>34710</v>
      </c>
      <c r="AC144" s="112">
        <v>34980</v>
      </c>
      <c r="AD144" s="112">
        <v>34100</v>
      </c>
      <c r="AE144" s="112">
        <v>34030</v>
      </c>
      <c r="AF144" s="112">
        <v>33370</v>
      </c>
      <c r="AG144" s="112">
        <v>33440</v>
      </c>
      <c r="AH144" s="112">
        <v>32820</v>
      </c>
      <c r="AI144" s="112">
        <v>32420</v>
      </c>
      <c r="AJ144" s="112">
        <v>32360</v>
      </c>
      <c r="AK144" s="112">
        <v>31810</v>
      </c>
      <c r="AL144" s="112">
        <v>32820</v>
      </c>
      <c r="AM144" s="112">
        <v>32360</v>
      </c>
      <c r="AN144" s="112">
        <v>31490</v>
      </c>
      <c r="AO144" s="112">
        <v>31470</v>
      </c>
      <c r="AP144" s="112">
        <v>32400</v>
      </c>
      <c r="AQ144" s="112">
        <v>32280</v>
      </c>
      <c r="AR144" s="112">
        <v>33230</v>
      </c>
      <c r="AS144" s="112">
        <v>34320</v>
      </c>
      <c r="AT144" s="112">
        <v>34450</v>
      </c>
      <c r="AU144" s="112">
        <v>34320</v>
      </c>
    </row>
    <row r="145" spans="1:47" x14ac:dyDescent="0.2">
      <c r="A145" s="114" t="s">
        <v>52</v>
      </c>
      <c r="B145" s="8"/>
      <c r="C145" s="112">
        <v>33510</v>
      </c>
      <c r="D145" s="112">
        <v>32500</v>
      </c>
      <c r="E145" s="112">
        <v>32090</v>
      </c>
      <c r="F145" s="112">
        <v>32400</v>
      </c>
      <c r="G145" s="112">
        <v>32750</v>
      </c>
      <c r="H145" s="112">
        <v>33300</v>
      </c>
      <c r="I145" s="112">
        <v>33100</v>
      </c>
      <c r="J145" s="112">
        <v>34100</v>
      </c>
      <c r="K145" s="112">
        <v>33680</v>
      </c>
      <c r="L145" s="112">
        <v>32410</v>
      </c>
      <c r="M145" s="112">
        <v>31400</v>
      </c>
      <c r="N145" s="112">
        <v>30450</v>
      </c>
      <c r="O145" s="112">
        <v>29270</v>
      </c>
      <c r="P145" s="112">
        <v>29420</v>
      </c>
      <c r="Q145" s="112">
        <v>29060</v>
      </c>
      <c r="R145" s="112">
        <v>30150</v>
      </c>
      <c r="S145" s="112">
        <v>30440</v>
      </c>
      <c r="T145" s="112">
        <v>30900</v>
      </c>
      <c r="U145" s="112">
        <v>31510</v>
      </c>
      <c r="V145" s="112">
        <v>32200</v>
      </c>
      <c r="W145" s="112">
        <v>32140</v>
      </c>
      <c r="X145" s="112">
        <v>32160</v>
      </c>
      <c r="Y145" s="112">
        <v>31980</v>
      </c>
      <c r="Z145" s="112">
        <v>31320</v>
      </c>
      <c r="AA145" s="112">
        <v>32530</v>
      </c>
      <c r="AB145" s="112">
        <v>33430</v>
      </c>
      <c r="AC145" s="112">
        <v>34760</v>
      </c>
      <c r="AD145" s="112">
        <v>35040</v>
      </c>
      <c r="AE145" s="112">
        <v>34160</v>
      </c>
      <c r="AF145" s="112">
        <v>34080</v>
      </c>
      <c r="AG145" s="112">
        <v>33430</v>
      </c>
      <c r="AH145" s="112">
        <v>33500</v>
      </c>
      <c r="AI145" s="112">
        <v>32870</v>
      </c>
      <c r="AJ145" s="112">
        <v>32480</v>
      </c>
      <c r="AK145" s="112">
        <v>32420</v>
      </c>
      <c r="AL145" s="112">
        <v>31870</v>
      </c>
      <c r="AM145" s="112">
        <v>32880</v>
      </c>
      <c r="AN145" s="112">
        <v>32420</v>
      </c>
      <c r="AO145" s="112">
        <v>31550</v>
      </c>
      <c r="AP145" s="112">
        <v>31530</v>
      </c>
      <c r="AQ145" s="112">
        <v>32460</v>
      </c>
      <c r="AR145" s="112">
        <v>32340</v>
      </c>
      <c r="AS145" s="112">
        <v>33290</v>
      </c>
      <c r="AT145" s="112">
        <v>34380</v>
      </c>
      <c r="AU145" s="112">
        <v>34510</v>
      </c>
    </row>
    <row r="146" spans="1:47" x14ac:dyDescent="0.2">
      <c r="A146" s="114" t="s">
        <v>53</v>
      </c>
      <c r="B146" s="8"/>
      <c r="C146" s="112">
        <v>34420</v>
      </c>
      <c r="D146" s="112">
        <v>33540</v>
      </c>
      <c r="E146" s="112">
        <v>32420</v>
      </c>
      <c r="F146" s="112">
        <v>32130</v>
      </c>
      <c r="G146" s="112">
        <v>32420</v>
      </c>
      <c r="H146" s="112">
        <v>32770</v>
      </c>
      <c r="I146" s="112">
        <v>33320</v>
      </c>
      <c r="J146" s="112">
        <v>33120</v>
      </c>
      <c r="K146" s="112">
        <v>34130</v>
      </c>
      <c r="L146" s="112">
        <v>33710</v>
      </c>
      <c r="M146" s="112">
        <v>32440</v>
      </c>
      <c r="N146" s="112">
        <v>31430</v>
      </c>
      <c r="O146" s="112">
        <v>30480</v>
      </c>
      <c r="P146" s="112">
        <v>29300</v>
      </c>
      <c r="Q146" s="112">
        <v>29460</v>
      </c>
      <c r="R146" s="112">
        <v>29100</v>
      </c>
      <c r="S146" s="112">
        <v>30190</v>
      </c>
      <c r="T146" s="112">
        <v>30470</v>
      </c>
      <c r="U146" s="112">
        <v>30930</v>
      </c>
      <c r="V146" s="112">
        <v>31540</v>
      </c>
      <c r="W146" s="112">
        <v>32240</v>
      </c>
      <c r="X146" s="112">
        <v>32170</v>
      </c>
      <c r="Y146" s="112">
        <v>32190</v>
      </c>
      <c r="Z146" s="112">
        <v>32020</v>
      </c>
      <c r="AA146" s="112">
        <v>31350</v>
      </c>
      <c r="AB146" s="112">
        <v>32570</v>
      </c>
      <c r="AC146" s="112">
        <v>33470</v>
      </c>
      <c r="AD146" s="112">
        <v>34800</v>
      </c>
      <c r="AE146" s="112">
        <v>35070</v>
      </c>
      <c r="AF146" s="112">
        <v>34190</v>
      </c>
      <c r="AG146" s="112">
        <v>34120</v>
      </c>
      <c r="AH146" s="112">
        <v>33460</v>
      </c>
      <c r="AI146" s="112">
        <v>33530</v>
      </c>
      <c r="AJ146" s="112">
        <v>32910</v>
      </c>
      <c r="AK146" s="112">
        <v>32510</v>
      </c>
      <c r="AL146" s="112">
        <v>32450</v>
      </c>
      <c r="AM146" s="112">
        <v>31910</v>
      </c>
      <c r="AN146" s="112">
        <v>32920</v>
      </c>
      <c r="AO146" s="112">
        <v>32460</v>
      </c>
      <c r="AP146" s="112">
        <v>31590</v>
      </c>
      <c r="AQ146" s="112">
        <v>31570</v>
      </c>
      <c r="AR146" s="112">
        <v>32500</v>
      </c>
      <c r="AS146" s="112">
        <v>32380</v>
      </c>
      <c r="AT146" s="112">
        <v>33330</v>
      </c>
      <c r="AU146" s="112">
        <v>34410</v>
      </c>
    </row>
    <row r="147" spans="1:47" x14ac:dyDescent="0.2">
      <c r="A147" s="114" t="s">
        <v>54</v>
      </c>
      <c r="B147" s="8"/>
      <c r="C147" s="112">
        <v>34170</v>
      </c>
      <c r="D147" s="112">
        <v>34440</v>
      </c>
      <c r="E147" s="112">
        <v>33430</v>
      </c>
      <c r="F147" s="112">
        <v>32470</v>
      </c>
      <c r="G147" s="112">
        <v>32130</v>
      </c>
      <c r="H147" s="112">
        <v>32430</v>
      </c>
      <c r="I147" s="112">
        <v>32770</v>
      </c>
      <c r="J147" s="112">
        <v>33320</v>
      </c>
      <c r="K147" s="112">
        <v>33130</v>
      </c>
      <c r="L147" s="112">
        <v>34130</v>
      </c>
      <c r="M147" s="112">
        <v>33710</v>
      </c>
      <c r="N147" s="112">
        <v>32440</v>
      </c>
      <c r="O147" s="112">
        <v>31440</v>
      </c>
      <c r="P147" s="112">
        <v>30490</v>
      </c>
      <c r="Q147" s="112">
        <v>29310</v>
      </c>
      <c r="R147" s="112">
        <v>29470</v>
      </c>
      <c r="S147" s="112">
        <v>29110</v>
      </c>
      <c r="T147" s="112">
        <v>30200</v>
      </c>
      <c r="U147" s="112">
        <v>30480</v>
      </c>
      <c r="V147" s="112">
        <v>30940</v>
      </c>
      <c r="W147" s="112">
        <v>31560</v>
      </c>
      <c r="X147" s="112">
        <v>32250</v>
      </c>
      <c r="Y147" s="112">
        <v>32190</v>
      </c>
      <c r="Z147" s="112">
        <v>32210</v>
      </c>
      <c r="AA147" s="112">
        <v>32030</v>
      </c>
      <c r="AB147" s="112">
        <v>31370</v>
      </c>
      <c r="AC147" s="112">
        <v>32580</v>
      </c>
      <c r="AD147" s="112">
        <v>33480</v>
      </c>
      <c r="AE147" s="112">
        <v>34810</v>
      </c>
      <c r="AF147" s="112">
        <v>35080</v>
      </c>
      <c r="AG147" s="112">
        <v>34210</v>
      </c>
      <c r="AH147" s="112">
        <v>34130</v>
      </c>
      <c r="AI147" s="112">
        <v>33480</v>
      </c>
      <c r="AJ147" s="112">
        <v>33550</v>
      </c>
      <c r="AK147" s="112">
        <v>32930</v>
      </c>
      <c r="AL147" s="112">
        <v>32530</v>
      </c>
      <c r="AM147" s="112">
        <v>32470</v>
      </c>
      <c r="AN147" s="112">
        <v>31930</v>
      </c>
      <c r="AO147" s="112">
        <v>32930</v>
      </c>
      <c r="AP147" s="112">
        <v>32480</v>
      </c>
      <c r="AQ147" s="112">
        <v>31610</v>
      </c>
      <c r="AR147" s="112">
        <v>31590</v>
      </c>
      <c r="AS147" s="112">
        <v>32510</v>
      </c>
      <c r="AT147" s="112">
        <v>32400</v>
      </c>
      <c r="AU147" s="112">
        <v>33350</v>
      </c>
    </row>
    <row r="148" spans="1:47" x14ac:dyDescent="0.2">
      <c r="A148" s="114" t="s">
        <v>55</v>
      </c>
      <c r="B148" s="8"/>
      <c r="C148" s="112">
        <v>33510</v>
      </c>
      <c r="D148" s="112">
        <v>34140</v>
      </c>
      <c r="E148" s="112">
        <v>34280</v>
      </c>
      <c r="F148" s="112">
        <v>33480</v>
      </c>
      <c r="G148" s="112">
        <v>32450</v>
      </c>
      <c r="H148" s="112">
        <v>32120</v>
      </c>
      <c r="I148" s="112">
        <v>32410</v>
      </c>
      <c r="J148" s="112">
        <v>32760</v>
      </c>
      <c r="K148" s="112">
        <v>33310</v>
      </c>
      <c r="L148" s="112">
        <v>33110</v>
      </c>
      <c r="M148" s="112">
        <v>34110</v>
      </c>
      <c r="N148" s="112">
        <v>33700</v>
      </c>
      <c r="O148" s="112">
        <v>32430</v>
      </c>
      <c r="P148" s="112">
        <v>31430</v>
      </c>
      <c r="Q148" s="112">
        <v>30480</v>
      </c>
      <c r="R148" s="112">
        <v>29310</v>
      </c>
      <c r="S148" s="112">
        <v>29460</v>
      </c>
      <c r="T148" s="112">
        <v>29110</v>
      </c>
      <c r="U148" s="112">
        <v>30190</v>
      </c>
      <c r="V148" s="112">
        <v>30480</v>
      </c>
      <c r="W148" s="112">
        <v>30940</v>
      </c>
      <c r="X148" s="112">
        <v>31550</v>
      </c>
      <c r="Y148" s="112">
        <v>32240</v>
      </c>
      <c r="Z148" s="112">
        <v>32180</v>
      </c>
      <c r="AA148" s="112">
        <v>32200</v>
      </c>
      <c r="AB148" s="112">
        <v>32020</v>
      </c>
      <c r="AC148" s="112">
        <v>31360</v>
      </c>
      <c r="AD148" s="112">
        <v>32570</v>
      </c>
      <c r="AE148" s="112">
        <v>33480</v>
      </c>
      <c r="AF148" s="112">
        <v>34800</v>
      </c>
      <c r="AG148" s="112">
        <v>35080</v>
      </c>
      <c r="AH148" s="112">
        <v>34200</v>
      </c>
      <c r="AI148" s="112">
        <v>34120</v>
      </c>
      <c r="AJ148" s="112">
        <v>33470</v>
      </c>
      <c r="AK148" s="112">
        <v>33540</v>
      </c>
      <c r="AL148" s="112">
        <v>32920</v>
      </c>
      <c r="AM148" s="112">
        <v>32530</v>
      </c>
      <c r="AN148" s="112">
        <v>32470</v>
      </c>
      <c r="AO148" s="112">
        <v>31920</v>
      </c>
      <c r="AP148" s="112">
        <v>32930</v>
      </c>
      <c r="AQ148" s="112">
        <v>32470</v>
      </c>
      <c r="AR148" s="112">
        <v>31600</v>
      </c>
      <c r="AS148" s="112">
        <v>31590</v>
      </c>
      <c r="AT148" s="112">
        <v>32510</v>
      </c>
      <c r="AU148" s="112">
        <v>32400</v>
      </c>
    </row>
    <row r="149" spans="1:47" x14ac:dyDescent="0.2">
      <c r="A149" s="114" t="s">
        <v>56</v>
      </c>
      <c r="B149" s="8"/>
      <c r="C149" s="112">
        <v>31920</v>
      </c>
      <c r="D149" s="112">
        <v>33490</v>
      </c>
      <c r="E149" s="112">
        <v>34040</v>
      </c>
      <c r="F149" s="112">
        <v>34330</v>
      </c>
      <c r="G149" s="112">
        <v>33450</v>
      </c>
      <c r="H149" s="112">
        <v>32420</v>
      </c>
      <c r="I149" s="112">
        <v>32080</v>
      </c>
      <c r="J149" s="112">
        <v>32380</v>
      </c>
      <c r="K149" s="112">
        <v>32730</v>
      </c>
      <c r="L149" s="112">
        <v>33280</v>
      </c>
      <c r="M149" s="112">
        <v>33080</v>
      </c>
      <c r="N149" s="112">
        <v>34080</v>
      </c>
      <c r="O149" s="112">
        <v>33670</v>
      </c>
      <c r="P149" s="112">
        <v>32400</v>
      </c>
      <c r="Q149" s="112">
        <v>31400</v>
      </c>
      <c r="R149" s="112">
        <v>30460</v>
      </c>
      <c r="S149" s="112">
        <v>29280</v>
      </c>
      <c r="T149" s="112">
        <v>29440</v>
      </c>
      <c r="U149" s="112">
        <v>29090</v>
      </c>
      <c r="V149" s="112">
        <v>30170</v>
      </c>
      <c r="W149" s="112">
        <v>30460</v>
      </c>
      <c r="X149" s="112">
        <v>30910</v>
      </c>
      <c r="Y149" s="112">
        <v>31530</v>
      </c>
      <c r="Z149" s="112">
        <v>32220</v>
      </c>
      <c r="AA149" s="112">
        <v>32160</v>
      </c>
      <c r="AB149" s="112">
        <v>32180</v>
      </c>
      <c r="AC149" s="112">
        <v>32000</v>
      </c>
      <c r="AD149" s="112">
        <v>31340</v>
      </c>
      <c r="AE149" s="112">
        <v>32550</v>
      </c>
      <c r="AF149" s="112">
        <v>33450</v>
      </c>
      <c r="AG149" s="112">
        <v>34780</v>
      </c>
      <c r="AH149" s="112">
        <v>35060</v>
      </c>
      <c r="AI149" s="112">
        <v>34180</v>
      </c>
      <c r="AJ149" s="112">
        <v>34110</v>
      </c>
      <c r="AK149" s="112">
        <v>33460</v>
      </c>
      <c r="AL149" s="112">
        <v>33520</v>
      </c>
      <c r="AM149" s="112">
        <v>32900</v>
      </c>
      <c r="AN149" s="112">
        <v>32510</v>
      </c>
      <c r="AO149" s="112">
        <v>32450</v>
      </c>
      <c r="AP149" s="112">
        <v>31910</v>
      </c>
      <c r="AQ149" s="112">
        <v>32920</v>
      </c>
      <c r="AR149" s="112">
        <v>32460</v>
      </c>
      <c r="AS149" s="112">
        <v>31590</v>
      </c>
      <c r="AT149" s="112">
        <v>31570</v>
      </c>
      <c r="AU149" s="112">
        <v>32500</v>
      </c>
    </row>
    <row r="150" spans="1:47" x14ac:dyDescent="0.2">
      <c r="A150" s="114" t="s">
        <v>57</v>
      </c>
      <c r="B150" s="8"/>
      <c r="C150" s="112">
        <v>31370</v>
      </c>
      <c r="D150" s="112">
        <v>31850</v>
      </c>
      <c r="E150" s="112">
        <v>33360</v>
      </c>
      <c r="F150" s="112">
        <v>34020</v>
      </c>
      <c r="G150" s="112">
        <v>34270</v>
      </c>
      <c r="H150" s="112">
        <v>33390</v>
      </c>
      <c r="I150" s="112">
        <v>32360</v>
      </c>
      <c r="J150" s="112">
        <v>32030</v>
      </c>
      <c r="K150" s="112">
        <v>32320</v>
      </c>
      <c r="L150" s="112">
        <v>32670</v>
      </c>
      <c r="M150" s="112">
        <v>33220</v>
      </c>
      <c r="N150" s="112">
        <v>33030</v>
      </c>
      <c r="O150" s="112">
        <v>34030</v>
      </c>
      <c r="P150" s="112">
        <v>33620</v>
      </c>
      <c r="Q150" s="112">
        <v>32360</v>
      </c>
      <c r="R150" s="112">
        <v>31350</v>
      </c>
      <c r="S150" s="112">
        <v>30410</v>
      </c>
      <c r="T150" s="112">
        <v>29240</v>
      </c>
      <c r="U150" s="112">
        <v>29400</v>
      </c>
      <c r="V150" s="112">
        <v>29040</v>
      </c>
      <c r="W150" s="112">
        <v>30130</v>
      </c>
      <c r="X150" s="112">
        <v>30410</v>
      </c>
      <c r="Y150" s="112">
        <v>30870</v>
      </c>
      <c r="Z150" s="112">
        <v>31490</v>
      </c>
      <c r="AA150" s="112">
        <v>32180</v>
      </c>
      <c r="AB150" s="112">
        <v>32120</v>
      </c>
      <c r="AC150" s="112">
        <v>32140</v>
      </c>
      <c r="AD150" s="112">
        <v>31960</v>
      </c>
      <c r="AE150" s="112">
        <v>31300</v>
      </c>
      <c r="AF150" s="112">
        <v>32510</v>
      </c>
      <c r="AG150" s="112">
        <v>33410</v>
      </c>
      <c r="AH150" s="112">
        <v>34740</v>
      </c>
      <c r="AI150" s="112">
        <v>35010</v>
      </c>
      <c r="AJ150" s="112">
        <v>34140</v>
      </c>
      <c r="AK150" s="112">
        <v>34060</v>
      </c>
      <c r="AL150" s="112">
        <v>33420</v>
      </c>
      <c r="AM150" s="112">
        <v>33480</v>
      </c>
      <c r="AN150" s="112">
        <v>32870</v>
      </c>
      <c r="AO150" s="112">
        <v>32470</v>
      </c>
      <c r="AP150" s="112">
        <v>32410</v>
      </c>
      <c r="AQ150" s="112">
        <v>31870</v>
      </c>
      <c r="AR150" s="112">
        <v>32880</v>
      </c>
      <c r="AS150" s="112">
        <v>32420</v>
      </c>
      <c r="AT150" s="112">
        <v>31550</v>
      </c>
      <c r="AU150" s="112">
        <v>31540</v>
      </c>
    </row>
    <row r="151" spans="1:47" x14ac:dyDescent="0.2">
      <c r="A151" s="114" t="s">
        <v>58</v>
      </c>
      <c r="B151" s="8"/>
      <c r="C151" s="112">
        <v>29970</v>
      </c>
      <c r="D151" s="112">
        <v>31260</v>
      </c>
      <c r="E151" s="112">
        <v>31700</v>
      </c>
      <c r="F151" s="112">
        <v>33300</v>
      </c>
      <c r="G151" s="112">
        <v>33940</v>
      </c>
      <c r="H151" s="112">
        <v>34190</v>
      </c>
      <c r="I151" s="112">
        <v>33310</v>
      </c>
      <c r="J151" s="112">
        <v>32290</v>
      </c>
      <c r="K151" s="112">
        <v>31960</v>
      </c>
      <c r="L151" s="112">
        <v>32250</v>
      </c>
      <c r="M151" s="112">
        <v>32600</v>
      </c>
      <c r="N151" s="112">
        <v>33150</v>
      </c>
      <c r="O151" s="112">
        <v>32960</v>
      </c>
      <c r="P151" s="112">
        <v>33960</v>
      </c>
      <c r="Q151" s="112">
        <v>33550</v>
      </c>
      <c r="R151" s="112">
        <v>32290</v>
      </c>
      <c r="S151" s="112">
        <v>31290</v>
      </c>
      <c r="T151" s="112">
        <v>30350</v>
      </c>
      <c r="U151" s="112">
        <v>29180</v>
      </c>
      <c r="V151" s="112">
        <v>29340</v>
      </c>
      <c r="W151" s="112">
        <v>28990</v>
      </c>
      <c r="X151" s="112">
        <v>30070</v>
      </c>
      <c r="Y151" s="112">
        <v>30350</v>
      </c>
      <c r="Z151" s="112">
        <v>30810</v>
      </c>
      <c r="AA151" s="112">
        <v>31430</v>
      </c>
      <c r="AB151" s="112">
        <v>32120</v>
      </c>
      <c r="AC151" s="112">
        <v>32060</v>
      </c>
      <c r="AD151" s="112">
        <v>32080</v>
      </c>
      <c r="AE151" s="112">
        <v>31900</v>
      </c>
      <c r="AF151" s="112">
        <v>31240</v>
      </c>
      <c r="AG151" s="112">
        <v>32460</v>
      </c>
      <c r="AH151" s="112">
        <v>33350</v>
      </c>
      <c r="AI151" s="112">
        <v>34680</v>
      </c>
      <c r="AJ151" s="112">
        <v>34950</v>
      </c>
      <c r="AK151" s="112">
        <v>34080</v>
      </c>
      <c r="AL151" s="112">
        <v>34000</v>
      </c>
      <c r="AM151" s="112">
        <v>33360</v>
      </c>
      <c r="AN151" s="112">
        <v>33430</v>
      </c>
      <c r="AO151" s="112">
        <v>32810</v>
      </c>
      <c r="AP151" s="112">
        <v>32420</v>
      </c>
      <c r="AQ151" s="112">
        <v>32360</v>
      </c>
      <c r="AR151" s="112">
        <v>31820</v>
      </c>
      <c r="AS151" s="112">
        <v>32820</v>
      </c>
      <c r="AT151" s="112">
        <v>32370</v>
      </c>
      <c r="AU151" s="112">
        <v>31500</v>
      </c>
    </row>
    <row r="152" spans="1:47" x14ac:dyDescent="0.2">
      <c r="A152" s="114" t="s">
        <v>59</v>
      </c>
      <c r="B152" s="8"/>
      <c r="C152" s="112">
        <v>29280</v>
      </c>
      <c r="D152" s="112">
        <v>29840</v>
      </c>
      <c r="E152" s="112">
        <v>31140</v>
      </c>
      <c r="F152" s="112">
        <v>31660</v>
      </c>
      <c r="G152" s="112">
        <v>33210</v>
      </c>
      <c r="H152" s="112">
        <v>33850</v>
      </c>
      <c r="I152" s="112">
        <v>34100</v>
      </c>
      <c r="J152" s="112">
        <v>33220</v>
      </c>
      <c r="K152" s="112">
        <v>32200</v>
      </c>
      <c r="L152" s="112">
        <v>31870</v>
      </c>
      <c r="M152" s="112">
        <v>32170</v>
      </c>
      <c r="N152" s="112">
        <v>32510</v>
      </c>
      <c r="O152" s="112">
        <v>33060</v>
      </c>
      <c r="P152" s="112">
        <v>32870</v>
      </c>
      <c r="Q152" s="112">
        <v>33870</v>
      </c>
      <c r="R152" s="112">
        <v>33460</v>
      </c>
      <c r="S152" s="112">
        <v>32210</v>
      </c>
      <c r="T152" s="112">
        <v>31210</v>
      </c>
      <c r="U152" s="112">
        <v>30270</v>
      </c>
      <c r="V152" s="112">
        <v>29110</v>
      </c>
      <c r="W152" s="112">
        <v>29260</v>
      </c>
      <c r="X152" s="112">
        <v>28910</v>
      </c>
      <c r="Y152" s="112">
        <v>30000</v>
      </c>
      <c r="Z152" s="112">
        <v>30280</v>
      </c>
      <c r="AA152" s="112">
        <v>30740</v>
      </c>
      <c r="AB152" s="112">
        <v>31350</v>
      </c>
      <c r="AC152" s="112">
        <v>32040</v>
      </c>
      <c r="AD152" s="112">
        <v>31980</v>
      </c>
      <c r="AE152" s="112">
        <v>32000</v>
      </c>
      <c r="AF152" s="112">
        <v>31830</v>
      </c>
      <c r="AG152" s="112">
        <v>31170</v>
      </c>
      <c r="AH152" s="112">
        <v>32380</v>
      </c>
      <c r="AI152" s="112">
        <v>33280</v>
      </c>
      <c r="AJ152" s="112">
        <v>34600</v>
      </c>
      <c r="AK152" s="112">
        <v>34880</v>
      </c>
      <c r="AL152" s="112">
        <v>34010</v>
      </c>
      <c r="AM152" s="112">
        <v>33930</v>
      </c>
      <c r="AN152" s="112">
        <v>33290</v>
      </c>
      <c r="AO152" s="112">
        <v>33350</v>
      </c>
      <c r="AP152" s="112">
        <v>32740</v>
      </c>
      <c r="AQ152" s="112">
        <v>32350</v>
      </c>
      <c r="AR152" s="112">
        <v>32290</v>
      </c>
      <c r="AS152" s="112">
        <v>31750</v>
      </c>
      <c r="AT152" s="112">
        <v>32750</v>
      </c>
      <c r="AU152" s="112">
        <v>32300</v>
      </c>
    </row>
    <row r="153" spans="1:47" x14ac:dyDescent="0.2">
      <c r="A153" s="114" t="s">
        <v>60</v>
      </c>
      <c r="B153" s="8"/>
      <c r="C153" s="112">
        <v>28580</v>
      </c>
      <c r="D153" s="112">
        <v>29140</v>
      </c>
      <c r="E153" s="112">
        <v>29700</v>
      </c>
      <c r="F153" s="112">
        <v>31060</v>
      </c>
      <c r="G153" s="112">
        <v>31560</v>
      </c>
      <c r="H153" s="112">
        <v>33100</v>
      </c>
      <c r="I153" s="112">
        <v>33740</v>
      </c>
      <c r="J153" s="112">
        <v>33990</v>
      </c>
      <c r="K153" s="112">
        <v>33110</v>
      </c>
      <c r="L153" s="112">
        <v>32090</v>
      </c>
      <c r="M153" s="112">
        <v>31770</v>
      </c>
      <c r="N153" s="112">
        <v>32070</v>
      </c>
      <c r="O153" s="112">
        <v>32420</v>
      </c>
      <c r="P153" s="112">
        <v>32960</v>
      </c>
      <c r="Q153" s="112">
        <v>32780</v>
      </c>
      <c r="R153" s="112">
        <v>33770</v>
      </c>
      <c r="S153" s="112">
        <v>33360</v>
      </c>
      <c r="T153" s="112">
        <v>32110</v>
      </c>
      <c r="U153" s="112">
        <v>31120</v>
      </c>
      <c r="V153" s="112">
        <v>30180</v>
      </c>
      <c r="W153" s="112">
        <v>29020</v>
      </c>
      <c r="X153" s="112">
        <v>29180</v>
      </c>
      <c r="Y153" s="112">
        <v>28830</v>
      </c>
      <c r="Z153" s="112">
        <v>29910</v>
      </c>
      <c r="AA153" s="112">
        <v>30190</v>
      </c>
      <c r="AB153" s="112">
        <v>30650</v>
      </c>
      <c r="AC153" s="112">
        <v>31260</v>
      </c>
      <c r="AD153" s="112">
        <v>31960</v>
      </c>
      <c r="AE153" s="112">
        <v>31900</v>
      </c>
      <c r="AF153" s="112">
        <v>31920</v>
      </c>
      <c r="AG153" s="112">
        <v>31750</v>
      </c>
      <c r="AH153" s="112">
        <v>31090</v>
      </c>
      <c r="AI153" s="112">
        <v>32300</v>
      </c>
      <c r="AJ153" s="112">
        <v>33190</v>
      </c>
      <c r="AK153" s="112">
        <v>34520</v>
      </c>
      <c r="AL153" s="112">
        <v>34790</v>
      </c>
      <c r="AM153" s="112">
        <v>33920</v>
      </c>
      <c r="AN153" s="112">
        <v>33850</v>
      </c>
      <c r="AO153" s="112">
        <v>33200</v>
      </c>
      <c r="AP153" s="112">
        <v>33270</v>
      </c>
      <c r="AQ153" s="112">
        <v>32660</v>
      </c>
      <c r="AR153" s="112">
        <v>32260</v>
      </c>
      <c r="AS153" s="112">
        <v>32210</v>
      </c>
      <c r="AT153" s="112">
        <v>31670</v>
      </c>
      <c r="AU153" s="112">
        <v>32670</v>
      </c>
    </row>
    <row r="154" spans="1:47" x14ac:dyDescent="0.2">
      <c r="A154" s="114" t="s">
        <v>61</v>
      </c>
      <c r="B154" s="8"/>
      <c r="C154" s="112">
        <v>27550</v>
      </c>
      <c r="D154" s="112">
        <v>28470</v>
      </c>
      <c r="E154" s="112">
        <v>29000</v>
      </c>
      <c r="F154" s="112">
        <v>29640</v>
      </c>
      <c r="G154" s="112">
        <v>30950</v>
      </c>
      <c r="H154" s="112">
        <v>31440</v>
      </c>
      <c r="I154" s="112">
        <v>32980</v>
      </c>
      <c r="J154" s="112">
        <v>33620</v>
      </c>
      <c r="K154" s="112">
        <v>33880</v>
      </c>
      <c r="L154" s="112">
        <v>33000</v>
      </c>
      <c r="M154" s="112">
        <v>31990</v>
      </c>
      <c r="N154" s="112">
        <v>31660</v>
      </c>
      <c r="O154" s="112">
        <v>31960</v>
      </c>
      <c r="P154" s="112">
        <v>32310</v>
      </c>
      <c r="Q154" s="112">
        <v>32860</v>
      </c>
      <c r="R154" s="112">
        <v>32670</v>
      </c>
      <c r="S154" s="112">
        <v>33670</v>
      </c>
      <c r="T154" s="112">
        <v>33260</v>
      </c>
      <c r="U154" s="112">
        <v>32010</v>
      </c>
      <c r="V154" s="112">
        <v>31020</v>
      </c>
      <c r="W154" s="112">
        <v>30090</v>
      </c>
      <c r="X154" s="112">
        <v>28930</v>
      </c>
      <c r="Y154" s="112">
        <v>29090</v>
      </c>
      <c r="Z154" s="112">
        <v>28740</v>
      </c>
      <c r="AA154" s="112">
        <v>29820</v>
      </c>
      <c r="AB154" s="112">
        <v>30100</v>
      </c>
      <c r="AC154" s="112">
        <v>30560</v>
      </c>
      <c r="AD154" s="112">
        <v>31170</v>
      </c>
      <c r="AE154" s="112">
        <v>31860</v>
      </c>
      <c r="AF154" s="112">
        <v>31810</v>
      </c>
      <c r="AG154" s="112">
        <v>31830</v>
      </c>
      <c r="AH154" s="112">
        <v>31650</v>
      </c>
      <c r="AI154" s="112">
        <v>31000</v>
      </c>
      <c r="AJ154" s="112">
        <v>32210</v>
      </c>
      <c r="AK154" s="112">
        <v>33100</v>
      </c>
      <c r="AL154" s="112">
        <v>34420</v>
      </c>
      <c r="AM154" s="112">
        <v>34700</v>
      </c>
      <c r="AN154" s="112">
        <v>33830</v>
      </c>
      <c r="AO154" s="112">
        <v>33760</v>
      </c>
      <c r="AP154" s="112">
        <v>33110</v>
      </c>
      <c r="AQ154" s="112">
        <v>33180</v>
      </c>
      <c r="AR154" s="112">
        <v>32570</v>
      </c>
      <c r="AS154" s="112">
        <v>32180</v>
      </c>
      <c r="AT154" s="112">
        <v>32120</v>
      </c>
      <c r="AU154" s="112">
        <v>31580</v>
      </c>
    </row>
    <row r="155" spans="1:47" x14ac:dyDescent="0.2">
      <c r="A155" s="114" t="s">
        <v>62</v>
      </c>
      <c r="B155" s="8"/>
      <c r="C155" s="112">
        <v>26780</v>
      </c>
      <c r="D155" s="112">
        <v>27410</v>
      </c>
      <c r="E155" s="112">
        <v>28320</v>
      </c>
      <c r="F155" s="112">
        <v>28930</v>
      </c>
      <c r="G155" s="112">
        <v>29520</v>
      </c>
      <c r="H155" s="112">
        <v>30830</v>
      </c>
      <c r="I155" s="112">
        <v>31330</v>
      </c>
      <c r="J155" s="112">
        <v>32860</v>
      </c>
      <c r="K155" s="112">
        <v>33500</v>
      </c>
      <c r="L155" s="112">
        <v>33760</v>
      </c>
      <c r="M155" s="112">
        <v>32890</v>
      </c>
      <c r="N155" s="112">
        <v>31870</v>
      </c>
      <c r="O155" s="112">
        <v>31550</v>
      </c>
      <c r="P155" s="112">
        <v>31850</v>
      </c>
      <c r="Q155" s="112">
        <v>32200</v>
      </c>
      <c r="R155" s="112">
        <v>32750</v>
      </c>
      <c r="S155" s="112">
        <v>32560</v>
      </c>
      <c r="T155" s="112">
        <v>33560</v>
      </c>
      <c r="U155" s="112">
        <v>33150</v>
      </c>
      <c r="V155" s="112">
        <v>31910</v>
      </c>
      <c r="W155" s="112">
        <v>30920</v>
      </c>
      <c r="X155" s="112">
        <v>29990</v>
      </c>
      <c r="Y155" s="112">
        <v>28830</v>
      </c>
      <c r="Z155" s="112">
        <v>28990</v>
      </c>
      <c r="AA155" s="112">
        <v>28640</v>
      </c>
      <c r="AB155" s="112">
        <v>29720</v>
      </c>
      <c r="AC155" s="112">
        <v>30010</v>
      </c>
      <c r="AD155" s="112">
        <v>30470</v>
      </c>
      <c r="AE155" s="112">
        <v>31080</v>
      </c>
      <c r="AF155" s="112">
        <v>31770</v>
      </c>
      <c r="AG155" s="112">
        <v>31710</v>
      </c>
      <c r="AH155" s="112">
        <v>31730</v>
      </c>
      <c r="AI155" s="112">
        <v>31560</v>
      </c>
      <c r="AJ155" s="112">
        <v>30910</v>
      </c>
      <c r="AK155" s="112">
        <v>32110</v>
      </c>
      <c r="AL155" s="112">
        <v>33010</v>
      </c>
      <c r="AM155" s="112">
        <v>34320</v>
      </c>
      <c r="AN155" s="112">
        <v>34600</v>
      </c>
      <c r="AO155" s="112">
        <v>33740</v>
      </c>
      <c r="AP155" s="112">
        <v>33660</v>
      </c>
      <c r="AQ155" s="112">
        <v>33020</v>
      </c>
      <c r="AR155" s="112">
        <v>33090</v>
      </c>
      <c r="AS155" s="112">
        <v>32470</v>
      </c>
      <c r="AT155" s="112">
        <v>32080</v>
      </c>
      <c r="AU155" s="112">
        <v>32030</v>
      </c>
    </row>
    <row r="156" spans="1:47" x14ac:dyDescent="0.2">
      <c r="A156" s="114" t="s">
        <v>63</v>
      </c>
      <c r="B156" s="8"/>
      <c r="C156" s="112">
        <v>25610</v>
      </c>
      <c r="D156" s="112">
        <v>26650</v>
      </c>
      <c r="E156" s="112">
        <v>27270</v>
      </c>
      <c r="F156" s="112">
        <v>28220</v>
      </c>
      <c r="G156" s="112">
        <v>28810</v>
      </c>
      <c r="H156" s="112">
        <v>29410</v>
      </c>
      <c r="I156" s="112">
        <v>30720</v>
      </c>
      <c r="J156" s="112">
        <v>31210</v>
      </c>
      <c r="K156" s="112">
        <v>32740</v>
      </c>
      <c r="L156" s="112">
        <v>33390</v>
      </c>
      <c r="M156" s="112">
        <v>33640</v>
      </c>
      <c r="N156" s="112">
        <v>32770</v>
      </c>
      <c r="O156" s="112">
        <v>31760</v>
      </c>
      <c r="P156" s="112">
        <v>31440</v>
      </c>
      <c r="Q156" s="112">
        <v>31740</v>
      </c>
      <c r="R156" s="112">
        <v>32090</v>
      </c>
      <c r="S156" s="112">
        <v>32640</v>
      </c>
      <c r="T156" s="112">
        <v>32460</v>
      </c>
      <c r="U156" s="112">
        <v>33450</v>
      </c>
      <c r="V156" s="112">
        <v>33050</v>
      </c>
      <c r="W156" s="112">
        <v>31810</v>
      </c>
      <c r="X156" s="112">
        <v>30820</v>
      </c>
      <c r="Y156" s="112">
        <v>29890</v>
      </c>
      <c r="Z156" s="112">
        <v>28740</v>
      </c>
      <c r="AA156" s="112">
        <v>28900</v>
      </c>
      <c r="AB156" s="112">
        <v>28550</v>
      </c>
      <c r="AC156" s="112">
        <v>29630</v>
      </c>
      <c r="AD156" s="112">
        <v>29910</v>
      </c>
      <c r="AE156" s="112">
        <v>30370</v>
      </c>
      <c r="AF156" s="112">
        <v>30980</v>
      </c>
      <c r="AG156" s="112">
        <v>31670</v>
      </c>
      <c r="AH156" s="112">
        <v>31620</v>
      </c>
      <c r="AI156" s="112">
        <v>31640</v>
      </c>
      <c r="AJ156" s="112">
        <v>31470</v>
      </c>
      <c r="AK156" s="112">
        <v>30820</v>
      </c>
      <c r="AL156" s="112">
        <v>32020</v>
      </c>
      <c r="AM156" s="112">
        <v>32910</v>
      </c>
      <c r="AN156" s="112">
        <v>34230</v>
      </c>
      <c r="AO156" s="112">
        <v>34500</v>
      </c>
      <c r="AP156" s="112">
        <v>33640</v>
      </c>
      <c r="AQ156" s="112">
        <v>33570</v>
      </c>
      <c r="AR156" s="112">
        <v>32930</v>
      </c>
      <c r="AS156" s="112">
        <v>33000</v>
      </c>
      <c r="AT156" s="112">
        <v>32380</v>
      </c>
      <c r="AU156" s="112">
        <v>32000</v>
      </c>
    </row>
    <row r="157" spans="1:47" x14ac:dyDescent="0.2">
      <c r="A157" s="114" t="s">
        <v>64</v>
      </c>
      <c r="B157" s="8"/>
      <c r="C157" s="112">
        <v>25210</v>
      </c>
      <c r="D157" s="112">
        <v>25480</v>
      </c>
      <c r="E157" s="112">
        <v>26510</v>
      </c>
      <c r="F157" s="112">
        <v>27190</v>
      </c>
      <c r="G157" s="112">
        <v>28110</v>
      </c>
      <c r="H157" s="112">
        <v>28700</v>
      </c>
      <c r="I157" s="112">
        <v>29290</v>
      </c>
      <c r="J157" s="112">
        <v>30600</v>
      </c>
      <c r="K157" s="112">
        <v>31090</v>
      </c>
      <c r="L157" s="112">
        <v>32630</v>
      </c>
      <c r="M157" s="112">
        <v>33270</v>
      </c>
      <c r="N157" s="112">
        <v>33520</v>
      </c>
      <c r="O157" s="112">
        <v>32660</v>
      </c>
      <c r="P157" s="112">
        <v>31660</v>
      </c>
      <c r="Q157" s="112">
        <v>31340</v>
      </c>
      <c r="R157" s="112">
        <v>31640</v>
      </c>
      <c r="S157" s="112">
        <v>31990</v>
      </c>
      <c r="T157" s="112">
        <v>32540</v>
      </c>
      <c r="U157" s="112">
        <v>32350</v>
      </c>
      <c r="V157" s="112">
        <v>33350</v>
      </c>
      <c r="W157" s="112">
        <v>32940</v>
      </c>
      <c r="X157" s="112">
        <v>31710</v>
      </c>
      <c r="Y157" s="112">
        <v>30720</v>
      </c>
      <c r="Z157" s="112">
        <v>29800</v>
      </c>
      <c r="AA157" s="112">
        <v>28650</v>
      </c>
      <c r="AB157" s="112">
        <v>28810</v>
      </c>
      <c r="AC157" s="112">
        <v>28460</v>
      </c>
      <c r="AD157" s="112">
        <v>29540</v>
      </c>
      <c r="AE157" s="112">
        <v>29820</v>
      </c>
      <c r="AF157" s="112">
        <v>30280</v>
      </c>
      <c r="AG157" s="112">
        <v>30890</v>
      </c>
      <c r="AH157" s="112">
        <v>31580</v>
      </c>
      <c r="AI157" s="112">
        <v>31520</v>
      </c>
      <c r="AJ157" s="112">
        <v>31550</v>
      </c>
      <c r="AK157" s="112">
        <v>31380</v>
      </c>
      <c r="AL157" s="112">
        <v>30730</v>
      </c>
      <c r="AM157" s="112">
        <v>31930</v>
      </c>
      <c r="AN157" s="112">
        <v>32820</v>
      </c>
      <c r="AO157" s="112">
        <v>34140</v>
      </c>
      <c r="AP157" s="112">
        <v>34410</v>
      </c>
      <c r="AQ157" s="112">
        <v>33550</v>
      </c>
      <c r="AR157" s="112">
        <v>33480</v>
      </c>
      <c r="AS157" s="112">
        <v>32840</v>
      </c>
      <c r="AT157" s="112">
        <v>32910</v>
      </c>
      <c r="AU157" s="112">
        <v>32300</v>
      </c>
    </row>
    <row r="158" spans="1:47" x14ac:dyDescent="0.2">
      <c r="A158" s="114" t="s">
        <v>65</v>
      </c>
      <c r="B158" s="8"/>
      <c r="C158" s="112">
        <v>24770</v>
      </c>
      <c r="D158" s="112">
        <v>25080</v>
      </c>
      <c r="E158" s="112">
        <v>25380</v>
      </c>
      <c r="F158" s="112">
        <v>26430</v>
      </c>
      <c r="G158" s="112">
        <v>27080</v>
      </c>
      <c r="H158" s="112">
        <v>28000</v>
      </c>
      <c r="I158" s="112">
        <v>28590</v>
      </c>
      <c r="J158" s="112">
        <v>29190</v>
      </c>
      <c r="K158" s="112">
        <v>30490</v>
      </c>
      <c r="L158" s="112">
        <v>30990</v>
      </c>
      <c r="M158" s="112">
        <v>32510</v>
      </c>
      <c r="N158" s="112">
        <v>33160</v>
      </c>
      <c r="O158" s="112">
        <v>33410</v>
      </c>
      <c r="P158" s="112">
        <v>32550</v>
      </c>
      <c r="Q158" s="112">
        <v>31550</v>
      </c>
      <c r="R158" s="112">
        <v>31240</v>
      </c>
      <c r="S158" s="112">
        <v>31540</v>
      </c>
      <c r="T158" s="112">
        <v>31890</v>
      </c>
      <c r="U158" s="112">
        <v>32440</v>
      </c>
      <c r="V158" s="112">
        <v>32250</v>
      </c>
      <c r="W158" s="112">
        <v>33250</v>
      </c>
      <c r="X158" s="112">
        <v>32850</v>
      </c>
      <c r="Y158" s="112">
        <v>31610</v>
      </c>
      <c r="Z158" s="112">
        <v>30630</v>
      </c>
      <c r="AA158" s="112">
        <v>29710</v>
      </c>
      <c r="AB158" s="112">
        <v>28560</v>
      </c>
      <c r="AC158" s="112">
        <v>28720</v>
      </c>
      <c r="AD158" s="112">
        <v>28380</v>
      </c>
      <c r="AE158" s="112">
        <v>29450</v>
      </c>
      <c r="AF158" s="112">
        <v>29740</v>
      </c>
      <c r="AG158" s="112">
        <v>30200</v>
      </c>
      <c r="AH158" s="112">
        <v>30810</v>
      </c>
      <c r="AI158" s="112">
        <v>31490</v>
      </c>
      <c r="AJ158" s="112">
        <v>31440</v>
      </c>
      <c r="AK158" s="112">
        <v>31460</v>
      </c>
      <c r="AL158" s="112">
        <v>31290</v>
      </c>
      <c r="AM158" s="112">
        <v>30650</v>
      </c>
      <c r="AN158" s="112">
        <v>31840</v>
      </c>
      <c r="AO158" s="112">
        <v>32740</v>
      </c>
      <c r="AP158" s="112">
        <v>34050</v>
      </c>
      <c r="AQ158" s="112">
        <v>34320</v>
      </c>
      <c r="AR158" s="112">
        <v>33460</v>
      </c>
      <c r="AS158" s="112">
        <v>33390</v>
      </c>
      <c r="AT158" s="112">
        <v>32750</v>
      </c>
      <c r="AU158" s="112">
        <v>32820</v>
      </c>
    </row>
    <row r="159" spans="1:47" x14ac:dyDescent="0.2">
      <c r="A159" s="114" t="s">
        <v>66</v>
      </c>
      <c r="B159" s="8"/>
      <c r="C159" s="112">
        <v>24930</v>
      </c>
      <c r="D159" s="112">
        <v>24700</v>
      </c>
      <c r="E159" s="112">
        <v>24950</v>
      </c>
      <c r="F159" s="112">
        <v>25280</v>
      </c>
      <c r="G159" s="112">
        <v>26330</v>
      </c>
      <c r="H159" s="112">
        <v>26990</v>
      </c>
      <c r="I159" s="112">
        <v>27900</v>
      </c>
      <c r="J159" s="112">
        <v>28500</v>
      </c>
      <c r="K159" s="112">
        <v>29090</v>
      </c>
      <c r="L159" s="112">
        <v>30390</v>
      </c>
      <c r="M159" s="112">
        <v>30880</v>
      </c>
      <c r="N159" s="112">
        <v>32410</v>
      </c>
      <c r="O159" s="112">
        <v>33050</v>
      </c>
      <c r="P159" s="112">
        <v>33310</v>
      </c>
      <c r="Q159" s="112">
        <v>32450</v>
      </c>
      <c r="R159" s="112">
        <v>31460</v>
      </c>
      <c r="S159" s="112">
        <v>31140</v>
      </c>
      <c r="T159" s="112">
        <v>31440</v>
      </c>
      <c r="U159" s="112">
        <v>31800</v>
      </c>
      <c r="V159" s="112">
        <v>32340</v>
      </c>
      <c r="W159" s="112">
        <v>32160</v>
      </c>
      <c r="X159" s="112">
        <v>33160</v>
      </c>
      <c r="Y159" s="112">
        <v>32760</v>
      </c>
      <c r="Z159" s="112">
        <v>31530</v>
      </c>
      <c r="AA159" s="112">
        <v>30550</v>
      </c>
      <c r="AB159" s="112">
        <v>29630</v>
      </c>
      <c r="AC159" s="112">
        <v>28490</v>
      </c>
      <c r="AD159" s="112">
        <v>28650</v>
      </c>
      <c r="AE159" s="112">
        <v>28310</v>
      </c>
      <c r="AF159" s="112">
        <v>29380</v>
      </c>
      <c r="AG159" s="112">
        <v>29660</v>
      </c>
      <c r="AH159" s="112">
        <v>30120</v>
      </c>
      <c r="AI159" s="112">
        <v>30730</v>
      </c>
      <c r="AJ159" s="112">
        <v>31420</v>
      </c>
      <c r="AK159" s="112">
        <v>31360</v>
      </c>
      <c r="AL159" s="112">
        <v>31390</v>
      </c>
      <c r="AM159" s="112">
        <v>31220</v>
      </c>
      <c r="AN159" s="112">
        <v>30570</v>
      </c>
      <c r="AO159" s="112">
        <v>31770</v>
      </c>
      <c r="AP159" s="112">
        <v>32660</v>
      </c>
      <c r="AQ159" s="112">
        <v>33970</v>
      </c>
      <c r="AR159" s="112">
        <v>34240</v>
      </c>
      <c r="AS159" s="112">
        <v>33390</v>
      </c>
      <c r="AT159" s="112">
        <v>33310</v>
      </c>
      <c r="AU159" s="112">
        <v>32680</v>
      </c>
    </row>
    <row r="160" spans="1:47" x14ac:dyDescent="0.2">
      <c r="A160" s="114" t="s">
        <v>67</v>
      </c>
      <c r="B160" s="8"/>
      <c r="C160" s="112">
        <v>24090</v>
      </c>
      <c r="D160" s="112">
        <v>24820</v>
      </c>
      <c r="E160" s="112">
        <v>24600</v>
      </c>
      <c r="F160" s="112">
        <v>24900</v>
      </c>
      <c r="G160" s="112">
        <v>25190</v>
      </c>
      <c r="H160" s="112">
        <v>26240</v>
      </c>
      <c r="I160" s="112">
        <v>26890</v>
      </c>
      <c r="J160" s="112">
        <v>27810</v>
      </c>
      <c r="K160" s="112">
        <v>28400</v>
      </c>
      <c r="L160" s="112">
        <v>28990</v>
      </c>
      <c r="M160" s="112">
        <v>30290</v>
      </c>
      <c r="N160" s="112">
        <v>30790</v>
      </c>
      <c r="O160" s="112">
        <v>32310</v>
      </c>
      <c r="P160" s="112">
        <v>32950</v>
      </c>
      <c r="Q160" s="112">
        <v>33210</v>
      </c>
      <c r="R160" s="112">
        <v>32360</v>
      </c>
      <c r="S160" s="112">
        <v>31360</v>
      </c>
      <c r="T160" s="112">
        <v>31050</v>
      </c>
      <c r="U160" s="112">
        <v>31350</v>
      </c>
      <c r="V160" s="112">
        <v>31710</v>
      </c>
      <c r="W160" s="112">
        <v>32260</v>
      </c>
      <c r="X160" s="112">
        <v>32080</v>
      </c>
      <c r="Y160" s="112">
        <v>33070</v>
      </c>
      <c r="Z160" s="112">
        <v>32670</v>
      </c>
      <c r="AA160" s="112">
        <v>31440</v>
      </c>
      <c r="AB160" s="112">
        <v>30470</v>
      </c>
      <c r="AC160" s="112">
        <v>29560</v>
      </c>
      <c r="AD160" s="112">
        <v>28420</v>
      </c>
      <c r="AE160" s="112">
        <v>28580</v>
      </c>
      <c r="AF160" s="112">
        <v>28240</v>
      </c>
      <c r="AG160" s="112">
        <v>29310</v>
      </c>
      <c r="AH160" s="112">
        <v>29590</v>
      </c>
      <c r="AI160" s="112">
        <v>30050</v>
      </c>
      <c r="AJ160" s="112">
        <v>30660</v>
      </c>
      <c r="AK160" s="112">
        <v>31340</v>
      </c>
      <c r="AL160" s="112">
        <v>31290</v>
      </c>
      <c r="AM160" s="112">
        <v>31310</v>
      </c>
      <c r="AN160" s="112">
        <v>31150</v>
      </c>
      <c r="AO160" s="112">
        <v>30500</v>
      </c>
      <c r="AP160" s="112">
        <v>31700</v>
      </c>
      <c r="AQ160" s="112">
        <v>32590</v>
      </c>
      <c r="AR160" s="112">
        <v>33890</v>
      </c>
      <c r="AS160" s="112">
        <v>34170</v>
      </c>
      <c r="AT160" s="112">
        <v>33310</v>
      </c>
      <c r="AU160" s="112">
        <v>33240</v>
      </c>
    </row>
    <row r="161" spans="1:47" x14ac:dyDescent="0.2">
      <c r="A161" s="114" t="s">
        <v>68</v>
      </c>
      <c r="B161" s="8"/>
      <c r="C161" s="112">
        <v>24480</v>
      </c>
      <c r="D161" s="112">
        <v>24010</v>
      </c>
      <c r="E161" s="112">
        <v>24690</v>
      </c>
      <c r="F161" s="112">
        <v>24480</v>
      </c>
      <c r="G161" s="112">
        <v>24810</v>
      </c>
      <c r="H161" s="112">
        <v>25100</v>
      </c>
      <c r="I161" s="112">
        <v>26150</v>
      </c>
      <c r="J161" s="112">
        <v>26800</v>
      </c>
      <c r="K161" s="112">
        <v>27720</v>
      </c>
      <c r="L161" s="112">
        <v>28310</v>
      </c>
      <c r="M161" s="112">
        <v>28900</v>
      </c>
      <c r="N161" s="112">
        <v>30200</v>
      </c>
      <c r="O161" s="112">
        <v>30690</v>
      </c>
      <c r="P161" s="112">
        <v>32210</v>
      </c>
      <c r="Q161" s="112">
        <v>32850</v>
      </c>
      <c r="R161" s="112">
        <v>33110</v>
      </c>
      <c r="S161" s="112">
        <v>32260</v>
      </c>
      <c r="T161" s="112">
        <v>31280</v>
      </c>
      <c r="U161" s="112">
        <v>30970</v>
      </c>
      <c r="V161" s="112">
        <v>31270</v>
      </c>
      <c r="W161" s="112">
        <v>31620</v>
      </c>
      <c r="X161" s="112">
        <v>32170</v>
      </c>
      <c r="Y161" s="112">
        <v>31990</v>
      </c>
      <c r="Z161" s="112">
        <v>32980</v>
      </c>
      <c r="AA161" s="112">
        <v>32590</v>
      </c>
      <c r="AB161" s="112">
        <v>31370</v>
      </c>
      <c r="AC161" s="112">
        <v>30400</v>
      </c>
      <c r="AD161" s="112">
        <v>29490</v>
      </c>
      <c r="AE161" s="112">
        <v>28350</v>
      </c>
      <c r="AF161" s="112">
        <v>28510</v>
      </c>
      <c r="AG161" s="112">
        <v>28170</v>
      </c>
      <c r="AH161" s="112">
        <v>29240</v>
      </c>
      <c r="AI161" s="112">
        <v>29530</v>
      </c>
      <c r="AJ161" s="112">
        <v>29980</v>
      </c>
      <c r="AK161" s="112">
        <v>30590</v>
      </c>
      <c r="AL161" s="112">
        <v>31280</v>
      </c>
      <c r="AM161" s="112">
        <v>31220</v>
      </c>
      <c r="AN161" s="112">
        <v>31250</v>
      </c>
      <c r="AO161" s="112">
        <v>31080</v>
      </c>
      <c r="AP161" s="112">
        <v>30440</v>
      </c>
      <c r="AQ161" s="112">
        <v>31630</v>
      </c>
      <c r="AR161" s="112">
        <v>32520</v>
      </c>
      <c r="AS161" s="112">
        <v>33820</v>
      </c>
      <c r="AT161" s="112">
        <v>34100</v>
      </c>
      <c r="AU161" s="112">
        <v>33240</v>
      </c>
    </row>
    <row r="162" spans="1:47" x14ac:dyDescent="0.2">
      <c r="A162" s="114" t="s">
        <v>69</v>
      </c>
      <c r="B162" s="8"/>
      <c r="C162" s="112">
        <v>24660</v>
      </c>
      <c r="D162" s="112">
        <v>24420</v>
      </c>
      <c r="E162" s="112">
        <v>23890</v>
      </c>
      <c r="F162" s="112">
        <v>24640</v>
      </c>
      <c r="G162" s="112">
        <v>24400</v>
      </c>
      <c r="H162" s="112">
        <v>24730</v>
      </c>
      <c r="I162" s="112">
        <v>25020</v>
      </c>
      <c r="J162" s="112">
        <v>26060</v>
      </c>
      <c r="K162" s="112">
        <v>26720</v>
      </c>
      <c r="L162" s="112">
        <v>27630</v>
      </c>
      <c r="M162" s="112">
        <v>28220</v>
      </c>
      <c r="N162" s="112">
        <v>28810</v>
      </c>
      <c r="O162" s="112">
        <v>30110</v>
      </c>
      <c r="P162" s="112">
        <v>30600</v>
      </c>
      <c r="Q162" s="112">
        <v>32120</v>
      </c>
      <c r="R162" s="112">
        <v>32760</v>
      </c>
      <c r="S162" s="112">
        <v>33020</v>
      </c>
      <c r="T162" s="112">
        <v>32180</v>
      </c>
      <c r="U162" s="112">
        <v>31190</v>
      </c>
      <c r="V162" s="112">
        <v>30890</v>
      </c>
      <c r="W162" s="112">
        <v>31190</v>
      </c>
      <c r="X162" s="112">
        <v>31540</v>
      </c>
      <c r="Y162" s="112">
        <v>32090</v>
      </c>
      <c r="Z162" s="112">
        <v>31910</v>
      </c>
      <c r="AA162" s="112">
        <v>32900</v>
      </c>
      <c r="AB162" s="112">
        <v>32510</v>
      </c>
      <c r="AC162" s="112">
        <v>31290</v>
      </c>
      <c r="AD162" s="112">
        <v>30330</v>
      </c>
      <c r="AE162" s="112">
        <v>29420</v>
      </c>
      <c r="AF162" s="112">
        <v>28290</v>
      </c>
      <c r="AG162" s="112">
        <v>28450</v>
      </c>
      <c r="AH162" s="112">
        <v>28110</v>
      </c>
      <c r="AI162" s="112">
        <v>29180</v>
      </c>
      <c r="AJ162" s="112">
        <v>29470</v>
      </c>
      <c r="AK162" s="112">
        <v>29920</v>
      </c>
      <c r="AL162" s="112">
        <v>30530</v>
      </c>
      <c r="AM162" s="112">
        <v>31210</v>
      </c>
      <c r="AN162" s="112">
        <v>31160</v>
      </c>
      <c r="AO162" s="112">
        <v>31180</v>
      </c>
      <c r="AP162" s="112">
        <v>31020</v>
      </c>
      <c r="AQ162" s="112">
        <v>30380</v>
      </c>
      <c r="AR162" s="112">
        <v>31570</v>
      </c>
      <c r="AS162" s="112">
        <v>32450</v>
      </c>
      <c r="AT162" s="112">
        <v>33760</v>
      </c>
      <c r="AU162" s="112">
        <v>34030</v>
      </c>
    </row>
    <row r="163" spans="1:47" x14ac:dyDescent="0.2">
      <c r="A163" s="114" t="s">
        <v>70</v>
      </c>
      <c r="B163" s="8"/>
      <c r="C163" s="112">
        <v>20800</v>
      </c>
      <c r="D163" s="112">
        <v>24590</v>
      </c>
      <c r="E163" s="112">
        <v>24360</v>
      </c>
      <c r="F163" s="112">
        <v>23820</v>
      </c>
      <c r="G163" s="112">
        <v>24560</v>
      </c>
      <c r="H163" s="112">
        <v>24320</v>
      </c>
      <c r="I163" s="112">
        <v>24650</v>
      </c>
      <c r="J163" s="112">
        <v>24940</v>
      </c>
      <c r="K163" s="112">
        <v>25980</v>
      </c>
      <c r="L163" s="112">
        <v>26640</v>
      </c>
      <c r="M163" s="112">
        <v>27550</v>
      </c>
      <c r="N163" s="112">
        <v>28140</v>
      </c>
      <c r="O163" s="112">
        <v>28730</v>
      </c>
      <c r="P163" s="112">
        <v>30020</v>
      </c>
      <c r="Q163" s="112">
        <v>30510</v>
      </c>
      <c r="R163" s="112">
        <v>32020</v>
      </c>
      <c r="S163" s="112">
        <v>32660</v>
      </c>
      <c r="T163" s="112">
        <v>32920</v>
      </c>
      <c r="U163" s="112">
        <v>32090</v>
      </c>
      <c r="V163" s="112">
        <v>31110</v>
      </c>
      <c r="W163" s="112">
        <v>30810</v>
      </c>
      <c r="X163" s="112">
        <v>31110</v>
      </c>
      <c r="Y163" s="112">
        <v>31460</v>
      </c>
      <c r="Z163" s="112">
        <v>32010</v>
      </c>
      <c r="AA163" s="112">
        <v>31840</v>
      </c>
      <c r="AB163" s="112">
        <v>32820</v>
      </c>
      <c r="AC163" s="112">
        <v>32430</v>
      </c>
      <c r="AD163" s="112">
        <v>31220</v>
      </c>
      <c r="AE163" s="112">
        <v>30260</v>
      </c>
      <c r="AF163" s="112">
        <v>29360</v>
      </c>
      <c r="AG163" s="112">
        <v>28230</v>
      </c>
      <c r="AH163" s="112">
        <v>28400</v>
      </c>
      <c r="AI163" s="112">
        <v>28060</v>
      </c>
      <c r="AJ163" s="112">
        <v>29120</v>
      </c>
      <c r="AK163" s="112">
        <v>29410</v>
      </c>
      <c r="AL163" s="112">
        <v>29860</v>
      </c>
      <c r="AM163" s="112">
        <v>30470</v>
      </c>
      <c r="AN163" s="112">
        <v>31150</v>
      </c>
      <c r="AO163" s="112">
        <v>31100</v>
      </c>
      <c r="AP163" s="112">
        <v>31120</v>
      </c>
      <c r="AQ163" s="112">
        <v>30960</v>
      </c>
      <c r="AR163" s="112">
        <v>30320</v>
      </c>
      <c r="AS163" s="112">
        <v>31510</v>
      </c>
      <c r="AT163" s="112">
        <v>32390</v>
      </c>
      <c r="AU163" s="112">
        <v>33690</v>
      </c>
    </row>
    <row r="164" spans="1:47" x14ac:dyDescent="0.2">
      <c r="A164" s="114" t="s">
        <v>71</v>
      </c>
      <c r="B164" s="8"/>
      <c r="C164" s="112">
        <v>19700</v>
      </c>
      <c r="D164" s="112">
        <v>20730</v>
      </c>
      <c r="E164" s="112">
        <v>24500</v>
      </c>
      <c r="F164" s="112">
        <v>24200</v>
      </c>
      <c r="G164" s="112">
        <v>23740</v>
      </c>
      <c r="H164" s="112">
        <v>24470</v>
      </c>
      <c r="I164" s="112">
        <v>24230</v>
      </c>
      <c r="J164" s="112">
        <v>24560</v>
      </c>
      <c r="K164" s="112">
        <v>24860</v>
      </c>
      <c r="L164" s="112">
        <v>25900</v>
      </c>
      <c r="M164" s="112">
        <v>26550</v>
      </c>
      <c r="N164" s="112">
        <v>27460</v>
      </c>
      <c r="O164" s="112">
        <v>28050</v>
      </c>
      <c r="P164" s="112">
        <v>28640</v>
      </c>
      <c r="Q164" s="112">
        <v>29920</v>
      </c>
      <c r="R164" s="112">
        <v>30420</v>
      </c>
      <c r="S164" s="112">
        <v>31930</v>
      </c>
      <c r="T164" s="112">
        <v>32570</v>
      </c>
      <c r="U164" s="112">
        <v>32830</v>
      </c>
      <c r="V164" s="112">
        <v>32000</v>
      </c>
      <c r="W164" s="112">
        <v>31030</v>
      </c>
      <c r="X164" s="112">
        <v>30730</v>
      </c>
      <c r="Y164" s="112">
        <v>31030</v>
      </c>
      <c r="Z164" s="112">
        <v>31380</v>
      </c>
      <c r="AA164" s="112">
        <v>31930</v>
      </c>
      <c r="AB164" s="112">
        <v>31760</v>
      </c>
      <c r="AC164" s="112">
        <v>32740</v>
      </c>
      <c r="AD164" s="112">
        <v>32350</v>
      </c>
      <c r="AE164" s="112">
        <v>31150</v>
      </c>
      <c r="AF164" s="112">
        <v>30190</v>
      </c>
      <c r="AG164" s="112">
        <v>29290</v>
      </c>
      <c r="AH164" s="112">
        <v>28170</v>
      </c>
      <c r="AI164" s="112">
        <v>28340</v>
      </c>
      <c r="AJ164" s="112">
        <v>28000</v>
      </c>
      <c r="AK164" s="112">
        <v>29060</v>
      </c>
      <c r="AL164" s="112">
        <v>29350</v>
      </c>
      <c r="AM164" s="112">
        <v>29800</v>
      </c>
      <c r="AN164" s="112">
        <v>30410</v>
      </c>
      <c r="AO164" s="112">
        <v>31090</v>
      </c>
      <c r="AP164" s="112">
        <v>31040</v>
      </c>
      <c r="AQ164" s="112">
        <v>31060</v>
      </c>
      <c r="AR164" s="112">
        <v>30900</v>
      </c>
      <c r="AS164" s="112">
        <v>30270</v>
      </c>
      <c r="AT164" s="112">
        <v>31450</v>
      </c>
      <c r="AU164" s="112">
        <v>32330</v>
      </c>
    </row>
    <row r="165" spans="1:47" x14ac:dyDescent="0.2">
      <c r="A165" s="114" t="s">
        <v>72</v>
      </c>
      <c r="B165" s="8"/>
      <c r="C165" s="112">
        <v>18680</v>
      </c>
      <c r="D165" s="112">
        <v>19610</v>
      </c>
      <c r="E165" s="112">
        <v>20650</v>
      </c>
      <c r="F165" s="112">
        <v>24360</v>
      </c>
      <c r="G165" s="112">
        <v>24100</v>
      </c>
      <c r="H165" s="112">
        <v>23640</v>
      </c>
      <c r="I165" s="112">
        <v>24370</v>
      </c>
      <c r="J165" s="112">
        <v>24140</v>
      </c>
      <c r="K165" s="112">
        <v>24470</v>
      </c>
      <c r="L165" s="112">
        <v>24770</v>
      </c>
      <c r="M165" s="112">
        <v>25800</v>
      </c>
      <c r="N165" s="112">
        <v>26460</v>
      </c>
      <c r="O165" s="112">
        <v>27360</v>
      </c>
      <c r="P165" s="112">
        <v>27950</v>
      </c>
      <c r="Q165" s="112">
        <v>28540</v>
      </c>
      <c r="R165" s="112">
        <v>29820</v>
      </c>
      <c r="S165" s="112">
        <v>30320</v>
      </c>
      <c r="T165" s="112">
        <v>31820</v>
      </c>
      <c r="U165" s="112">
        <v>32460</v>
      </c>
      <c r="V165" s="112">
        <v>32720</v>
      </c>
      <c r="W165" s="112">
        <v>31900</v>
      </c>
      <c r="X165" s="112">
        <v>30930</v>
      </c>
      <c r="Y165" s="112">
        <v>30640</v>
      </c>
      <c r="Z165" s="112">
        <v>30940</v>
      </c>
      <c r="AA165" s="112">
        <v>31290</v>
      </c>
      <c r="AB165" s="112">
        <v>31840</v>
      </c>
      <c r="AC165" s="112">
        <v>31670</v>
      </c>
      <c r="AD165" s="112">
        <v>32650</v>
      </c>
      <c r="AE165" s="112">
        <v>32270</v>
      </c>
      <c r="AF165" s="112">
        <v>31070</v>
      </c>
      <c r="AG165" s="112">
        <v>30120</v>
      </c>
      <c r="AH165" s="112">
        <v>29220</v>
      </c>
      <c r="AI165" s="112">
        <v>28110</v>
      </c>
      <c r="AJ165" s="112">
        <v>28270</v>
      </c>
      <c r="AK165" s="112">
        <v>27940</v>
      </c>
      <c r="AL165" s="112">
        <v>29000</v>
      </c>
      <c r="AM165" s="112">
        <v>29280</v>
      </c>
      <c r="AN165" s="112">
        <v>29730</v>
      </c>
      <c r="AO165" s="112">
        <v>30340</v>
      </c>
      <c r="AP165" s="112">
        <v>31010</v>
      </c>
      <c r="AQ165" s="112">
        <v>30970</v>
      </c>
      <c r="AR165" s="112">
        <v>30990</v>
      </c>
      <c r="AS165" s="112">
        <v>30830</v>
      </c>
      <c r="AT165" s="112">
        <v>30200</v>
      </c>
      <c r="AU165" s="112">
        <v>31380</v>
      </c>
    </row>
    <row r="166" spans="1:47" x14ac:dyDescent="0.2">
      <c r="A166" s="114" t="s">
        <v>73</v>
      </c>
      <c r="B166" s="8"/>
      <c r="C166" s="112">
        <v>16840</v>
      </c>
      <c r="D166" s="112">
        <v>18590</v>
      </c>
      <c r="E166" s="112">
        <v>19510</v>
      </c>
      <c r="F166" s="112">
        <v>20550</v>
      </c>
      <c r="G166" s="112">
        <v>24250</v>
      </c>
      <c r="H166" s="112">
        <v>23990</v>
      </c>
      <c r="I166" s="112">
        <v>23540</v>
      </c>
      <c r="J166" s="112">
        <v>24270</v>
      </c>
      <c r="K166" s="112">
        <v>24040</v>
      </c>
      <c r="L166" s="112">
        <v>24370</v>
      </c>
      <c r="M166" s="112">
        <v>24670</v>
      </c>
      <c r="N166" s="112">
        <v>25700</v>
      </c>
      <c r="O166" s="112">
        <v>26350</v>
      </c>
      <c r="P166" s="112">
        <v>27260</v>
      </c>
      <c r="Q166" s="112">
        <v>27840</v>
      </c>
      <c r="R166" s="112">
        <v>28430</v>
      </c>
      <c r="S166" s="112">
        <v>29710</v>
      </c>
      <c r="T166" s="112">
        <v>30210</v>
      </c>
      <c r="U166" s="112">
        <v>31700</v>
      </c>
      <c r="V166" s="112">
        <v>32340</v>
      </c>
      <c r="W166" s="112">
        <v>32610</v>
      </c>
      <c r="X166" s="112">
        <v>31790</v>
      </c>
      <c r="Y166" s="112">
        <v>30830</v>
      </c>
      <c r="Z166" s="112">
        <v>30540</v>
      </c>
      <c r="AA166" s="112">
        <v>30840</v>
      </c>
      <c r="AB166" s="112">
        <v>31190</v>
      </c>
      <c r="AC166" s="112">
        <v>31740</v>
      </c>
      <c r="AD166" s="112">
        <v>31570</v>
      </c>
      <c r="AE166" s="112">
        <v>32550</v>
      </c>
      <c r="AF166" s="112">
        <v>32170</v>
      </c>
      <c r="AG166" s="112">
        <v>30980</v>
      </c>
      <c r="AH166" s="112">
        <v>30030</v>
      </c>
      <c r="AI166" s="112">
        <v>29140</v>
      </c>
      <c r="AJ166" s="112">
        <v>28030</v>
      </c>
      <c r="AK166" s="112">
        <v>28190</v>
      </c>
      <c r="AL166" s="112">
        <v>27860</v>
      </c>
      <c r="AM166" s="112">
        <v>28920</v>
      </c>
      <c r="AN166" s="112">
        <v>29200</v>
      </c>
      <c r="AO166" s="112">
        <v>29660</v>
      </c>
      <c r="AP166" s="112">
        <v>30260</v>
      </c>
      <c r="AQ166" s="112">
        <v>30930</v>
      </c>
      <c r="AR166" s="112">
        <v>30890</v>
      </c>
      <c r="AS166" s="112">
        <v>30910</v>
      </c>
      <c r="AT166" s="112">
        <v>30750</v>
      </c>
      <c r="AU166" s="112">
        <v>30120</v>
      </c>
    </row>
    <row r="167" spans="1:47" x14ac:dyDescent="0.2">
      <c r="A167" s="114" t="s">
        <v>74</v>
      </c>
      <c r="B167" s="8"/>
      <c r="C167" s="112">
        <v>18730</v>
      </c>
      <c r="D167" s="112">
        <v>16770</v>
      </c>
      <c r="E167" s="112">
        <v>18510</v>
      </c>
      <c r="F167" s="112">
        <v>19430</v>
      </c>
      <c r="G167" s="112">
        <v>20440</v>
      </c>
      <c r="H167" s="112">
        <v>24120</v>
      </c>
      <c r="I167" s="112">
        <v>23880</v>
      </c>
      <c r="J167" s="112">
        <v>23430</v>
      </c>
      <c r="K167" s="112">
        <v>24160</v>
      </c>
      <c r="L167" s="112">
        <v>23930</v>
      </c>
      <c r="M167" s="112">
        <v>24260</v>
      </c>
      <c r="N167" s="112">
        <v>24560</v>
      </c>
      <c r="O167" s="112">
        <v>25590</v>
      </c>
      <c r="P167" s="112">
        <v>26240</v>
      </c>
      <c r="Q167" s="112">
        <v>27140</v>
      </c>
      <c r="R167" s="112">
        <v>27730</v>
      </c>
      <c r="S167" s="112">
        <v>28320</v>
      </c>
      <c r="T167" s="112">
        <v>29590</v>
      </c>
      <c r="U167" s="112">
        <v>30080</v>
      </c>
      <c r="V167" s="112">
        <v>31580</v>
      </c>
      <c r="W167" s="112">
        <v>32210</v>
      </c>
      <c r="X167" s="112">
        <v>32480</v>
      </c>
      <c r="Y167" s="112">
        <v>31660</v>
      </c>
      <c r="Z167" s="112">
        <v>30710</v>
      </c>
      <c r="AA167" s="112">
        <v>30420</v>
      </c>
      <c r="AB167" s="112">
        <v>30730</v>
      </c>
      <c r="AC167" s="112">
        <v>31080</v>
      </c>
      <c r="AD167" s="112">
        <v>31620</v>
      </c>
      <c r="AE167" s="112">
        <v>31460</v>
      </c>
      <c r="AF167" s="112">
        <v>32440</v>
      </c>
      <c r="AG167" s="112">
        <v>32060</v>
      </c>
      <c r="AH167" s="112">
        <v>30870</v>
      </c>
      <c r="AI167" s="112">
        <v>29940</v>
      </c>
      <c r="AJ167" s="112">
        <v>29050</v>
      </c>
      <c r="AK167" s="112">
        <v>27950</v>
      </c>
      <c r="AL167" s="112">
        <v>28110</v>
      </c>
      <c r="AM167" s="112">
        <v>27780</v>
      </c>
      <c r="AN167" s="112">
        <v>28830</v>
      </c>
      <c r="AO167" s="112">
        <v>29120</v>
      </c>
      <c r="AP167" s="112">
        <v>29570</v>
      </c>
      <c r="AQ167" s="112">
        <v>30170</v>
      </c>
      <c r="AR167" s="112">
        <v>30840</v>
      </c>
      <c r="AS167" s="112">
        <v>30790</v>
      </c>
      <c r="AT167" s="112">
        <v>30820</v>
      </c>
      <c r="AU167" s="112">
        <v>30660</v>
      </c>
    </row>
    <row r="168" spans="1:47" x14ac:dyDescent="0.2">
      <c r="A168" s="114" t="s">
        <v>75</v>
      </c>
      <c r="B168" s="8"/>
      <c r="C168" s="112">
        <v>18400</v>
      </c>
      <c r="D168" s="112">
        <v>18650</v>
      </c>
      <c r="E168" s="112">
        <v>16680</v>
      </c>
      <c r="F168" s="112">
        <v>18400</v>
      </c>
      <c r="G168" s="112">
        <v>19320</v>
      </c>
      <c r="H168" s="112">
        <v>20330</v>
      </c>
      <c r="I168" s="112">
        <v>23990</v>
      </c>
      <c r="J168" s="112">
        <v>23740</v>
      </c>
      <c r="K168" s="112">
        <v>23300</v>
      </c>
      <c r="L168" s="112">
        <v>24030</v>
      </c>
      <c r="M168" s="112">
        <v>23810</v>
      </c>
      <c r="N168" s="112">
        <v>24140</v>
      </c>
      <c r="O168" s="112">
        <v>24440</v>
      </c>
      <c r="P168" s="112">
        <v>25460</v>
      </c>
      <c r="Q168" s="112">
        <v>26110</v>
      </c>
      <c r="R168" s="112">
        <v>27010</v>
      </c>
      <c r="S168" s="112">
        <v>27600</v>
      </c>
      <c r="T168" s="112">
        <v>28180</v>
      </c>
      <c r="U168" s="112">
        <v>29450</v>
      </c>
      <c r="V168" s="112">
        <v>29950</v>
      </c>
      <c r="W168" s="112">
        <v>31430</v>
      </c>
      <c r="X168" s="112">
        <v>32070</v>
      </c>
      <c r="Y168" s="112">
        <v>32330</v>
      </c>
      <c r="Z168" s="112">
        <v>31530</v>
      </c>
      <c r="AA168" s="112">
        <v>30580</v>
      </c>
      <c r="AB168" s="112">
        <v>30300</v>
      </c>
      <c r="AC168" s="112">
        <v>30600</v>
      </c>
      <c r="AD168" s="112">
        <v>30960</v>
      </c>
      <c r="AE168" s="112">
        <v>31500</v>
      </c>
      <c r="AF168" s="112">
        <v>31340</v>
      </c>
      <c r="AG168" s="112">
        <v>32310</v>
      </c>
      <c r="AH168" s="112">
        <v>31940</v>
      </c>
      <c r="AI168" s="112">
        <v>30760</v>
      </c>
      <c r="AJ168" s="112">
        <v>29830</v>
      </c>
      <c r="AK168" s="112">
        <v>28950</v>
      </c>
      <c r="AL168" s="112">
        <v>27850</v>
      </c>
      <c r="AM168" s="112">
        <v>28010</v>
      </c>
      <c r="AN168" s="112">
        <v>27690</v>
      </c>
      <c r="AO168" s="112">
        <v>28740</v>
      </c>
      <c r="AP168" s="112">
        <v>29020</v>
      </c>
      <c r="AQ168" s="112">
        <v>29470</v>
      </c>
      <c r="AR168" s="112">
        <v>30070</v>
      </c>
      <c r="AS168" s="112">
        <v>30740</v>
      </c>
      <c r="AT168" s="112">
        <v>30690</v>
      </c>
      <c r="AU168" s="112">
        <v>30720</v>
      </c>
    </row>
    <row r="169" spans="1:47" x14ac:dyDescent="0.2">
      <c r="A169" s="114" t="s">
        <v>76</v>
      </c>
      <c r="B169" s="8"/>
      <c r="C169" s="112">
        <v>16900</v>
      </c>
      <c r="D169" s="112">
        <v>18280</v>
      </c>
      <c r="E169" s="112">
        <v>18510</v>
      </c>
      <c r="F169" s="112">
        <v>16560</v>
      </c>
      <c r="G169" s="112">
        <v>18280</v>
      </c>
      <c r="H169" s="112">
        <v>19200</v>
      </c>
      <c r="I169" s="112">
        <v>20200</v>
      </c>
      <c r="J169" s="112">
        <v>23830</v>
      </c>
      <c r="K169" s="112">
        <v>23600</v>
      </c>
      <c r="L169" s="112">
        <v>23160</v>
      </c>
      <c r="M169" s="112">
        <v>23880</v>
      </c>
      <c r="N169" s="112">
        <v>23670</v>
      </c>
      <c r="O169" s="112">
        <v>24000</v>
      </c>
      <c r="P169" s="112">
        <v>24300</v>
      </c>
      <c r="Q169" s="112">
        <v>25320</v>
      </c>
      <c r="R169" s="112">
        <v>25970</v>
      </c>
      <c r="S169" s="112">
        <v>26860</v>
      </c>
      <c r="T169" s="112">
        <v>27450</v>
      </c>
      <c r="U169" s="112">
        <v>28030</v>
      </c>
      <c r="V169" s="112">
        <v>29300</v>
      </c>
      <c r="W169" s="112">
        <v>29790</v>
      </c>
      <c r="X169" s="112">
        <v>31270</v>
      </c>
      <c r="Y169" s="112">
        <v>31900</v>
      </c>
      <c r="Z169" s="112">
        <v>32170</v>
      </c>
      <c r="AA169" s="112">
        <v>31370</v>
      </c>
      <c r="AB169" s="112">
        <v>30440</v>
      </c>
      <c r="AC169" s="112">
        <v>30150</v>
      </c>
      <c r="AD169" s="112">
        <v>30460</v>
      </c>
      <c r="AE169" s="112">
        <v>30810</v>
      </c>
      <c r="AF169" s="112">
        <v>31350</v>
      </c>
      <c r="AG169" s="112">
        <v>31200</v>
      </c>
      <c r="AH169" s="112">
        <v>32160</v>
      </c>
      <c r="AI169" s="112">
        <v>31790</v>
      </c>
      <c r="AJ169" s="112">
        <v>30630</v>
      </c>
      <c r="AK169" s="112">
        <v>29700</v>
      </c>
      <c r="AL169" s="112">
        <v>28830</v>
      </c>
      <c r="AM169" s="112">
        <v>27740</v>
      </c>
      <c r="AN169" s="112">
        <v>27900</v>
      </c>
      <c r="AO169" s="112">
        <v>27580</v>
      </c>
      <c r="AP169" s="112">
        <v>28620</v>
      </c>
      <c r="AQ169" s="112">
        <v>28900</v>
      </c>
      <c r="AR169" s="112">
        <v>29350</v>
      </c>
      <c r="AS169" s="112">
        <v>29950</v>
      </c>
      <c r="AT169" s="112">
        <v>30620</v>
      </c>
      <c r="AU169" s="112">
        <v>30570</v>
      </c>
    </row>
    <row r="170" spans="1:47" x14ac:dyDescent="0.2">
      <c r="A170" s="114" t="s">
        <v>77</v>
      </c>
      <c r="B170" s="8"/>
      <c r="C170" s="112">
        <v>15620</v>
      </c>
      <c r="D170" s="112">
        <v>16770</v>
      </c>
      <c r="E170" s="112">
        <v>18120</v>
      </c>
      <c r="F170" s="112">
        <v>18350</v>
      </c>
      <c r="G170" s="112">
        <v>16440</v>
      </c>
      <c r="H170" s="112">
        <v>18150</v>
      </c>
      <c r="I170" s="112">
        <v>19060</v>
      </c>
      <c r="J170" s="112">
        <v>20060</v>
      </c>
      <c r="K170" s="112">
        <v>23660</v>
      </c>
      <c r="L170" s="112">
        <v>23430</v>
      </c>
      <c r="M170" s="112">
        <v>23000</v>
      </c>
      <c r="N170" s="112">
        <v>23720</v>
      </c>
      <c r="O170" s="112">
        <v>23510</v>
      </c>
      <c r="P170" s="112">
        <v>23850</v>
      </c>
      <c r="Q170" s="112">
        <v>24150</v>
      </c>
      <c r="R170" s="112">
        <v>25160</v>
      </c>
      <c r="S170" s="112">
        <v>25810</v>
      </c>
      <c r="T170" s="112">
        <v>26700</v>
      </c>
      <c r="U170" s="112">
        <v>27280</v>
      </c>
      <c r="V170" s="112">
        <v>27870</v>
      </c>
      <c r="W170" s="112">
        <v>29120</v>
      </c>
      <c r="X170" s="112">
        <v>29620</v>
      </c>
      <c r="Y170" s="112">
        <v>31090</v>
      </c>
      <c r="Z170" s="112">
        <v>31720</v>
      </c>
      <c r="AA170" s="112">
        <v>31990</v>
      </c>
      <c r="AB170" s="112">
        <v>31200</v>
      </c>
      <c r="AC170" s="112">
        <v>30270</v>
      </c>
      <c r="AD170" s="112">
        <v>29990</v>
      </c>
      <c r="AE170" s="112">
        <v>30300</v>
      </c>
      <c r="AF170" s="112">
        <v>30650</v>
      </c>
      <c r="AG170" s="112">
        <v>31190</v>
      </c>
      <c r="AH170" s="112">
        <v>31030</v>
      </c>
      <c r="AI170" s="112">
        <v>32000</v>
      </c>
      <c r="AJ170" s="112">
        <v>31630</v>
      </c>
      <c r="AK170" s="112">
        <v>30470</v>
      </c>
      <c r="AL170" s="112">
        <v>29550</v>
      </c>
      <c r="AM170" s="112">
        <v>28690</v>
      </c>
      <c r="AN170" s="112">
        <v>27610</v>
      </c>
      <c r="AO170" s="112">
        <v>27770</v>
      </c>
      <c r="AP170" s="112">
        <v>27450</v>
      </c>
      <c r="AQ170" s="112">
        <v>28490</v>
      </c>
      <c r="AR170" s="112">
        <v>28770</v>
      </c>
      <c r="AS170" s="112">
        <v>29220</v>
      </c>
      <c r="AT170" s="112">
        <v>29810</v>
      </c>
      <c r="AU170" s="112">
        <v>30480</v>
      </c>
    </row>
    <row r="171" spans="1:47" x14ac:dyDescent="0.2">
      <c r="A171" s="114" t="s">
        <v>78</v>
      </c>
      <c r="B171" s="8"/>
      <c r="C171" s="112">
        <v>14760</v>
      </c>
      <c r="D171" s="112">
        <v>15450</v>
      </c>
      <c r="E171" s="112">
        <v>16630</v>
      </c>
      <c r="F171" s="112">
        <v>17970</v>
      </c>
      <c r="G171" s="112">
        <v>18190</v>
      </c>
      <c r="H171" s="112">
        <v>16310</v>
      </c>
      <c r="I171" s="112">
        <v>18000</v>
      </c>
      <c r="J171" s="112">
        <v>18900</v>
      </c>
      <c r="K171" s="112">
        <v>19900</v>
      </c>
      <c r="L171" s="112">
        <v>23470</v>
      </c>
      <c r="M171" s="112">
        <v>23250</v>
      </c>
      <c r="N171" s="112">
        <v>22830</v>
      </c>
      <c r="O171" s="112">
        <v>23540</v>
      </c>
      <c r="P171" s="112">
        <v>23340</v>
      </c>
      <c r="Q171" s="112">
        <v>23670</v>
      </c>
      <c r="R171" s="112">
        <v>23980</v>
      </c>
      <c r="S171" s="112">
        <v>24980</v>
      </c>
      <c r="T171" s="112">
        <v>25630</v>
      </c>
      <c r="U171" s="112">
        <v>26510</v>
      </c>
      <c r="V171" s="112">
        <v>27100</v>
      </c>
      <c r="W171" s="112">
        <v>27680</v>
      </c>
      <c r="X171" s="112">
        <v>28930</v>
      </c>
      <c r="Y171" s="112">
        <v>29420</v>
      </c>
      <c r="Z171" s="112">
        <v>30890</v>
      </c>
      <c r="AA171" s="112">
        <v>31520</v>
      </c>
      <c r="AB171" s="112">
        <v>31780</v>
      </c>
      <c r="AC171" s="112">
        <v>31000</v>
      </c>
      <c r="AD171" s="112">
        <v>30090</v>
      </c>
      <c r="AE171" s="112">
        <v>29810</v>
      </c>
      <c r="AF171" s="112">
        <v>30120</v>
      </c>
      <c r="AG171" s="112">
        <v>30470</v>
      </c>
      <c r="AH171" s="112">
        <v>31010</v>
      </c>
      <c r="AI171" s="112">
        <v>30850</v>
      </c>
      <c r="AJ171" s="112">
        <v>31810</v>
      </c>
      <c r="AK171" s="112">
        <v>31450</v>
      </c>
      <c r="AL171" s="112">
        <v>30300</v>
      </c>
      <c r="AM171" s="112">
        <v>29390</v>
      </c>
      <c r="AN171" s="112">
        <v>28530</v>
      </c>
      <c r="AO171" s="112">
        <v>27460</v>
      </c>
      <c r="AP171" s="112">
        <v>27620</v>
      </c>
      <c r="AQ171" s="112">
        <v>27310</v>
      </c>
      <c r="AR171" s="112">
        <v>28340</v>
      </c>
      <c r="AS171" s="112">
        <v>28620</v>
      </c>
      <c r="AT171" s="112">
        <v>29070</v>
      </c>
      <c r="AU171" s="112">
        <v>29650</v>
      </c>
    </row>
    <row r="172" spans="1:47" x14ac:dyDescent="0.2">
      <c r="A172" s="114" t="s">
        <v>79</v>
      </c>
      <c r="B172" s="8"/>
      <c r="C172" s="112">
        <v>14230</v>
      </c>
      <c r="D172" s="112">
        <v>14620</v>
      </c>
      <c r="E172" s="112">
        <v>15290</v>
      </c>
      <c r="F172" s="112">
        <v>16450</v>
      </c>
      <c r="G172" s="112">
        <v>17790</v>
      </c>
      <c r="H172" s="112">
        <v>18020</v>
      </c>
      <c r="I172" s="112">
        <v>16160</v>
      </c>
      <c r="J172" s="112">
        <v>17840</v>
      </c>
      <c r="K172" s="112">
        <v>18730</v>
      </c>
      <c r="L172" s="112">
        <v>19720</v>
      </c>
      <c r="M172" s="112">
        <v>23260</v>
      </c>
      <c r="N172" s="112">
        <v>23040</v>
      </c>
      <c r="O172" s="112">
        <v>22630</v>
      </c>
      <c r="P172" s="112">
        <v>23350</v>
      </c>
      <c r="Q172" s="112">
        <v>23150</v>
      </c>
      <c r="R172" s="112">
        <v>23480</v>
      </c>
      <c r="S172" s="112">
        <v>23780</v>
      </c>
      <c r="T172" s="112">
        <v>24790</v>
      </c>
      <c r="U172" s="112">
        <v>25430</v>
      </c>
      <c r="V172" s="112">
        <v>26310</v>
      </c>
      <c r="W172" s="112">
        <v>26890</v>
      </c>
      <c r="X172" s="112">
        <v>27470</v>
      </c>
      <c r="Y172" s="112">
        <v>28720</v>
      </c>
      <c r="Z172" s="112">
        <v>29210</v>
      </c>
      <c r="AA172" s="112">
        <v>30660</v>
      </c>
      <c r="AB172" s="112">
        <v>31290</v>
      </c>
      <c r="AC172" s="112">
        <v>31560</v>
      </c>
      <c r="AD172" s="112">
        <v>30790</v>
      </c>
      <c r="AE172" s="112">
        <v>29880</v>
      </c>
      <c r="AF172" s="112">
        <v>29610</v>
      </c>
      <c r="AG172" s="112">
        <v>29910</v>
      </c>
      <c r="AH172" s="112">
        <v>30270</v>
      </c>
      <c r="AI172" s="112">
        <v>30800</v>
      </c>
      <c r="AJ172" s="112">
        <v>30650</v>
      </c>
      <c r="AK172" s="112">
        <v>31610</v>
      </c>
      <c r="AL172" s="112">
        <v>31250</v>
      </c>
      <c r="AM172" s="112">
        <v>30110</v>
      </c>
      <c r="AN172" s="112">
        <v>29210</v>
      </c>
      <c r="AO172" s="112">
        <v>28360</v>
      </c>
      <c r="AP172" s="112">
        <v>27290</v>
      </c>
      <c r="AQ172" s="112">
        <v>27460</v>
      </c>
      <c r="AR172" s="112">
        <v>27140</v>
      </c>
      <c r="AS172" s="112">
        <v>28170</v>
      </c>
      <c r="AT172" s="112">
        <v>28450</v>
      </c>
      <c r="AU172" s="112">
        <v>28890</v>
      </c>
    </row>
    <row r="173" spans="1:47" x14ac:dyDescent="0.2">
      <c r="A173" s="114" t="s">
        <v>80</v>
      </c>
      <c r="B173" s="8"/>
      <c r="C173" s="112">
        <v>13460</v>
      </c>
      <c r="D173" s="112">
        <v>14050</v>
      </c>
      <c r="E173" s="112">
        <v>14450</v>
      </c>
      <c r="F173" s="112">
        <v>15150</v>
      </c>
      <c r="G173" s="112">
        <v>16270</v>
      </c>
      <c r="H173" s="112">
        <v>17600</v>
      </c>
      <c r="I173" s="112">
        <v>17830</v>
      </c>
      <c r="J173" s="112">
        <v>15990</v>
      </c>
      <c r="K173" s="112">
        <v>17660</v>
      </c>
      <c r="L173" s="112">
        <v>18550</v>
      </c>
      <c r="M173" s="112">
        <v>19530</v>
      </c>
      <c r="N173" s="112">
        <v>23030</v>
      </c>
      <c r="O173" s="112">
        <v>22820</v>
      </c>
      <c r="P173" s="112">
        <v>22420</v>
      </c>
      <c r="Q173" s="112">
        <v>23130</v>
      </c>
      <c r="R173" s="112">
        <v>22930</v>
      </c>
      <c r="S173" s="112">
        <v>23270</v>
      </c>
      <c r="T173" s="112">
        <v>23570</v>
      </c>
      <c r="U173" s="112">
        <v>24570</v>
      </c>
      <c r="V173" s="112">
        <v>25210</v>
      </c>
      <c r="W173" s="112">
        <v>26080</v>
      </c>
      <c r="X173" s="112">
        <v>26660</v>
      </c>
      <c r="Y173" s="112">
        <v>27240</v>
      </c>
      <c r="Z173" s="112">
        <v>28480</v>
      </c>
      <c r="AA173" s="112">
        <v>28970</v>
      </c>
      <c r="AB173" s="112">
        <v>30410</v>
      </c>
      <c r="AC173" s="112">
        <v>31040</v>
      </c>
      <c r="AD173" s="112">
        <v>31310</v>
      </c>
      <c r="AE173" s="112">
        <v>30550</v>
      </c>
      <c r="AF173" s="112">
        <v>29650</v>
      </c>
      <c r="AG173" s="112">
        <v>29390</v>
      </c>
      <c r="AH173" s="112">
        <v>29690</v>
      </c>
      <c r="AI173" s="112">
        <v>30040</v>
      </c>
      <c r="AJ173" s="112">
        <v>30580</v>
      </c>
      <c r="AK173" s="112">
        <v>30430</v>
      </c>
      <c r="AL173" s="112">
        <v>31380</v>
      </c>
      <c r="AM173" s="112">
        <v>31030</v>
      </c>
      <c r="AN173" s="112">
        <v>29900</v>
      </c>
      <c r="AO173" s="112">
        <v>29000</v>
      </c>
      <c r="AP173" s="112">
        <v>28160</v>
      </c>
      <c r="AQ173" s="112">
        <v>27100</v>
      </c>
      <c r="AR173" s="112">
        <v>27270</v>
      </c>
      <c r="AS173" s="112">
        <v>26960</v>
      </c>
      <c r="AT173" s="112">
        <v>27980</v>
      </c>
      <c r="AU173" s="112">
        <v>28260</v>
      </c>
    </row>
    <row r="174" spans="1:47" x14ac:dyDescent="0.2">
      <c r="A174" s="114" t="s">
        <v>81</v>
      </c>
      <c r="B174" s="8"/>
      <c r="C174" s="112">
        <v>12650</v>
      </c>
      <c r="D174" s="112">
        <v>13270</v>
      </c>
      <c r="E174" s="112">
        <v>13870</v>
      </c>
      <c r="F174" s="112">
        <v>14260</v>
      </c>
      <c r="G174" s="112">
        <v>14960</v>
      </c>
      <c r="H174" s="112">
        <v>16070</v>
      </c>
      <c r="I174" s="112">
        <v>17390</v>
      </c>
      <c r="J174" s="112">
        <v>17620</v>
      </c>
      <c r="K174" s="112">
        <v>15810</v>
      </c>
      <c r="L174" s="112">
        <v>17450</v>
      </c>
      <c r="M174" s="112">
        <v>18340</v>
      </c>
      <c r="N174" s="112">
        <v>19310</v>
      </c>
      <c r="O174" s="112">
        <v>22780</v>
      </c>
      <c r="P174" s="112">
        <v>22570</v>
      </c>
      <c r="Q174" s="112">
        <v>22180</v>
      </c>
      <c r="R174" s="112">
        <v>22890</v>
      </c>
      <c r="S174" s="112">
        <v>22700</v>
      </c>
      <c r="T174" s="112">
        <v>23040</v>
      </c>
      <c r="U174" s="112">
        <v>23340</v>
      </c>
      <c r="V174" s="112">
        <v>24330</v>
      </c>
      <c r="W174" s="112">
        <v>24960</v>
      </c>
      <c r="X174" s="112">
        <v>25830</v>
      </c>
      <c r="Y174" s="112">
        <v>26410</v>
      </c>
      <c r="Z174" s="112">
        <v>26990</v>
      </c>
      <c r="AA174" s="112">
        <v>28210</v>
      </c>
      <c r="AB174" s="112">
        <v>28700</v>
      </c>
      <c r="AC174" s="112">
        <v>30140</v>
      </c>
      <c r="AD174" s="112">
        <v>30760</v>
      </c>
      <c r="AE174" s="112">
        <v>31030</v>
      </c>
      <c r="AF174" s="112">
        <v>30280</v>
      </c>
      <c r="AG174" s="112">
        <v>29390</v>
      </c>
      <c r="AH174" s="112">
        <v>29130</v>
      </c>
      <c r="AI174" s="112">
        <v>29440</v>
      </c>
      <c r="AJ174" s="112">
        <v>29790</v>
      </c>
      <c r="AK174" s="112">
        <v>30320</v>
      </c>
      <c r="AL174" s="112">
        <v>30180</v>
      </c>
      <c r="AM174" s="112">
        <v>31120</v>
      </c>
      <c r="AN174" s="112">
        <v>30770</v>
      </c>
      <c r="AO174" s="112">
        <v>29660</v>
      </c>
      <c r="AP174" s="112">
        <v>28770</v>
      </c>
      <c r="AQ174" s="112">
        <v>27940</v>
      </c>
      <c r="AR174" s="112">
        <v>26890</v>
      </c>
      <c r="AS174" s="112">
        <v>27060</v>
      </c>
      <c r="AT174" s="112">
        <v>26750</v>
      </c>
      <c r="AU174" s="112">
        <v>27760</v>
      </c>
    </row>
    <row r="175" spans="1:47" x14ac:dyDescent="0.2">
      <c r="A175" s="114" t="s">
        <v>82</v>
      </c>
      <c r="B175" s="8"/>
      <c r="C175" s="112">
        <v>12410</v>
      </c>
      <c r="D175" s="112">
        <v>12470</v>
      </c>
      <c r="E175" s="112">
        <v>13100</v>
      </c>
      <c r="F175" s="112">
        <v>13680</v>
      </c>
      <c r="G175" s="112">
        <v>14060</v>
      </c>
      <c r="H175" s="112">
        <v>14760</v>
      </c>
      <c r="I175" s="112">
        <v>15850</v>
      </c>
      <c r="J175" s="112">
        <v>17150</v>
      </c>
      <c r="K175" s="112">
        <v>17380</v>
      </c>
      <c r="L175" s="112">
        <v>15610</v>
      </c>
      <c r="M175" s="112">
        <v>17230</v>
      </c>
      <c r="N175" s="112">
        <v>18110</v>
      </c>
      <c r="O175" s="112">
        <v>19080</v>
      </c>
      <c r="P175" s="112">
        <v>22500</v>
      </c>
      <c r="Q175" s="112">
        <v>22300</v>
      </c>
      <c r="R175" s="112">
        <v>21920</v>
      </c>
      <c r="S175" s="112">
        <v>22620</v>
      </c>
      <c r="T175" s="112">
        <v>22440</v>
      </c>
      <c r="U175" s="112">
        <v>22780</v>
      </c>
      <c r="V175" s="112">
        <v>23080</v>
      </c>
      <c r="W175" s="112">
        <v>24060</v>
      </c>
      <c r="X175" s="112">
        <v>24690</v>
      </c>
      <c r="Y175" s="112">
        <v>25560</v>
      </c>
      <c r="Z175" s="112">
        <v>26130</v>
      </c>
      <c r="AA175" s="112">
        <v>26710</v>
      </c>
      <c r="AB175" s="112">
        <v>27920</v>
      </c>
      <c r="AC175" s="112">
        <v>28410</v>
      </c>
      <c r="AD175" s="112">
        <v>29830</v>
      </c>
      <c r="AE175" s="112">
        <v>30450</v>
      </c>
      <c r="AF175" s="112">
        <v>30720</v>
      </c>
      <c r="AG175" s="112">
        <v>29980</v>
      </c>
      <c r="AH175" s="112">
        <v>29110</v>
      </c>
      <c r="AI175" s="112">
        <v>28860</v>
      </c>
      <c r="AJ175" s="112">
        <v>29160</v>
      </c>
      <c r="AK175" s="112">
        <v>29510</v>
      </c>
      <c r="AL175" s="112">
        <v>30040</v>
      </c>
      <c r="AM175" s="112">
        <v>29900</v>
      </c>
      <c r="AN175" s="112">
        <v>30830</v>
      </c>
      <c r="AO175" s="112">
        <v>30490</v>
      </c>
      <c r="AP175" s="112">
        <v>29390</v>
      </c>
      <c r="AQ175" s="112">
        <v>28520</v>
      </c>
      <c r="AR175" s="112">
        <v>27690</v>
      </c>
      <c r="AS175" s="112">
        <v>26660</v>
      </c>
      <c r="AT175" s="112">
        <v>26820</v>
      </c>
      <c r="AU175" s="112">
        <v>26520</v>
      </c>
    </row>
    <row r="176" spans="1:47" x14ac:dyDescent="0.2">
      <c r="A176" s="114" t="s">
        <v>83</v>
      </c>
      <c r="B176" s="8"/>
      <c r="C176" s="112">
        <v>12300</v>
      </c>
      <c r="D176" s="112">
        <v>12180</v>
      </c>
      <c r="E176" s="112">
        <v>12250</v>
      </c>
      <c r="F176" s="112">
        <v>12870</v>
      </c>
      <c r="G176" s="112">
        <v>13460</v>
      </c>
      <c r="H176" s="112">
        <v>13840</v>
      </c>
      <c r="I176" s="112">
        <v>14530</v>
      </c>
      <c r="J176" s="112">
        <v>15610</v>
      </c>
      <c r="K176" s="112">
        <v>16900</v>
      </c>
      <c r="L176" s="112">
        <v>17130</v>
      </c>
      <c r="M176" s="112">
        <v>15380</v>
      </c>
      <c r="N176" s="112">
        <v>16990</v>
      </c>
      <c r="O176" s="112">
        <v>17860</v>
      </c>
      <c r="P176" s="112">
        <v>18820</v>
      </c>
      <c r="Q176" s="112">
        <v>22200</v>
      </c>
      <c r="R176" s="112">
        <v>22010</v>
      </c>
      <c r="S176" s="112">
        <v>21630</v>
      </c>
      <c r="T176" s="112">
        <v>22330</v>
      </c>
      <c r="U176" s="112">
        <v>22160</v>
      </c>
      <c r="V176" s="112">
        <v>22490</v>
      </c>
      <c r="W176" s="112">
        <v>22800</v>
      </c>
      <c r="X176" s="112">
        <v>23770</v>
      </c>
      <c r="Y176" s="112">
        <v>24400</v>
      </c>
      <c r="Z176" s="112">
        <v>25260</v>
      </c>
      <c r="AA176" s="112">
        <v>25830</v>
      </c>
      <c r="AB176" s="112">
        <v>26400</v>
      </c>
      <c r="AC176" s="112">
        <v>27600</v>
      </c>
      <c r="AD176" s="112">
        <v>28090</v>
      </c>
      <c r="AE176" s="112">
        <v>29500</v>
      </c>
      <c r="AF176" s="112">
        <v>30110</v>
      </c>
      <c r="AG176" s="112">
        <v>30390</v>
      </c>
      <c r="AH176" s="112">
        <v>29660</v>
      </c>
      <c r="AI176" s="112">
        <v>28800</v>
      </c>
      <c r="AJ176" s="112">
        <v>28550</v>
      </c>
      <c r="AK176" s="112">
        <v>28850</v>
      </c>
      <c r="AL176" s="112">
        <v>29200</v>
      </c>
      <c r="AM176" s="112">
        <v>29730</v>
      </c>
      <c r="AN176" s="112">
        <v>29590</v>
      </c>
      <c r="AO176" s="112">
        <v>30520</v>
      </c>
      <c r="AP176" s="112">
        <v>30180</v>
      </c>
      <c r="AQ176" s="112">
        <v>29090</v>
      </c>
      <c r="AR176" s="112">
        <v>28230</v>
      </c>
      <c r="AS176" s="112">
        <v>27410</v>
      </c>
      <c r="AT176" s="112">
        <v>26390</v>
      </c>
      <c r="AU176" s="112">
        <v>26560</v>
      </c>
    </row>
    <row r="177" spans="1:47" x14ac:dyDescent="0.2">
      <c r="A177" s="114" t="s">
        <v>84</v>
      </c>
      <c r="B177" s="8"/>
      <c r="C177" s="112">
        <v>11960</v>
      </c>
      <c r="D177" s="112">
        <v>12060</v>
      </c>
      <c r="E177" s="112">
        <v>11950</v>
      </c>
      <c r="F177" s="112">
        <v>12030</v>
      </c>
      <c r="G177" s="112">
        <v>12640</v>
      </c>
      <c r="H177" s="112">
        <v>13230</v>
      </c>
      <c r="I177" s="112">
        <v>13610</v>
      </c>
      <c r="J177" s="112">
        <v>14280</v>
      </c>
      <c r="K177" s="112">
        <v>15350</v>
      </c>
      <c r="L177" s="112">
        <v>16620</v>
      </c>
      <c r="M177" s="112">
        <v>16850</v>
      </c>
      <c r="N177" s="112">
        <v>15140</v>
      </c>
      <c r="O177" s="112">
        <v>16730</v>
      </c>
      <c r="P177" s="112">
        <v>17590</v>
      </c>
      <c r="Q177" s="112">
        <v>18530</v>
      </c>
      <c r="R177" s="112">
        <v>21870</v>
      </c>
      <c r="S177" s="112">
        <v>21680</v>
      </c>
      <c r="T177" s="112">
        <v>21320</v>
      </c>
      <c r="U177" s="112">
        <v>22010</v>
      </c>
      <c r="V177" s="112">
        <v>21850</v>
      </c>
      <c r="W177" s="112">
        <v>22180</v>
      </c>
      <c r="X177" s="112">
        <v>22490</v>
      </c>
      <c r="Y177" s="112">
        <v>23450</v>
      </c>
      <c r="Z177" s="112">
        <v>24080</v>
      </c>
      <c r="AA177" s="112">
        <v>24930</v>
      </c>
      <c r="AB177" s="112">
        <v>25490</v>
      </c>
      <c r="AC177" s="112">
        <v>26060</v>
      </c>
      <c r="AD177" s="112">
        <v>27250</v>
      </c>
      <c r="AE177" s="112">
        <v>27740</v>
      </c>
      <c r="AF177" s="112">
        <v>29130</v>
      </c>
      <c r="AG177" s="112">
        <v>29740</v>
      </c>
      <c r="AH177" s="112">
        <v>30020</v>
      </c>
      <c r="AI177" s="112">
        <v>29300</v>
      </c>
      <c r="AJ177" s="112">
        <v>28450</v>
      </c>
      <c r="AK177" s="112">
        <v>28210</v>
      </c>
      <c r="AL177" s="112">
        <v>28510</v>
      </c>
      <c r="AM177" s="112">
        <v>28860</v>
      </c>
      <c r="AN177" s="112">
        <v>29380</v>
      </c>
      <c r="AO177" s="112">
        <v>29250</v>
      </c>
      <c r="AP177" s="112">
        <v>30170</v>
      </c>
      <c r="AQ177" s="112">
        <v>29840</v>
      </c>
      <c r="AR177" s="112">
        <v>28770</v>
      </c>
      <c r="AS177" s="112">
        <v>27910</v>
      </c>
      <c r="AT177" s="112">
        <v>27110</v>
      </c>
      <c r="AU177" s="112">
        <v>26100</v>
      </c>
    </row>
    <row r="178" spans="1:47" x14ac:dyDescent="0.2">
      <c r="A178" s="114" t="s">
        <v>85</v>
      </c>
      <c r="B178" s="8"/>
      <c r="C178" s="112">
        <v>12130</v>
      </c>
      <c r="D178" s="112">
        <v>11690</v>
      </c>
      <c r="E178" s="112">
        <v>11790</v>
      </c>
      <c r="F178" s="112">
        <v>11730</v>
      </c>
      <c r="G178" s="112">
        <v>11790</v>
      </c>
      <c r="H178" s="112">
        <v>12390</v>
      </c>
      <c r="I178" s="112">
        <v>12970</v>
      </c>
      <c r="J178" s="112">
        <v>13350</v>
      </c>
      <c r="K178" s="112">
        <v>14020</v>
      </c>
      <c r="L178" s="112">
        <v>15070</v>
      </c>
      <c r="M178" s="112">
        <v>16320</v>
      </c>
      <c r="N178" s="112">
        <v>16560</v>
      </c>
      <c r="O178" s="112">
        <v>14880</v>
      </c>
      <c r="P178" s="112">
        <v>16440</v>
      </c>
      <c r="Q178" s="112">
        <v>17290</v>
      </c>
      <c r="R178" s="112">
        <v>18230</v>
      </c>
      <c r="S178" s="112">
        <v>21510</v>
      </c>
      <c r="T178" s="112">
        <v>21330</v>
      </c>
      <c r="U178" s="112">
        <v>20980</v>
      </c>
      <c r="V178" s="112">
        <v>21670</v>
      </c>
      <c r="W178" s="112">
        <v>21510</v>
      </c>
      <c r="X178" s="112">
        <v>21850</v>
      </c>
      <c r="Y178" s="112">
        <v>22150</v>
      </c>
      <c r="Z178" s="112">
        <v>23100</v>
      </c>
      <c r="AA178" s="112">
        <v>23720</v>
      </c>
      <c r="AB178" s="112">
        <v>24560</v>
      </c>
      <c r="AC178" s="112">
        <v>25130</v>
      </c>
      <c r="AD178" s="112">
        <v>25690</v>
      </c>
      <c r="AE178" s="112">
        <v>26870</v>
      </c>
      <c r="AF178" s="112">
        <v>27350</v>
      </c>
      <c r="AG178" s="112">
        <v>28730</v>
      </c>
      <c r="AH178" s="112">
        <v>29340</v>
      </c>
      <c r="AI178" s="112">
        <v>29610</v>
      </c>
      <c r="AJ178" s="112">
        <v>28910</v>
      </c>
      <c r="AK178" s="112">
        <v>28070</v>
      </c>
      <c r="AL178" s="112">
        <v>27840</v>
      </c>
      <c r="AM178" s="112">
        <v>28140</v>
      </c>
      <c r="AN178" s="112">
        <v>28490</v>
      </c>
      <c r="AO178" s="112">
        <v>29000</v>
      </c>
      <c r="AP178" s="112">
        <v>28880</v>
      </c>
      <c r="AQ178" s="112">
        <v>29790</v>
      </c>
      <c r="AR178" s="112">
        <v>29460</v>
      </c>
      <c r="AS178" s="112">
        <v>28400</v>
      </c>
      <c r="AT178" s="112">
        <v>27570</v>
      </c>
      <c r="AU178" s="112">
        <v>26770</v>
      </c>
    </row>
    <row r="179" spans="1:47" x14ac:dyDescent="0.2">
      <c r="A179" s="114" t="s">
        <v>86</v>
      </c>
      <c r="B179" s="8"/>
      <c r="C179" s="112">
        <v>11810</v>
      </c>
      <c r="D179" s="112">
        <v>11840</v>
      </c>
      <c r="E179" s="112">
        <v>11430</v>
      </c>
      <c r="F179" s="112">
        <v>11540</v>
      </c>
      <c r="G179" s="112">
        <v>11470</v>
      </c>
      <c r="H179" s="112">
        <v>11530</v>
      </c>
      <c r="I179" s="112">
        <v>12130</v>
      </c>
      <c r="J179" s="112">
        <v>12700</v>
      </c>
      <c r="K179" s="112">
        <v>13070</v>
      </c>
      <c r="L179" s="112">
        <v>13730</v>
      </c>
      <c r="M179" s="112">
        <v>14770</v>
      </c>
      <c r="N179" s="112">
        <v>16000</v>
      </c>
      <c r="O179" s="112">
        <v>16230</v>
      </c>
      <c r="P179" s="112">
        <v>14600</v>
      </c>
      <c r="Q179" s="112">
        <v>16130</v>
      </c>
      <c r="R179" s="112">
        <v>16970</v>
      </c>
      <c r="S179" s="112">
        <v>17890</v>
      </c>
      <c r="T179" s="112">
        <v>21120</v>
      </c>
      <c r="U179" s="112">
        <v>20950</v>
      </c>
      <c r="V179" s="112">
        <v>20610</v>
      </c>
      <c r="W179" s="112">
        <v>21290</v>
      </c>
      <c r="X179" s="112">
        <v>21140</v>
      </c>
      <c r="Y179" s="112">
        <v>21480</v>
      </c>
      <c r="Z179" s="112">
        <v>21780</v>
      </c>
      <c r="AA179" s="112">
        <v>22720</v>
      </c>
      <c r="AB179" s="112">
        <v>23340</v>
      </c>
      <c r="AC179" s="112">
        <v>24170</v>
      </c>
      <c r="AD179" s="112">
        <v>24730</v>
      </c>
      <c r="AE179" s="112">
        <v>25290</v>
      </c>
      <c r="AF179" s="112">
        <v>26450</v>
      </c>
      <c r="AG179" s="112">
        <v>26930</v>
      </c>
      <c r="AH179" s="112">
        <v>28290</v>
      </c>
      <c r="AI179" s="112">
        <v>28890</v>
      </c>
      <c r="AJ179" s="112">
        <v>29160</v>
      </c>
      <c r="AK179" s="112">
        <v>28480</v>
      </c>
      <c r="AL179" s="112">
        <v>27660</v>
      </c>
      <c r="AM179" s="112">
        <v>27430</v>
      </c>
      <c r="AN179" s="112">
        <v>27730</v>
      </c>
      <c r="AO179" s="112">
        <v>28080</v>
      </c>
      <c r="AP179" s="112">
        <v>28590</v>
      </c>
      <c r="AQ179" s="112">
        <v>28470</v>
      </c>
      <c r="AR179" s="112">
        <v>29360</v>
      </c>
      <c r="AS179" s="112">
        <v>29050</v>
      </c>
      <c r="AT179" s="112">
        <v>28010</v>
      </c>
      <c r="AU179" s="112">
        <v>27180</v>
      </c>
    </row>
    <row r="180" spans="1:47" x14ac:dyDescent="0.2">
      <c r="A180" s="114" t="s">
        <v>87</v>
      </c>
      <c r="B180" s="8"/>
      <c r="C180" s="112">
        <v>11080</v>
      </c>
      <c r="D180" s="112">
        <v>11500</v>
      </c>
      <c r="E180" s="112">
        <v>11530</v>
      </c>
      <c r="F180" s="112">
        <v>11140</v>
      </c>
      <c r="G180" s="112">
        <v>11250</v>
      </c>
      <c r="H180" s="112">
        <v>11190</v>
      </c>
      <c r="I180" s="112">
        <v>11260</v>
      </c>
      <c r="J180" s="112">
        <v>11840</v>
      </c>
      <c r="K180" s="112">
        <v>12400</v>
      </c>
      <c r="L180" s="112">
        <v>12770</v>
      </c>
      <c r="M180" s="112">
        <v>13420</v>
      </c>
      <c r="N180" s="112">
        <v>14440</v>
      </c>
      <c r="O180" s="112">
        <v>15650</v>
      </c>
      <c r="P180" s="112">
        <v>15890</v>
      </c>
      <c r="Q180" s="112">
        <v>14290</v>
      </c>
      <c r="R180" s="112">
        <v>15800</v>
      </c>
      <c r="S180" s="112">
        <v>16630</v>
      </c>
      <c r="T180" s="112">
        <v>17530</v>
      </c>
      <c r="U180" s="112">
        <v>20700</v>
      </c>
      <c r="V180" s="112">
        <v>20540</v>
      </c>
      <c r="W180" s="112">
        <v>20220</v>
      </c>
      <c r="X180" s="112">
        <v>20890</v>
      </c>
      <c r="Y180" s="112">
        <v>20750</v>
      </c>
      <c r="Z180" s="112">
        <v>21080</v>
      </c>
      <c r="AA180" s="112">
        <v>21380</v>
      </c>
      <c r="AB180" s="112">
        <v>22310</v>
      </c>
      <c r="AC180" s="112">
        <v>22920</v>
      </c>
      <c r="AD180" s="112">
        <v>23740</v>
      </c>
      <c r="AE180" s="112">
        <v>24300</v>
      </c>
      <c r="AF180" s="112">
        <v>24850</v>
      </c>
      <c r="AG180" s="112">
        <v>26000</v>
      </c>
      <c r="AH180" s="112">
        <v>26470</v>
      </c>
      <c r="AI180" s="112">
        <v>27810</v>
      </c>
      <c r="AJ180" s="112">
        <v>28410</v>
      </c>
      <c r="AK180" s="112">
        <v>28680</v>
      </c>
      <c r="AL180" s="112">
        <v>28010</v>
      </c>
      <c r="AM180" s="112">
        <v>27210</v>
      </c>
      <c r="AN180" s="112">
        <v>26990</v>
      </c>
      <c r="AO180" s="112">
        <v>27290</v>
      </c>
      <c r="AP180" s="112">
        <v>27630</v>
      </c>
      <c r="AQ180" s="112">
        <v>28140</v>
      </c>
      <c r="AR180" s="112">
        <v>28020</v>
      </c>
      <c r="AS180" s="112">
        <v>28900</v>
      </c>
      <c r="AT180" s="112">
        <v>28600</v>
      </c>
      <c r="AU180" s="112">
        <v>27570</v>
      </c>
    </row>
    <row r="181" spans="1:47" x14ac:dyDescent="0.2">
      <c r="A181" s="114" t="s">
        <v>88</v>
      </c>
      <c r="B181" s="8"/>
      <c r="C181" s="112">
        <v>10800</v>
      </c>
      <c r="D181" s="112">
        <v>10770</v>
      </c>
      <c r="E181" s="112">
        <v>11190</v>
      </c>
      <c r="F181" s="112">
        <v>11190</v>
      </c>
      <c r="G181" s="112">
        <v>10820</v>
      </c>
      <c r="H181" s="112">
        <v>10940</v>
      </c>
      <c r="I181" s="112">
        <v>10890</v>
      </c>
      <c r="J181" s="112">
        <v>10960</v>
      </c>
      <c r="K181" s="112">
        <v>11530</v>
      </c>
      <c r="L181" s="112">
        <v>12090</v>
      </c>
      <c r="M181" s="112">
        <v>12450</v>
      </c>
      <c r="N181" s="112">
        <v>13090</v>
      </c>
      <c r="O181" s="112">
        <v>14090</v>
      </c>
      <c r="P181" s="112">
        <v>15280</v>
      </c>
      <c r="Q181" s="112">
        <v>15510</v>
      </c>
      <c r="R181" s="112">
        <v>13960</v>
      </c>
      <c r="S181" s="112">
        <v>15440</v>
      </c>
      <c r="T181" s="112">
        <v>16250</v>
      </c>
      <c r="U181" s="112">
        <v>17150</v>
      </c>
      <c r="V181" s="112">
        <v>20240</v>
      </c>
      <c r="W181" s="112">
        <v>20100</v>
      </c>
      <c r="X181" s="112">
        <v>19790</v>
      </c>
      <c r="Y181" s="112">
        <v>20450</v>
      </c>
      <c r="Z181" s="112">
        <v>20320</v>
      </c>
      <c r="AA181" s="112">
        <v>20650</v>
      </c>
      <c r="AB181" s="112">
        <v>20950</v>
      </c>
      <c r="AC181" s="112">
        <v>21870</v>
      </c>
      <c r="AD181" s="112">
        <v>22470</v>
      </c>
      <c r="AE181" s="112">
        <v>23280</v>
      </c>
      <c r="AF181" s="112">
        <v>23830</v>
      </c>
      <c r="AG181" s="112">
        <v>24370</v>
      </c>
      <c r="AH181" s="112">
        <v>25500</v>
      </c>
      <c r="AI181" s="112">
        <v>25970</v>
      </c>
      <c r="AJ181" s="112">
        <v>27290</v>
      </c>
      <c r="AK181" s="112">
        <v>27880</v>
      </c>
      <c r="AL181" s="112">
        <v>28150</v>
      </c>
      <c r="AM181" s="112">
        <v>27500</v>
      </c>
      <c r="AN181" s="112">
        <v>26720</v>
      </c>
      <c r="AO181" s="112">
        <v>26510</v>
      </c>
      <c r="AP181" s="112">
        <v>26800</v>
      </c>
      <c r="AQ181" s="112">
        <v>27140</v>
      </c>
      <c r="AR181" s="112">
        <v>27640</v>
      </c>
      <c r="AS181" s="112">
        <v>27530</v>
      </c>
      <c r="AT181" s="112">
        <v>28400</v>
      </c>
      <c r="AU181" s="112">
        <v>28100</v>
      </c>
    </row>
    <row r="182" spans="1:47" x14ac:dyDescent="0.2">
      <c r="A182" s="114" t="s">
        <v>89</v>
      </c>
      <c r="B182" s="8"/>
      <c r="C182" s="112">
        <v>10220</v>
      </c>
      <c r="D182" s="112">
        <v>10420</v>
      </c>
      <c r="E182" s="112">
        <v>10420</v>
      </c>
      <c r="F182" s="112">
        <v>10800</v>
      </c>
      <c r="G182" s="112">
        <v>10840</v>
      </c>
      <c r="H182" s="112">
        <v>10490</v>
      </c>
      <c r="I182" s="112">
        <v>10610</v>
      </c>
      <c r="J182" s="112">
        <v>10560</v>
      </c>
      <c r="K182" s="112">
        <v>10640</v>
      </c>
      <c r="L182" s="112">
        <v>11200</v>
      </c>
      <c r="M182" s="112">
        <v>11750</v>
      </c>
      <c r="N182" s="112">
        <v>12110</v>
      </c>
      <c r="O182" s="112">
        <v>12740</v>
      </c>
      <c r="P182" s="112">
        <v>13720</v>
      </c>
      <c r="Q182" s="112">
        <v>14870</v>
      </c>
      <c r="R182" s="112">
        <v>15110</v>
      </c>
      <c r="S182" s="112">
        <v>13610</v>
      </c>
      <c r="T182" s="112">
        <v>15050</v>
      </c>
      <c r="U182" s="112">
        <v>15850</v>
      </c>
      <c r="V182" s="112">
        <v>16730</v>
      </c>
      <c r="W182" s="112">
        <v>19760</v>
      </c>
      <c r="X182" s="112">
        <v>19620</v>
      </c>
      <c r="Y182" s="112">
        <v>19320</v>
      </c>
      <c r="Z182" s="112">
        <v>19980</v>
      </c>
      <c r="AA182" s="112">
        <v>19850</v>
      </c>
      <c r="AB182" s="112">
        <v>20180</v>
      </c>
      <c r="AC182" s="112">
        <v>20480</v>
      </c>
      <c r="AD182" s="112">
        <v>21380</v>
      </c>
      <c r="AE182" s="112">
        <v>21970</v>
      </c>
      <c r="AF182" s="112">
        <v>22770</v>
      </c>
      <c r="AG182" s="112">
        <v>23310</v>
      </c>
      <c r="AH182" s="112">
        <v>23860</v>
      </c>
      <c r="AI182" s="112">
        <v>24970</v>
      </c>
      <c r="AJ182" s="112">
        <v>25430</v>
      </c>
      <c r="AK182" s="112">
        <v>26730</v>
      </c>
      <c r="AL182" s="112">
        <v>27310</v>
      </c>
      <c r="AM182" s="112">
        <v>27580</v>
      </c>
      <c r="AN182" s="112">
        <v>26940</v>
      </c>
      <c r="AO182" s="112">
        <v>26180</v>
      </c>
      <c r="AP182" s="112">
        <v>25980</v>
      </c>
      <c r="AQ182" s="112">
        <v>26270</v>
      </c>
      <c r="AR182" s="112">
        <v>26610</v>
      </c>
      <c r="AS182" s="112">
        <v>27100</v>
      </c>
      <c r="AT182" s="112">
        <v>26990</v>
      </c>
      <c r="AU182" s="112">
        <v>27850</v>
      </c>
    </row>
    <row r="183" spans="1:47" x14ac:dyDescent="0.2">
      <c r="A183" s="114" t="s">
        <v>90</v>
      </c>
      <c r="B183" s="8"/>
      <c r="C183" s="112">
        <v>9890</v>
      </c>
      <c r="D183" s="112">
        <v>9870</v>
      </c>
      <c r="E183" s="112">
        <v>10040</v>
      </c>
      <c r="F183" s="112">
        <v>10020</v>
      </c>
      <c r="G183" s="112">
        <v>10410</v>
      </c>
      <c r="H183" s="112">
        <v>10460</v>
      </c>
      <c r="I183" s="112">
        <v>10130</v>
      </c>
      <c r="J183" s="112">
        <v>10260</v>
      </c>
      <c r="K183" s="112">
        <v>10220</v>
      </c>
      <c r="L183" s="112">
        <v>10300</v>
      </c>
      <c r="M183" s="112">
        <v>10850</v>
      </c>
      <c r="N183" s="112">
        <v>11380</v>
      </c>
      <c r="O183" s="112">
        <v>11740</v>
      </c>
      <c r="P183" s="112">
        <v>12350</v>
      </c>
      <c r="Q183" s="112">
        <v>13310</v>
      </c>
      <c r="R183" s="112">
        <v>14440</v>
      </c>
      <c r="S183" s="112">
        <v>14680</v>
      </c>
      <c r="T183" s="112">
        <v>13220</v>
      </c>
      <c r="U183" s="112">
        <v>14630</v>
      </c>
      <c r="V183" s="112">
        <v>15420</v>
      </c>
      <c r="W183" s="112">
        <v>16270</v>
      </c>
      <c r="X183" s="112">
        <v>19230</v>
      </c>
      <c r="Y183" s="112">
        <v>19100</v>
      </c>
      <c r="Z183" s="112">
        <v>18820</v>
      </c>
      <c r="AA183" s="112">
        <v>19460</v>
      </c>
      <c r="AB183" s="112">
        <v>19350</v>
      </c>
      <c r="AC183" s="112">
        <v>19680</v>
      </c>
      <c r="AD183" s="112">
        <v>19970</v>
      </c>
      <c r="AE183" s="112">
        <v>20860</v>
      </c>
      <c r="AF183" s="112">
        <v>21440</v>
      </c>
      <c r="AG183" s="112">
        <v>22220</v>
      </c>
      <c r="AH183" s="112">
        <v>22760</v>
      </c>
      <c r="AI183" s="112">
        <v>23290</v>
      </c>
      <c r="AJ183" s="112">
        <v>24380</v>
      </c>
      <c r="AK183" s="112">
        <v>24840</v>
      </c>
      <c r="AL183" s="112">
        <v>26110</v>
      </c>
      <c r="AM183" s="112">
        <v>26690</v>
      </c>
      <c r="AN183" s="112">
        <v>26950</v>
      </c>
      <c r="AO183" s="112">
        <v>26330</v>
      </c>
      <c r="AP183" s="112">
        <v>25600</v>
      </c>
      <c r="AQ183" s="112">
        <v>25400</v>
      </c>
      <c r="AR183" s="112">
        <v>25690</v>
      </c>
      <c r="AS183" s="112">
        <v>26020</v>
      </c>
      <c r="AT183" s="112">
        <v>26510</v>
      </c>
      <c r="AU183" s="112">
        <v>26400</v>
      </c>
    </row>
    <row r="184" spans="1:47" x14ac:dyDescent="0.2">
      <c r="A184" s="114" t="s">
        <v>91</v>
      </c>
      <c r="B184" s="8"/>
      <c r="C184" s="112">
        <v>9610</v>
      </c>
      <c r="D184" s="112">
        <v>9490</v>
      </c>
      <c r="E184" s="112">
        <v>9450</v>
      </c>
      <c r="F184" s="112">
        <v>9640</v>
      </c>
      <c r="G184" s="112">
        <v>9610</v>
      </c>
      <c r="H184" s="112">
        <v>10000</v>
      </c>
      <c r="I184" s="112">
        <v>10060</v>
      </c>
      <c r="J184" s="112">
        <v>9750</v>
      </c>
      <c r="K184" s="112">
        <v>9880</v>
      </c>
      <c r="L184" s="112">
        <v>9840</v>
      </c>
      <c r="M184" s="112">
        <v>9930</v>
      </c>
      <c r="N184" s="112">
        <v>10470</v>
      </c>
      <c r="O184" s="112">
        <v>10990</v>
      </c>
      <c r="P184" s="112">
        <v>11340</v>
      </c>
      <c r="Q184" s="112">
        <v>11940</v>
      </c>
      <c r="R184" s="112">
        <v>12870</v>
      </c>
      <c r="S184" s="112">
        <v>13970</v>
      </c>
      <c r="T184" s="112">
        <v>14210</v>
      </c>
      <c r="U184" s="112">
        <v>12810</v>
      </c>
      <c r="V184" s="112">
        <v>14180</v>
      </c>
      <c r="W184" s="112">
        <v>14940</v>
      </c>
      <c r="X184" s="112">
        <v>15780</v>
      </c>
      <c r="Y184" s="112">
        <v>18650</v>
      </c>
      <c r="Z184" s="112">
        <v>18540</v>
      </c>
      <c r="AA184" s="112">
        <v>18270</v>
      </c>
      <c r="AB184" s="112">
        <v>18900</v>
      </c>
      <c r="AC184" s="112">
        <v>18800</v>
      </c>
      <c r="AD184" s="112">
        <v>19120</v>
      </c>
      <c r="AE184" s="112">
        <v>19420</v>
      </c>
      <c r="AF184" s="112">
        <v>20290</v>
      </c>
      <c r="AG184" s="112">
        <v>20860</v>
      </c>
      <c r="AH184" s="112">
        <v>21630</v>
      </c>
      <c r="AI184" s="112">
        <v>22150</v>
      </c>
      <c r="AJ184" s="112">
        <v>22680</v>
      </c>
      <c r="AK184" s="112">
        <v>23740</v>
      </c>
      <c r="AL184" s="112">
        <v>24190</v>
      </c>
      <c r="AM184" s="112">
        <v>25440</v>
      </c>
      <c r="AN184" s="112">
        <v>26000</v>
      </c>
      <c r="AO184" s="112">
        <v>26270</v>
      </c>
      <c r="AP184" s="112">
        <v>25670</v>
      </c>
      <c r="AQ184" s="112">
        <v>24950</v>
      </c>
      <c r="AR184" s="112">
        <v>24770</v>
      </c>
      <c r="AS184" s="112">
        <v>25050</v>
      </c>
      <c r="AT184" s="112">
        <v>25380</v>
      </c>
      <c r="AU184" s="112">
        <v>25850</v>
      </c>
    </row>
    <row r="185" spans="1:47" x14ac:dyDescent="0.2">
      <c r="A185" s="114" t="s">
        <v>92</v>
      </c>
      <c r="B185" s="8"/>
      <c r="C185" s="112">
        <v>8770</v>
      </c>
      <c r="D185" s="112">
        <v>9140</v>
      </c>
      <c r="E185" s="112">
        <v>9050</v>
      </c>
      <c r="F185" s="112">
        <v>8980</v>
      </c>
      <c r="G185" s="112">
        <v>9200</v>
      </c>
      <c r="H185" s="112">
        <v>9190</v>
      </c>
      <c r="I185" s="112">
        <v>9570</v>
      </c>
      <c r="J185" s="112">
        <v>9630</v>
      </c>
      <c r="K185" s="112">
        <v>9340</v>
      </c>
      <c r="L185" s="112">
        <v>9470</v>
      </c>
      <c r="M185" s="112">
        <v>9450</v>
      </c>
      <c r="N185" s="112">
        <v>9540</v>
      </c>
      <c r="O185" s="112">
        <v>10060</v>
      </c>
      <c r="P185" s="112">
        <v>10570</v>
      </c>
      <c r="Q185" s="112">
        <v>10910</v>
      </c>
      <c r="R185" s="112">
        <v>11500</v>
      </c>
      <c r="S185" s="112">
        <v>12400</v>
      </c>
      <c r="T185" s="112">
        <v>13470</v>
      </c>
      <c r="U185" s="112">
        <v>13700</v>
      </c>
      <c r="V185" s="112">
        <v>12360</v>
      </c>
      <c r="W185" s="112">
        <v>13690</v>
      </c>
      <c r="X185" s="112">
        <v>14440</v>
      </c>
      <c r="Y185" s="112">
        <v>15250</v>
      </c>
      <c r="Z185" s="112">
        <v>18030</v>
      </c>
      <c r="AA185" s="112">
        <v>17930</v>
      </c>
      <c r="AB185" s="112">
        <v>17680</v>
      </c>
      <c r="AC185" s="112">
        <v>18300</v>
      </c>
      <c r="AD185" s="112">
        <v>18200</v>
      </c>
      <c r="AE185" s="112">
        <v>18530</v>
      </c>
      <c r="AF185" s="112">
        <v>18820</v>
      </c>
      <c r="AG185" s="112">
        <v>19660</v>
      </c>
      <c r="AH185" s="112">
        <v>20220</v>
      </c>
      <c r="AI185" s="112">
        <v>20980</v>
      </c>
      <c r="AJ185" s="112">
        <v>21490</v>
      </c>
      <c r="AK185" s="112">
        <v>22000</v>
      </c>
      <c r="AL185" s="112">
        <v>23050</v>
      </c>
      <c r="AM185" s="112">
        <v>23490</v>
      </c>
      <c r="AN185" s="112">
        <v>24700</v>
      </c>
      <c r="AO185" s="112">
        <v>25260</v>
      </c>
      <c r="AP185" s="112">
        <v>25520</v>
      </c>
      <c r="AQ185" s="112">
        <v>24940</v>
      </c>
      <c r="AR185" s="112">
        <v>24250</v>
      </c>
      <c r="AS185" s="112">
        <v>24070</v>
      </c>
      <c r="AT185" s="112">
        <v>24350</v>
      </c>
      <c r="AU185" s="112">
        <v>24670</v>
      </c>
    </row>
    <row r="186" spans="1:47" x14ac:dyDescent="0.2">
      <c r="A186" s="114" t="s">
        <v>93</v>
      </c>
      <c r="B186" s="8"/>
      <c r="C186" s="112">
        <v>8030</v>
      </c>
      <c r="D186" s="112">
        <v>8310</v>
      </c>
      <c r="E186" s="112">
        <v>8630</v>
      </c>
      <c r="F186" s="112">
        <v>8540</v>
      </c>
      <c r="G186" s="112">
        <v>8520</v>
      </c>
      <c r="H186" s="112">
        <v>8740</v>
      </c>
      <c r="I186" s="112">
        <v>8730</v>
      </c>
      <c r="J186" s="112">
        <v>9100</v>
      </c>
      <c r="K186" s="112">
        <v>9170</v>
      </c>
      <c r="L186" s="112">
        <v>8900</v>
      </c>
      <c r="M186" s="112">
        <v>9040</v>
      </c>
      <c r="N186" s="112">
        <v>9020</v>
      </c>
      <c r="O186" s="112">
        <v>9110</v>
      </c>
      <c r="P186" s="112">
        <v>9620</v>
      </c>
      <c r="Q186" s="112">
        <v>10110</v>
      </c>
      <c r="R186" s="112">
        <v>10450</v>
      </c>
      <c r="S186" s="112">
        <v>11020</v>
      </c>
      <c r="T186" s="112">
        <v>11900</v>
      </c>
      <c r="U186" s="112">
        <v>12930</v>
      </c>
      <c r="V186" s="112">
        <v>13160</v>
      </c>
      <c r="W186" s="112">
        <v>11880</v>
      </c>
      <c r="X186" s="112">
        <v>13160</v>
      </c>
      <c r="Y186" s="112">
        <v>13890</v>
      </c>
      <c r="Z186" s="112">
        <v>14680</v>
      </c>
      <c r="AA186" s="112">
        <v>17370</v>
      </c>
      <c r="AB186" s="112">
        <v>17280</v>
      </c>
      <c r="AC186" s="112">
        <v>17040</v>
      </c>
      <c r="AD186" s="112">
        <v>17640</v>
      </c>
      <c r="AE186" s="112">
        <v>17560</v>
      </c>
      <c r="AF186" s="112">
        <v>17880</v>
      </c>
      <c r="AG186" s="112">
        <v>18170</v>
      </c>
      <c r="AH186" s="112">
        <v>18990</v>
      </c>
      <c r="AI186" s="112">
        <v>19540</v>
      </c>
      <c r="AJ186" s="112">
        <v>20270</v>
      </c>
      <c r="AK186" s="112">
        <v>20770</v>
      </c>
      <c r="AL186" s="112">
        <v>21270</v>
      </c>
      <c r="AM186" s="112">
        <v>22290</v>
      </c>
      <c r="AN186" s="112">
        <v>22720</v>
      </c>
      <c r="AO186" s="112">
        <v>23900</v>
      </c>
      <c r="AP186" s="112">
        <v>24440</v>
      </c>
      <c r="AQ186" s="112">
        <v>24700</v>
      </c>
      <c r="AR186" s="112">
        <v>24150</v>
      </c>
      <c r="AS186" s="112">
        <v>23480</v>
      </c>
      <c r="AT186" s="112">
        <v>23310</v>
      </c>
      <c r="AU186" s="112">
        <v>23590</v>
      </c>
    </row>
    <row r="187" spans="1:47" x14ac:dyDescent="0.2">
      <c r="A187" s="114" t="s">
        <v>94</v>
      </c>
      <c r="B187" s="8"/>
      <c r="C187" s="112">
        <v>7700</v>
      </c>
      <c r="D187" s="112">
        <v>7520</v>
      </c>
      <c r="E187" s="112">
        <v>7810</v>
      </c>
      <c r="F187" s="112">
        <v>8140</v>
      </c>
      <c r="G187" s="112">
        <v>8050</v>
      </c>
      <c r="H187" s="112">
        <v>8040</v>
      </c>
      <c r="I187" s="112">
        <v>8250</v>
      </c>
      <c r="J187" s="112">
        <v>8260</v>
      </c>
      <c r="K187" s="112">
        <v>8610</v>
      </c>
      <c r="L187" s="112">
        <v>8690</v>
      </c>
      <c r="M187" s="112">
        <v>8440</v>
      </c>
      <c r="N187" s="112">
        <v>8580</v>
      </c>
      <c r="O187" s="112">
        <v>8570</v>
      </c>
      <c r="P187" s="112">
        <v>8670</v>
      </c>
      <c r="Q187" s="112">
        <v>9160</v>
      </c>
      <c r="R187" s="112">
        <v>9630</v>
      </c>
      <c r="S187" s="112">
        <v>9960</v>
      </c>
      <c r="T187" s="112">
        <v>10510</v>
      </c>
      <c r="U187" s="112">
        <v>11350</v>
      </c>
      <c r="V187" s="112">
        <v>12350</v>
      </c>
      <c r="W187" s="112">
        <v>12580</v>
      </c>
      <c r="X187" s="112">
        <v>11360</v>
      </c>
      <c r="Y187" s="112">
        <v>12600</v>
      </c>
      <c r="Z187" s="112">
        <v>13300</v>
      </c>
      <c r="AA187" s="112">
        <v>14060</v>
      </c>
      <c r="AB187" s="112">
        <v>16640</v>
      </c>
      <c r="AC187" s="112">
        <v>16570</v>
      </c>
      <c r="AD187" s="112">
        <v>16350</v>
      </c>
      <c r="AE187" s="112">
        <v>16930</v>
      </c>
      <c r="AF187" s="112">
        <v>16860</v>
      </c>
      <c r="AG187" s="112">
        <v>17170</v>
      </c>
      <c r="AH187" s="112">
        <v>17460</v>
      </c>
      <c r="AI187" s="112">
        <v>18260</v>
      </c>
      <c r="AJ187" s="112">
        <v>18790</v>
      </c>
      <c r="AK187" s="112">
        <v>19500</v>
      </c>
      <c r="AL187" s="112">
        <v>19990</v>
      </c>
      <c r="AM187" s="112">
        <v>20480</v>
      </c>
      <c r="AN187" s="112">
        <v>21460</v>
      </c>
      <c r="AO187" s="112">
        <v>21890</v>
      </c>
      <c r="AP187" s="112">
        <v>23030</v>
      </c>
      <c r="AQ187" s="112">
        <v>23550</v>
      </c>
      <c r="AR187" s="112">
        <v>23810</v>
      </c>
      <c r="AS187" s="112">
        <v>23280</v>
      </c>
      <c r="AT187" s="112">
        <v>22640</v>
      </c>
      <c r="AU187" s="112">
        <v>22480</v>
      </c>
    </row>
    <row r="188" spans="1:47" x14ac:dyDescent="0.2">
      <c r="A188" s="114" t="s">
        <v>95</v>
      </c>
      <c r="B188" s="8"/>
      <c r="C188" s="112">
        <v>6940</v>
      </c>
      <c r="D188" s="112">
        <v>7150</v>
      </c>
      <c r="E188" s="112">
        <v>7020</v>
      </c>
      <c r="F188" s="112">
        <v>7260</v>
      </c>
      <c r="G188" s="112">
        <v>7600</v>
      </c>
      <c r="H188" s="112">
        <v>7520</v>
      </c>
      <c r="I188" s="112">
        <v>7530</v>
      </c>
      <c r="J188" s="112">
        <v>7730</v>
      </c>
      <c r="K188" s="112">
        <v>7750</v>
      </c>
      <c r="L188" s="112">
        <v>8100</v>
      </c>
      <c r="M188" s="112">
        <v>8180</v>
      </c>
      <c r="N188" s="112">
        <v>7950</v>
      </c>
      <c r="O188" s="112">
        <v>8090</v>
      </c>
      <c r="P188" s="112">
        <v>8090</v>
      </c>
      <c r="Q188" s="112">
        <v>8190</v>
      </c>
      <c r="R188" s="112">
        <v>8660</v>
      </c>
      <c r="S188" s="112">
        <v>9120</v>
      </c>
      <c r="T188" s="112">
        <v>9440</v>
      </c>
      <c r="U188" s="112">
        <v>9970</v>
      </c>
      <c r="V188" s="112">
        <v>10770</v>
      </c>
      <c r="W188" s="112">
        <v>11730</v>
      </c>
      <c r="X188" s="112">
        <v>11950</v>
      </c>
      <c r="Y188" s="112">
        <v>10800</v>
      </c>
      <c r="Z188" s="112">
        <v>11990</v>
      </c>
      <c r="AA188" s="112">
        <v>12660</v>
      </c>
      <c r="AB188" s="112">
        <v>13400</v>
      </c>
      <c r="AC188" s="112">
        <v>15870</v>
      </c>
      <c r="AD188" s="112">
        <v>15800</v>
      </c>
      <c r="AE188" s="112">
        <v>15600</v>
      </c>
      <c r="AF188" s="112">
        <v>16170</v>
      </c>
      <c r="AG188" s="112">
        <v>16110</v>
      </c>
      <c r="AH188" s="112">
        <v>16410</v>
      </c>
      <c r="AI188" s="112">
        <v>16690</v>
      </c>
      <c r="AJ188" s="112">
        <v>17460</v>
      </c>
      <c r="AK188" s="112">
        <v>17980</v>
      </c>
      <c r="AL188" s="112">
        <v>18670</v>
      </c>
      <c r="AM188" s="112">
        <v>19140</v>
      </c>
      <c r="AN188" s="112">
        <v>19620</v>
      </c>
      <c r="AO188" s="112">
        <v>20560</v>
      </c>
      <c r="AP188" s="112">
        <v>20980</v>
      </c>
      <c r="AQ188" s="112">
        <v>22080</v>
      </c>
      <c r="AR188" s="112">
        <v>22590</v>
      </c>
      <c r="AS188" s="112">
        <v>22840</v>
      </c>
      <c r="AT188" s="112">
        <v>22330</v>
      </c>
      <c r="AU188" s="112">
        <v>21730</v>
      </c>
    </row>
    <row r="189" spans="1:47" x14ac:dyDescent="0.2">
      <c r="A189" s="114" t="s">
        <v>96</v>
      </c>
      <c r="B189" s="8"/>
      <c r="C189" s="112">
        <v>6240</v>
      </c>
      <c r="D189" s="112">
        <v>6400</v>
      </c>
      <c r="E189" s="112">
        <v>6570</v>
      </c>
      <c r="F189" s="112">
        <v>6470</v>
      </c>
      <c r="G189" s="112">
        <v>6710</v>
      </c>
      <c r="H189" s="112">
        <v>7040</v>
      </c>
      <c r="I189" s="112">
        <v>6980</v>
      </c>
      <c r="J189" s="112">
        <v>6990</v>
      </c>
      <c r="K189" s="112">
        <v>7190</v>
      </c>
      <c r="L189" s="112">
        <v>7220</v>
      </c>
      <c r="M189" s="112">
        <v>7550</v>
      </c>
      <c r="N189" s="112">
        <v>7630</v>
      </c>
      <c r="O189" s="112">
        <v>7440</v>
      </c>
      <c r="P189" s="112">
        <v>7570</v>
      </c>
      <c r="Q189" s="112">
        <v>7580</v>
      </c>
      <c r="R189" s="112">
        <v>7680</v>
      </c>
      <c r="S189" s="112">
        <v>8130</v>
      </c>
      <c r="T189" s="112">
        <v>8570</v>
      </c>
      <c r="U189" s="112">
        <v>8880</v>
      </c>
      <c r="V189" s="112">
        <v>9390</v>
      </c>
      <c r="W189" s="112">
        <v>10150</v>
      </c>
      <c r="X189" s="112">
        <v>11060</v>
      </c>
      <c r="Y189" s="112">
        <v>11280</v>
      </c>
      <c r="Z189" s="112">
        <v>10210</v>
      </c>
      <c r="AA189" s="112">
        <v>11330</v>
      </c>
      <c r="AB189" s="112">
        <v>11980</v>
      </c>
      <c r="AC189" s="112">
        <v>12690</v>
      </c>
      <c r="AD189" s="112">
        <v>15030</v>
      </c>
      <c r="AE189" s="112">
        <v>14980</v>
      </c>
      <c r="AF189" s="112">
        <v>14800</v>
      </c>
      <c r="AG189" s="112">
        <v>15350</v>
      </c>
      <c r="AH189" s="112">
        <v>15290</v>
      </c>
      <c r="AI189" s="112">
        <v>15590</v>
      </c>
      <c r="AJ189" s="112">
        <v>15860</v>
      </c>
      <c r="AK189" s="112">
        <v>16600</v>
      </c>
      <c r="AL189" s="112">
        <v>17100</v>
      </c>
      <c r="AM189" s="112">
        <v>17760</v>
      </c>
      <c r="AN189" s="112">
        <v>18220</v>
      </c>
      <c r="AO189" s="112">
        <v>18680</v>
      </c>
      <c r="AP189" s="112">
        <v>19590</v>
      </c>
      <c r="AQ189" s="112">
        <v>19990</v>
      </c>
      <c r="AR189" s="112">
        <v>21040</v>
      </c>
      <c r="AS189" s="112">
        <v>21530</v>
      </c>
      <c r="AT189" s="112">
        <v>21780</v>
      </c>
      <c r="AU189" s="112">
        <v>21300</v>
      </c>
    </row>
    <row r="190" spans="1:47" x14ac:dyDescent="0.2">
      <c r="A190" s="114" t="s">
        <v>97</v>
      </c>
      <c r="B190" s="8"/>
      <c r="C190" s="112">
        <v>4700</v>
      </c>
      <c r="D190" s="112">
        <v>5650</v>
      </c>
      <c r="E190" s="112">
        <v>5760</v>
      </c>
      <c r="F190" s="112">
        <v>6020</v>
      </c>
      <c r="G190" s="112">
        <v>5910</v>
      </c>
      <c r="H190" s="112">
        <v>6150</v>
      </c>
      <c r="I190" s="112">
        <v>6460</v>
      </c>
      <c r="J190" s="112">
        <v>6410</v>
      </c>
      <c r="K190" s="112">
        <v>6430</v>
      </c>
      <c r="L190" s="112">
        <v>6630</v>
      </c>
      <c r="M190" s="112">
        <v>6660</v>
      </c>
      <c r="N190" s="112">
        <v>6980</v>
      </c>
      <c r="O190" s="112">
        <v>7070</v>
      </c>
      <c r="P190" s="112">
        <v>6890</v>
      </c>
      <c r="Q190" s="112">
        <v>7030</v>
      </c>
      <c r="R190" s="112">
        <v>7050</v>
      </c>
      <c r="S190" s="112">
        <v>7150</v>
      </c>
      <c r="T190" s="112">
        <v>7570</v>
      </c>
      <c r="U190" s="112">
        <v>7990</v>
      </c>
      <c r="V190" s="112">
        <v>8290</v>
      </c>
      <c r="W190" s="112">
        <v>8770</v>
      </c>
      <c r="X190" s="112">
        <v>9500</v>
      </c>
      <c r="Y190" s="112">
        <v>10350</v>
      </c>
      <c r="Z190" s="112">
        <v>10570</v>
      </c>
      <c r="AA190" s="112">
        <v>9570</v>
      </c>
      <c r="AB190" s="112">
        <v>10640</v>
      </c>
      <c r="AC190" s="112">
        <v>11250</v>
      </c>
      <c r="AD190" s="112">
        <v>11920</v>
      </c>
      <c r="AE190" s="112">
        <v>14140</v>
      </c>
      <c r="AF190" s="112">
        <v>14100</v>
      </c>
      <c r="AG190" s="112">
        <v>13940</v>
      </c>
      <c r="AH190" s="112">
        <v>14460</v>
      </c>
      <c r="AI190" s="112">
        <v>14420</v>
      </c>
      <c r="AJ190" s="112">
        <v>14710</v>
      </c>
      <c r="AK190" s="112">
        <v>14970</v>
      </c>
      <c r="AL190" s="112">
        <v>15680</v>
      </c>
      <c r="AM190" s="112">
        <v>16160</v>
      </c>
      <c r="AN190" s="112">
        <v>16790</v>
      </c>
      <c r="AO190" s="112">
        <v>17230</v>
      </c>
      <c r="AP190" s="112">
        <v>17670</v>
      </c>
      <c r="AQ190" s="112">
        <v>18540</v>
      </c>
      <c r="AR190" s="112">
        <v>18920</v>
      </c>
      <c r="AS190" s="112">
        <v>19920</v>
      </c>
      <c r="AT190" s="112">
        <v>20400</v>
      </c>
      <c r="AU190" s="112">
        <v>20630</v>
      </c>
    </row>
    <row r="191" spans="1:47" x14ac:dyDescent="0.2">
      <c r="A191" s="114" t="s">
        <v>98</v>
      </c>
      <c r="B191" s="8"/>
      <c r="C191" s="112">
        <v>4260</v>
      </c>
      <c r="D191" s="112">
        <v>4230</v>
      </c>
      <c r="E191" s="112">
        <v>5020</v>
      </c>
      <c r="F191" s="112">
        <v>5220</v>
      </c>
      <c r="G191" s="112">
        <v>5420</v>
      </c>
      <c r="H191" s="112">
        <v>5340</v>
      </c>
      <c r="I191" s="112">
        <v>5560</v>
      </c>
      <c r="J191" s="112">
        <v>5860</v>
      </c>
      <c r="K191" s="112">
        <v>5830</v>
      </c>
      <c r="L191" s="112">
        <v>5860</v>
      </c>
      <c r="M191" s="112">
        <v>6050</v>
      </c>
      <c r="N191" s="112">
        <v>6090</v>
      </c>
      <c r="O191" s="112">
        <v>6390</v>
      </c>
      <c r="P191" s="112">
        <v>6480</v>
      </c>
      <c r="Q191" s="112">
        <v>6330</v>
      </c>
      <c r="R191" s="112">
        <v>6460</v>
      </c>
      <c r="S191" s="112">
        <v>6490</v>
      </c>
      <c r="T191" s="112">
        <v>6590</v>
      </c>
      <c r="U191" s="112">
        <v>6990</v>
      </c>
      <c r="V191" s="112">
        <v>7390</v>
      </c>
      <c r="W191" s="112">
        <v>7670</v>
      </c>
      <c r="X191" s="112">
        <v>8120</v>
      </c>
      <c r="Y191" s="112">
        <v>8810</v>
      </c>
      <c r="Z191" s="112">
        <v>9610</v>
      </c>
      <c r="AA191" s="112">
        <v>9820</v>
      </c>
      <c r="AB191" s="112">
        <v>8900</v>
      </c>
      <c r="AC191" s="112">
        <v>9900</v>
      </c>
      <c r="AD191" s="112">
        <v>10480</v>
      </c>
      <c r="AE191" s="112">
        <v>11120</v>
      </c>
      <c r="AF191" s="112">
        <v>13190</v>
      </c>
      <c r="AG191" s="112">
        <v>13160</v>
      </c>
      <c r="AH191" s="112">
        <v>13020</v>
      </c>
      <c r="AI191" s="112">
        <v>13520</v>
      </c>
      <c r="AJ191" s="112">
        <v>13490</v>
      </c>
      <c r="AK191" s="112">
        <v>13770</v>
      </c>
      <c r="AL191" s="112">
        <v>14020</v>
      </c>
      <c r="AM191" s="112">
        <v>14690</v>
      </c>
      <c r="AN191" s="112">
        <v>15150</v>
      </c>
      <c r="AO191" s="112">
        <v>15750</v>
      </c>
      <c r="AP191" s="112">
        <v>16170</v>
      </c>
      <c r="AQ191" s="112">
        <v>16590</v>
      </c>
      <c r="AR191" s="112">
        <v>17410</v>
      </c>
      <c r="AS191" s="112">
        <v>17770</v>
      </c>
      <c r="AT191" s="112">
        <v>18720</v>
      </c>
      <c r="AU191" s="112">
        <v>19170</v>
      </c>
    </row>
    <row r="192" spans="1:47" x14ac:dyDescent="0.2">
      <c r="A192" s="114" t="s">
        <v>99</v>
      </c>
      <c r="B192" s="8"/>
      <c r="C192" s="112">
        <v>3770</v>
      </c>
      <c r="D192" s="112">
        <v>3750</v>
      </c>
      <c r="E192" s="112">
        <v>3750</v>
      </c>
      <c r="F192" s="112">
        <v>4500</v>
      </c>
      <c r="G192" s="112">
        <v>4640</v>
      </c>
      <c r="H192" s="112">
        <v>4830</v>
      </c>
      <c r="I192" s="112">
        <v>4760</v>
      </c>
      <c r="J192" s="112">
        <v>4980</v>
      </c>
      <c r="K192" s="112">
        <v>5250</v>
      </c>
      <c r="L192" s="112">
        <v>5230</v>
      </c>
      <c r="M192" s="112">
        <v>5270</v>
      </c>
      <c r="N192" s="112">
        <v>5450</v>
      </c>
      <c r="O192" s="112">
        <v>5500</v>
      </c>
      <c r="P192" s="112">
        <v>5780</v>
      </c>
      <c r="Q192" s="112">
        <v>5870</v>
      </c>
      <c r="R192" s="112">
        <v>5750</v>
      </c>
      <c r="S192" s="112">
        <v>5880</v>
      </c>
      <c r="T192" s="112">
        <v>5910</v>
      </c>
      <c r="U192" s="112">
        <v>6010</v>
      </c>
      <c r="V192" s="112">
        <v>6390</v>
      </c>
      <c r="W192" s="112">
        <v>6760</v>
      </c>
      <c r="X192" s="112">
        <v>7020</v>
      </c>
      <c r="Y192" s="112">
        <v>7450</v>
      </c>
      <c r="Z192" s="112">
        <v>8080</v>
      </c>
      <c r="AA192" s="112">
        <v>8830</v>
      </c>
      <c r="AB192" s="112">
        <v>9040</v>
      </c>
      <c r="AC192" s="112">
        <v>8200</v>
      </c>
      <c r="AD192" s="112">
        <v>9130</v>
      </c>
      <c r="AE192" s="112">
        <v>9670</v>
      </c>
      <c r="AF192" s="112">
        <v>10270</v>
      </c>
      <c r="AG192" s="112">
        <v>12190</v>
      </c>
      <c r="AH192" s="112">
        <v>12180</v>
      </c>
      <c r="AI192" s="112">
        <v>12050</v>
      </c>
      <c r="AJ192" s="112">
        <v>12520</v>
      </c>
      <c r="AK192" s="112">
        <v>12510</v>
      </c>
      <c r="AL192" s="112">
        <v>12770</v>
      </c>
      <c r="AM192" s="112">
        <v>13020</v>
      </c>
      <c r="AN192" s="112">
        <v>13640</v>
      </c>
      <c r="AO192" s="112">
        <v>14080</v>
      </c>
      <c r="AP192" s="112">
        <v>14640</v>
      </c>
      <c r="AQ192" s="112">
        <v>15040</v>
      </c>
      <c r="AR192" s="112">
        <v>15440</v>
      </c>
      <c r="AS192" s="112">
        <v>16200</v>
      </c>
      <c r="AT192" s="112">
        <v>16550</v>
      </c>
      <c r="AU192" s="112">
        <v>17440</v>
      </c>
    </row>
    <row r="193" spans="1:47" x14ac:dyDescent="0.2">
      <c r="A193" s="114" t="s">
        <v>100</v>
      </c>
      <c r="B193" s="8"/>
      <c r="C193" s="112">
        <v>14040</v>
      </c>
      <c r="D193" s="112">
        <v>14350</v>
      </c>
      <c r="E193" s="112">
        <v>14770</v>
      </c>
      <c r="F193" s="112">
        <v>15090</v>
      </c>
      <c r="G193" s="112">
        <v>16080</v>
      </c>
      <c r="H193" s="112">
        <v>17090</v>
      </c>
      <c r="I193" s="112">
        <v>18150</v>
      </c>
      <c r="J193" s="112">
        <v>19040</v>
      </c>
      <c r="K193" s="112">
        <v>20010</v>
      </c>
      <c r="L193" s="112">
        <v>21110</v>
      </c>
      <c r="M193" s="112">
        <v>22070</v>
      </c>
      <c r="N193" s="112">
        <v>22950</v>
      </c>
      <c r="O193" s="112">
        <v>23900</v>
      </c>
      <c r="P193" s="112">
        <v>24780</v>
      </c>
      <c r="Q193" s="112">
        <v>25810</v>
      </c>
      <c r="R193" s="112">
        <v>26820</v>
      </c>
      <c r="S193" s="112">
        <v>27600</v>
      </c>
      <c r="T193" s="112">
        <v>28430</v>
      </c>
      <c r="U193" s="112">
        <v>29190</v>
      </c>
      <c r="V193" s="112">
        <v>29980</v>
      </c>
      <c r="W193" s="112">
        <v>31030</v>
      </c>
      <c r="X193" s="112">
        <v>32320</v>
      </c>
      <c r="Y193" s="112">
        <v>33730</v>
      </c>
      <c r="Z193" s="112">
        <v>35380</v>
      </c>
      <c r="AA193" s="112">
        <v>37430</v>
      </c>
      <c r="AB193" s="112">
        <v>39950</v>
      </c>
      <c r="AC193" s="112">
        <v>42390</v>
      </c>
      <c r="AD193" s="112">
        <v>43790</v>
      </c>
      <c r="AE193" s="112">
        <v>45860</v>
      </c>
      <c r="AF193" s="112">
        <v>48190</v>
      </c>
      <c r="AG193" s="112">
        <v>50800</v>
      </c>
      <c r="AH193" s="112">
        <v>54870</v>
      </c>
      <c r="AI193" s="112">
        <v>58490</v>
      </c>
      <c r="AJ193" s="112">
        <v>61590</v>
      </c>
      <c r="AK193" s="112">
        <v>64730</v>
      </c>
      <c r="AL193" s="112">
        <v>67480</v>
      </c>
      <c r="AM193" s="112">
        <v>70120</v>
      </c>
      <c r="AN193" s="112">
        <v>72650</v>
      </c>
      <c r="AO193" s="112">
        <v>75440</v>
      </c>
      <c r="AP193" s="112">
        <v>78280</v>
      </c>
      <c r="AQ193" s="112">
        <v>81290</v>
      </c>
      <c r="AR193" s="112">
        <v>84310</v>
      </c>
      <c r="AS193" s="112">
        <v>87320</v>
      </c>
      <c r="AT193" s="112">
        <v>90670</v>
      </c>
      <c r="AU193" s="112">
        <v>93950</v>
      </c>
    </row>
    <row r="194" spans="1:47" x14ac:dyDescent="0.2">
      <c r="A194" s="113" t="s">
        <v>105</v>
      </c>
      <c r="B194" s="8"/>
      <c r="C194" s="230">
        <f t="shared" ref="C194:AH194" si="4">SUM(C$103:C$193)/1000000</f>
        <v>2.13625</v>
      </c>
      <c r="D194" s="230">
        <f t="shared" si="4"/>
        <v>2.1575799999999998</v>
      </c>
      <c r="E194" s="230">
        <f t="shared" si="4"/>
        <v>2.1766800000000002</v>
      </c>
      <c r="F194" s="230">
        <f t="shared" si="4"/>
        <v>2.1971500000000002</v>
      </c>
      <c r="G194" s="230">
        <f t="shared" si="4"/>
        <v>2.2176200000000001</v>
      </c>
      <c r="H194" s="230">
        <f t="shared" si="4"/>
        <v>2.23786</v>
      </c>
      <c r="I194" s="230">
        <f t="shared" si="4"/>
        <v>2.2576700000000001</v>
      </c>
      <c r="J194" s="230">
        <f t="shared" si="4"/>
        <v>2.2771599999999999</v>
      </c>
      <c r="K194" s="230">
        <f t="shared" si="4"/>
        <v>2.29644</v>
      </c>
      <c r="L194" s="230">
        <f t="shared" si="4"/>
        <v>2.3155000000000001</v>
      </c>
      <c r="M194" s="230">
        <f t="shared" si="4"/>
        <v>2.3342900000000002</v>
      </c>
      <c r="N194" s="230">
        <f t="shared" si="4"/>
        <v>2.3528699999999998</v>
      </c>
      <c r="O194" s="230">
        <f t="shared" si="4"/>
        <v>2.3712800000000001</v>
      </c>
      <c r="P194" s="230">
        <f t="shared" si="4"/>
        <v>2.3894000000000002</v>
      </c>
      <c r="Q194" s="230">
        <f t="shared" si="4"/>
        <v>2.4073600000000002</v>
      </c>
      <c r="R194" s="230">
        <f t="shared" si="4"/>
        <v>2.4251399999999999</v>
      </c>
      <c r="S194" s="230">
        <f t="shared" si="4"/>
        <v>2.4426199999999998</v>
      </c>
      <c r="T194" s="230">
        <f t="shared" si="4"/>
        <v>2.4599000000000002</v>
      </c>
      <c r="U194" s="230">
        <f t="shared" si="4"/>
        <v>2.47682</v>
      </c>
      <c r="V194" s="230">
        <f t="shared" si="4"/>
        <v>2.4935299999999998</v>
      </c>
      <c r="W194" s="230">
        <f t="shared" si="4"/>
        <v>2.5099499999999999</v>
      </c>
      <c r="X194" s="230">
        <f t="shared" si="4"/>
        <v>2.52596</v>
      </c>
      <c r="Y194" s="230">
        <f t="shared" si="4"/>
        <v>2.5415700000000001</v>
      </c>
      <c r="Z194" s="230">
        <f t="shared" si="4"/>
        <v>2.5568399999999998</v>
      </c>
      <c r="AA194" s="230">
        <f t="shared" si="4"/>
        <v>2.57158</v>
      </c>
      <c r="AB194" s="230">
        <f t="shared" si="4"/>
        <v>2.5858500000000002</v>
      </c>
      <c r="AC194" s="230">
        <f t="shared" si="4"/>
        <v>2.5997400000000002</v>
      </c>
      <c r="AD194" s="230">
        <f t="shared" si="4"/>
        <v>2.6130100000000001</v>
      </c>
      <c r="AE194" s="230">
        <f t="shared" si="4"/>
        <v>2.6259399999999999</v>
      </c>
      <c r="AF194" s="230">
        <f t="shared" si="4"/>
        <v>2.6383399999999999</v>
      </c>
      <c r="AG194" s="230">
        <f t="shared" si="4"/>
        <v>2.6503199999999998</v>
      </c>
      <c r="AH194" s="230">
        <f t="shared" si="4"/>
        <v>2.6617999999999999</v>
      </c>
      <c r="AI194" s="230">
        <f t="shared" ref="AI194:AU194" si="5">SUM(AI$103:AI$193)/1000000</f>
        <v>2.6729400000000001</v>
      </c>
      <c r="AJ194" s="230">
        <f t="shared" si="5"/>
        <v>2.6835900000000001</v>
      </c>
      <c r="AK194" s="230">
        <f t="shared" si="5"/>
        <v>2.6937899999999999</v>
      </c>
      <c r="AL194" s="230">
        <f t="shared" si="5"/>
        <v>2.70357</v>
      </c>
      <c r="AM194" s="230">
        <f t="shared" si="5"/>
        <v>2.7129300000000001</v>
      </c>
      <c r="AN194" s="230">
        <f t="shared" si="5"/>
        <v>2.7218</v>
      </c>
      <c r="AO194" s="230">
        <f t="shared" si="5"/>
        <v>2.7302900000000001</v>
      </c>
      <c r="AP194" s="230">
        <f t="shared" si="5"/>
        <v>2.7382300000000002</v>
      </c>
      <c r="AQ194" s="230">
        <f t="shared" si="5"/>
        <v>2.7456900000000002</v>
      </c>
      <c r="AR194" s="230">
        <f t="shared" si="5"/>
        <v>2.7526799999999998</v>
      </c>
      <c r="AS194" s="230">
        <f t="shared" si="5"/>
        <v>2.7590699999999999</v>
      </c>
      <c r="AT194" s="230">
        <f t="shared" si="5"/>
        <v>2.7650899999999998</v>
      </c>
      <c r="AU194" s="230">
        <f t="shared" si="5"/>
        <v>2.77061</v>
      </c>
    </row>
    <row r="195" spans="1:47" x14ac:dyDescent="0.2">
      <c r="C195" s="342"/>
      <c r="D195" s="342"/>
      <c r="E195" s="342"/>
      <c r="F195" s="342"/>
      <c r="G195" s="342"/>
      <c r="H195" s="342"/>
      <c r="I195" s="342"/>
    </row>
    <row r="196" spans="1:47" ht="18.75" x14ac:dyDescent="0.3">
      <c r="A196" s="1" t="s">
        <v>552</v>
      </c>
      <c r="H196" s="332"/>
      <c r="I196" s="332"/>
    </row>
    <row r="197" spans="1:47" x14ac:dyDescent="0.2">
      <c r="A197" s="343" t="s">
        <v>239</v>
      </c>
      <c r="B197" s="344"/>
      <c r="C197" s="345"/>
      <c r="D197" s="368">
        <f t="shared" ref="D197:AI197" si="6">SUM(D$9:D$99,D$103:D$193)/SUM(C$9:C$99,C$103:C$193)-1</f>
        <v>1.0431029744565334E-2</v>
      </c>
      <c r="E197" s="368">
        <f t="shared" si="6"/>
        <v>9.5499824987939075E-3</v>
      </c>
      <c r="F197" s="368">
        <f t="shared" si="6"/>
        <v>9.7056219047664261E-3</v>
      </c>
      <c r="G197" s="368">
        <f t="shared" si="6"/>
        <v>9.7260150020068714E-3</v>
      </c>
      <c r="H197" s="368">
        <f t="shared" si="6"/>
        <v>9.4829745336062476E-3</v>
      </c>
      <c r="I197" s="368">
        <f t="shared" si="6"/>
        <v>9.170824532012567E-3</v>
      </c>
      <c r="J197" s="368">
        <f t="shared" si="6"/>
        <v>8.9386205698793741E-3</v>
      </c>
      <c r="K197" s="368">
        <f t="shared" si="6"/>
        <v>8.7297683984619567E-3</v>
      </c>
      <c r="L197" s="368">
        <f t="shared" si="6"/>
        <v>8.5301124716050669E-3</v>
      </c>
      <c r="M197" s="368">
        <f t="shared" si="6"/>
        <v>8.337105613592577E-3</v>
      </c>
      <c r="N197" s="368">
        <f t="shared" si="6"/>
        <v>8.1570299083832953E-3</v>
      </c>
      <c r="O197" s="368">
        <f t="shared" si="6"/>
        <v>7.9851106004829031E-3</v>
      </c>
      <c r="P197" s="368">
        <f t="shared" si="6"/>
        <v>7.7888935353469524E-3</v>
      </c>
      <c r="Q197" s="368">
        <f t="shared" si="6"/>
        <v>7.6520895354057483E-3</v>
      </c>
      <c r="R197" s="368">
        <f t="shared" si="6"/>
        <v>7.4926140311235567E-3</v>
      </c>
      <c r="S197" s="368">
        <f t="shared" si="6"/>
        <v>7.3195117810183064E-3</v>
      </c>
      <c r="T197" s="368">
        <f t="shared" si="6"/>
        <v>7.1477174123391052E-3</v>
      </c>
      <c r="U197" s="368">
        <f t="shared" si="6"/>
        <v>6.9544305052808841E-3</v>
      </c>
      <c r="V197" s="368">
        <f t="shared" si="6"/>
        <v>6.8058616175667996E-3</v>
      </c>
      <c r="W197" s="368">
        <f t="shared" si="6"/>
        <v>6.6131231263666379E-3</v>
      </c>
      <c r="X197" s="368">
        <f t="shared" si="6"/>
        <v>6.4380810469373273E-3</v>
      </c>
      <c r="Y197" s="368">
        <f t="shared" si="6"/>
        <v>6.2158530403366719E-3</v>
      </c>
      <c r="Z197" s="368">
        <f t="shared" si="6"/>
        <v>6.0235183104559997E-3</v>
      </c>
      <c r="AA197" s="368">
        <f t="shared" si="6"/>
        <v>5.8006553806593253E-3</v>
      </c>
      <c r="AB197" s="368">
        <f t="shared" si="6"/>
        <v>5.5775302387885972E-3</v>
      </c>
      <c r="AC197" s="368">
        <f t="shared" si="6"/>
        <v>5.3953053377371329E-3</v>
      </c>
      <c r="AD197" s="368">
        <f t="shared" si="6"/>
        <v>5.1455227307815044E-3</v>
      </c>
      <c r="AE197" s="368">
        <f t="shared" si="6"/>
        <v>4.9811408795739087E-3</v>
      </c>
      <c r="AF197" s="368">
        <f t="shared" si="6"/>
        <v>4.7804032485847525E-3</v>
      </c>
      <c r="AG197" s="368">
        <f t="shared" si="6"/>
        <v>4.5824484522685172E-3</v>
      </c>
      <c r="AH197" s="368">
        <f t="shared" si="6"/>
        <v>4.4197158425538507E-3</v>
      </c>
      <c r="AI197" s="368">
        <f t="shared" si="6"/>
        <v>4.2647869800920279E-3</v>
      </c>
      <c r="AJ197" s="368">
        <f t="shared" ref="AJ197:AU197" si="7">SUM(AJ$9:AJ$99,AJ$103:AJ$193)/SUM(AI$9:AI$99,AI$103:AI$193)-1</f>
        <v>4.0813689686753918E-3</v>
      </c>
      <c r="AK197" s="368">
        <f t="shared" si="7"/>
        <v>3.9360989474719332E-3</v>
      </c>
      <c r="AL197" s="368">
        <f t="shared" si="7"/>
        <v>3.7642171295440008E-3</v>
      </c>
      <c r="AM197" s="368">
        <f t="shared" si="7"/>
        <v>3.614894492027565E-3</v>
      </c>
      <c r="AN197" s="368">
        <f t="shared" si="7"/>
        <v>3.4503147195963368E-3</v>
      </c>
      <c r="AO197" s="368">
        <f t="shared" si="7"/>
        <v>3.3209767885911123E-3</v>
      </c>
      <c r="AP197" s="368">
        <f t="shared" si="7"/>
        <v>3.1092666553917958E-3</v>
      </c>
      <c r="AQ197" s="368">
        <f t="shared" si="7"/>
        <v>2.9588210663613612E-3</v>
      </c>
      <c r="AR197" s="368">
        <f t="shared" si="7"/>
        <v>2.7930742104300688E-3</v>
      </c>
      <c r="AS197" s="368">
        <f t="shared" si="7"/>
        <v>2.6231875781752567E-3</v>
      </c>
      <c r="AT197" s="368">
        <f t="shared" si="7"/>
        <v>2.4564788020762229E-3</v>
      </c>
      <c r="AU197" s="368">
        <f t="shared" si="7"/>
        <v>2.3294942193352597E-3</v>
      </c>
    </row>
    <row r="198" spans="1:47" x14ac:dyDescent="0.2">
      <c r="A198" s="343" t="s">
        <v>303</v>
      </c>
      <c r="B198" s="344"/>
      <c r="C198" s="345"/>
      <c r="D198" s="368">
        <f t="shared" ref="D198:AI198" si="8">SUM(D$10:D$13,D$104:D$107)/SUM(C$10:C$13,C$104:C$107)-1</f>
        <v>1.6127610822243676E-2</v>
      </c>
      <c r="E198" s="368">
        <f t="shared" si="8"/>
        <v>2.3330442324371203E-2</v>
      </c>
      <c r="F198" s="368">
        <f t="shared" si="8"/>
        <v>2.2035765742859592E-2</v>
      </c>
      <c r="G198" s="368">
        <f t="shared" si="8"/>
        <v>1.8077784227547911E-2</v>
      </c>
      <c r="H198" s="368">
        <f t="shared" si="8"/>
        <v>8.0638592490021033E-3</v>
      </c>
      <c r="I198" s="368">
        <f t="shared" si="8"/>
        <v>-4.5652876535229314E-3</v>
      </c>
      <c r="J198" s="368">
        <f t="shared" si="8"/>
        <v>-7.2649052315434393E-3</v>
      </c>
      <c r="K198" s="368">
        <f t="shared" si="8"/>
        <v>-7.4816026165167582E-3</v>
      </c>
      <c r="L198" s="368">
        <f t="shared" si="8"/>
        <v>-6.1786876467437857E-3</v>
      </c>
      <c r="M198" s="368">
        <f t="shared" si="8"/>
        <v>-4.9322335972147302E-3</v>
      </c>
      <c r="N198" s="368">
        <f t="shared" si="8"/>
        <v>-3.7070976341219142E-3</v>
      </c>
      <c r="O198" s="368">
        <f t="shared" si="8"/>
        <v>-2.7593126802959445E-3</v>
      </c>
      <c r="P198" s="368">
        <f t="shared" si="8"/>
        <v>-1.760784806942528E-3</v>
      </c>
      <c r="Q198" s="368">
        <f t="shared" si="8"/>
        <v>-1.1339296963588374E-3</v>
      </c>
      <c r="R198" s="368">
        <f t="shared" si="8"/>
        <v>-6.3067608476286008E-4</v>
      </c>
      <c r="S198" s="368">
        <f t="shared" si="8"/>
        <v>-2.9450124111241038E-4</v>
      </c>
      <c r="T198" s="368">
        <f t="shared" si="8"/>
        <v>-1.6833599865329063E-4</v>
      </c>
      <c r="U198" s="368">
        <f t="shared" si="8"/>
        <v>4.2091085108220128E-5</v>
      </c>
      <c r="V198" s="368">
        <f t="shared" si="8"/>
        <v>2.1044656761648461E-4</v>
      </c>
      <c r="W198" s="368">
        <f t="shared" si="8"/>
        <v>1.6832183134152245E-4</v>
      </c>
      <c r="X198" s="368">
        <f t="shared" si="8"/>
        <v>2.5244025580617446E-4</v>
      </c>
      <c r="Y198" s="368">
        <f t="shared" si="8"/>
        <v>2.1031378817193414E-4</v>
      </c>
      <c r="Z198" s="368">
        <f t="shared" si="8"/>
        <v>-8.4107826233248417E-5</v>
      </c>
      <c r="AA198" s="368">
        <f t="shared" si="8"/>
        <v>-5.046894057282314E-4</v>
      </c>
      <c r="AB198" s="368">
        <f t="shared" si="8"/>
        <v>-1.009888491479094E-3</v>
      </c>
      <c r="AC198" s="368">
        <f t="shared" si="8"/>
        <v>-1.2636367465566067E-3</v>
      </c>
      <c r="AD198" s="368">
        <f t="shared" si="8"/>
        <v>-1.4339336173083694E-3</v>
      </c>
      <c r="AE198" s="368">
        <f t="shared" si="8"/>
        <v>-1.1825822528191976E-3</v>
      </c>
      <c r="AF198" s="368">
        <f t="shared" si="8"/>
        <v>-8.4570172100295604E-4</v>
      </c>
      <c r="AG198" s="368">
        <f t="shared" si="8"/>
        <v>-2.1160438444289831E-4</v>
      </c>
      <c r="AH198" s="368">
        <f t="shared" si="8"/>
        <v>4.6562817473749796E-4</v>
      </c>
      <c r="AI198" s="368">
        <f t="shared" si="8"/>
        <v>1.1846837317537329E-3</v>
      </c>
      <c r="AJ198" s="368">
        <f t="shared" ref="AJ198:AU198" si="9">SUM(AJ$10:AJ$13,AJ$104:AJ$107)/SUM(AI$10:AI$13,AI$104:AI$107)-1</f>
        <v>1.7326628069136429E-3</v>
      </c>
      <c r="AK198" s="368">
        <f t="shared" si="9"/>
        <v>2.1937225784678382E-3</v>
      </c>
      <c r="AL198" s="368">
        <f t="shared" si="9"/>
        <v>2.483583094797126E-3</v>
      </c>
      <c r="AM198" s="368">
        <f t="shared" si="9"/>
        <v>2.5614108754985487E-3</v>
      </c>
      <c r="AN198" s="368">
        <f t="shared" si="9"/>
        <v>2.3035684369241416E-3</v>
      </c>
      <c r="AO198" s="368">
        <f t="shared" si="9"/>
        <v>2.0057665789143808E-3</v>
      </c>
      <c r="AP198" s="368">
        <f t="shared" si="9"/>
        <v>1.4179073355853333E-3</v>
      </c>
      <c r="AQ198" s="368">
        <f t="shared" si="9"/>
        <v>7.0794986049227404E-4</v>
      </c>
      <c r="AR198" s="368">
        <f t="shared" si="9"/>
        <v>1.2484394506873109E-4</v>
      </c>
      <c r="AS198" s="368">
        <f t="shared" si="9"/>
        <v>-5.4092289768237212E-4</v>
      </c>
      <c r="AT198" s="368">
        <f t="shared" si="9"/>
        <v>-7.9100749375515811E-4</v>
      </c>
      <c r="AU198" s="368">
        <f t="shared" si="9"/>
        <v>-1.1249531269530433E-3</v>
      </c>
    </row>
    <row r="199" spans="1:47" x14ac:dyDescent="0.2">
      <c r="A199" s="343" t="s">
        <v>305</v>
      </c>
      <c r="B199" s="344"/>
      <c r="C199" s="345"/>
      <c r="D199" s="368">
        <f t="shared" ref="D199:AI199" si="10">SUM(D$14:D$26,D$108:D$120)/SUM(C$14:C$26,C$108:C$120)-1</f>
        <v>-5.0677162581894697E-3</v>
      </c>
      <c r="E199" s="368">
        <f t="shared" si="10"/>
        <v>-9.5677451971688532E-3</v>
      </c>
      <c r="F199" s="368">
        <f t="shared" si="10"/>
        <v>-4.8747495629314352E-3</v>
      </c>
      <c r="G199" s="368">
        <f t="shared" si="10"/>
        <v>-5.0653364281042501E-3</v>
      </c>
      <c r="H199" s="368">
        <f t="shared" si="10"/>
        <v>-2.2297837238677287E-3</v>
      </c>
      <c r="I199" s="368">
        <f t="shared" si="10"/>
        <v>2.7127226693191009E-3</v>
      </c>
      <c r="J199" s="368">
        <f t="shared" si="10"/>
        <v>2.9372737461834664E-3</v>
      </c>
      <c r="K199" s="368">
        <f t="shared" si="10"/>
        <v>3.8663600981361235E-3</v>
      </c>
      <c r="L199" s="368">
        <f t="shared" si="10"/>
        <v>5.1310267171664758E-3</v>
      </c>
      <c r="M199" s="368">
        <f t="shared" si="10"/>
        <v>4.2391760976665527E-3</v>
      </c>
      <c r="N199" s="368">
        <f t="shared" si="10"/>
        <v>4.8804604112262506E-3</v>
      </c>
      <c r="O199" s="368">
        <f t="shared" si="10"/>
        <v>1.9931626950586701E-3</v>
      </c>
      <c r="P199" s="368">
        <f t="shared" si="10"/>
        <v>2.8956678291303106E-3</v>
      </c>
      <c r="Q199" s="368">
        <f t="shared" si="10"/>
        <v>5.3226879574184149E-3</v>
      </c>
      <c r="R199" s="368">
        <f t="shared" si="10"/>
        <v>4.4453879100432303E-3</v>
      </c>
      <c r="S199" s="368">
        <f t="shared" si="10"/>
        <v>2.1879933862927192E-3</v>
      </c>
      <c r="T199" s="368">
        <f t="shared" si="10"/>
        <v>2.2824536376604421E-3</v>
      </c>
      <c r="U199" s="368">
        <f t="shared" si="10"/>
        <v>4.9505563187723922E-5</v>
      </c>
      <c r="V199" s="368">
        <f t="shared" si="10"/>
        <v>-3.1434476442706583E-3</v>
      </c>
      <c r="W199" s="368">
        <f t="shared" si="10"/>
        <v>-3.5258041688910335E-3</v>
      </c>
      <c r="X199" s="368">
        <f t="shared" si="10"/>
        <v>-3.1271413442970353E-3</v>
      </c>
      <c r="Y199" s="368">
        <f t="shared" si="10"/>
        <v>-2.4245756992525846E-3</v>
      </c>
      <c r="Z199" s="368">
        <f t="shared" si="10"/>
        <v>-1.7790027562014643E-3</v>
      </c>
      <c r="AA199" s="368">
        <f t="shared" si="10"/>
        <v>-1.2299505509676401E-3</v>
      </c>
      <c r="AB199" s="368">
        <f t="shared" si="10"/>
        <v>-8.2935410907258866E-4</v>
      </c>
      <c r="AC199" s="368">
        <f t="shared" si="10"/>
        <v>-4.653268606785721E-4</v>
      </c>
      <c r="AD199" s="368">
        <f t="shared" si="10"/>
        <v>-3.0197415604515943E-4</v>
      </c>
      <c r="AE199" s="368">
        <f t="shared" si="10"/>
        <v>-2.894793148150443E-4</v>
      </c>
      <c r="AF199" s="368">
        <f t="shared" si="10"/>
        <v>-2.6438373410553329E-4</v>
      </c>
      <c r="AG199" s="368">
        <f t="shared" si="10"/>
        <v>-3.6519789948241677E-4</v>
      </c>
      <c r="AH199" s="368">
        <f t="shared" si="10"/>
        <v>-4.2831947593857667E-4</v>
      </c>
      <c r="AI199" s="368">
        <f t="shared" si="10"/>
        <v>-4.2850301212415953E-4</v>
      </c>
      <c r="AJ199" s="368">
        <f t="shared" ref="AJ199:AU199" si="11">SUM(AJ$14:AJ$26,AJ$108:AJ$120)/SUM(AI$14:AI$26,AI$108:AI$120)-1</f>
        <v>-4.6651200322778141E-4</v>
      </c>
      <c r="AK199" s="368">
        <f t="shared" si="11"/>
        <v>-3.405865657520879E-4</v>
      </c>
      <c r="AL199" s="368">
        <f t="shared" si="11"/>
        <v>-3.0284675953962115E-4</v>
      </c>
      <c r="AM199" s="368">
        <f t="shared" si="11"/>
        <v>-1.3884681409670474E-4</v>
      </c>
      <c r="AN199" s="368">
        <f t="shared" si="11"/>
        <v>1.262419047387553E-5</v>
      </c>
      <c r="AO199" s="368">
        <f t="shared" si="11"/>
        <v>2.3985659100667078E-4</v>
      </c>
      <c r="AP199" s="368">
        <f t="shared" si="11"/>
        <v>3.6600911236472911E-4</v>
      </c>
      <c r="AQ199" s="368">
        <f t="shared" si="11"/>
        <v>6.4343569427971481E-4</v>
      </c>
      <c r="AR199" s="368">
        <f t="shared" si="11"/>
        <v>9.2040396908443789E-4</v>
      </c>
      <c r="AS199" s="368">
        <f t="shared" si="11"/>
        <v>1.0707177587987449E-3</v>
      </c>
      <c r="AT199" s="368">
        <f t="shared" si="11"/>
        <v>1.1954046130033813E-3</v>
      </c>
      <c r="AU199" s="368">
        <f t="shared" si="11"/>
        <v>1.294522786114749E-3</v>
      </c>
    </row>
    <row r="200" spans="1:47" x14ac:dyDescent="0.2">
      <c r="A200" s="343" t="s">
        <v>304</v>
      </c>
      <c r="B200" s="344"/>
      <c r="C200" s="345"/>
      <c r="D200" s="368">
        <f t="shared" ref="D200:AI200" si="12">SUM(D$27:D$33,D$121:D$127)/SUM(C$27:C$33,C$121:C$127)-1</f>
        <v>1.3718919968920051E-2</v>
      </c>
      <c r="E200" s="368">
        <f t="shared" si="12"/>
        <v>1.7748928118038743E-2</v>
      </c>
      <c r="F200" s="368">
        <f t="shared" si="12"/>
        <v>1.0708401976935678E-2</v>
      </c>
      <c r="G200" s="368">
        <f t="shared" si="12"/>
        <v>1.4576784258935938E-2</v>
      </c>
      <c r="H200" s="368">
        <f t="shared" si="12"/>
        <v>1.360996993413055E-2</v>
      </c>
      <c r="I200" s="368">
        <f t="shared" si="12"/>
        <v>1.0755366361742569E-2</v>
      </c>
      <c r="J200" s="368">
        <f t="shared" si="12"/>
        <v>5.6452877528618828E-3</v>
      </c>
      <c r="K200" s="368">
        <f t="shared" si="12"/>
        <v>-6.2373304225793458E-4</v>
      </c>
      <c r="L200" s="368">
        <f t="shared" si="12"/>
        <v>-9.361834919644263E-3</v>
      </c>
      <c r="M200" s="368">
        <f t="shared" si="12"/>
        <v>-1.2307900006750194E-2</v>
      </c>
      <c r="N200" s="368">
        <f t="shared" si="12"/>
        <v>-1.1071623838162958E-2</v>
      </c>
      <c r="O200" s="368">
        <f t="shared" si="12"/>
        <v>-5.9894033632803545E-3</v>
      </c>
      <c r="P200" s="368">
        <f t="shared" si="12"/>
        <v>-5.2607184241019178E-3</v>
      </c>
      <c r="Q200" s="368">
        <f t="shared" si="12"/>
        <v>-1.0320807026535928E-2</v>
      </c>
      <c r="R200" s="368">
        <f t="shared" si="12"/>
        <v>-6.8738229755178626E-3</v>
      </c>
      <c r="S200" s="368">
        <f t="shared" si="12"/>
        <v>9.4813691096984343E-4</v>
      </c>
      <c r="T200" s="368">
        <f t="shared" si="12"/>
        <v>2.1312872975287611E-4</v>
      </c>
      <c r="U200" s="368">
        <f t="shared" si="12"/>
        <v>6.558230934962328E-3</v>
      </c>
      <c r="V200" s="368">
        <f t="shared" si="12"/>
        <v>8.1855388813096841E-3</v>
      </c>
      <c r="W200" s="368">
        <f t="shared" si="12"/>
        <v>1.0942093229433958E-2</v>
      </c>
      <c r="X200" s="368">
        <f t="shared" si="12"/>
        <v>1.4977729570053722E-2</v>
      </c>
      <c r="Y200" s="368">
        <f t="shared" si="12"/>
        <v>1.2210095497953599E-2</v>
      </c>
      <c r="Z200" s="368">
        <f t="shared" si="12"/>
        <v>7.0085585282027019E-3</v>
      </c>
      <c r="AA200" s="368">
        <f t="shared" si="12"/>
        <v>6.4021057797407632E-3</v>
      </c>
      <c r="AB200" s="368">
        <f t="shared" si="12"/>
        <v>1.6402163312350115E-3</v>
      </c>
      <c r="AC200" s="368">
        <f t="shared" si="12"/>
        <v>-4.5806594379287358E-3</v>
      </c>
      <c r="AD200" s="368">
        <f t="shared" si="12"/>
        <v>-5.6465775959807507E-3</v>
      </c>
      <c r="AE200" s="368">
        <f t="shared" si="12"/>
        <v>-5.2762190078025073E-3</v>
      </c>
      <c r="AF200" s="368">
        <f t="shared" si="12"/>
        <v>-4.2029083226574615E-3</v>
      </c>
      <c r="AG200" s="368">
        <f t="shared" si="12"/>
        <v>-3.137272604161967E-3</v>
      </c>
      <c r="AH200" s="368">
        <f t="shared" si="12"/>
        <v>-2.264133855593542E-3</v>
      </c>
      <c r="AI200" s="368">
        <f t="shared" si="12"/>
        <v>-1.5204120997571735E-3</v>
      </c>
      <c r="AJ200" s="368">
        <f t="shared" ref="AJ200:AU200" si="13">SUM(AJ$27:AJ$33,AJ$121:AJ$127)/SUM(AI$27:AI$33,AI$121:AI$127)-1</f>
        <v>-1.0454545454545716E-3</v>
      </c>
      <c r="AK200" s="368">
        <f t="shared" si="13"/>
        <v>-5.6877644810482408E-4</v>
      </c>
      <c r="AL200" s="368">
        <f t="shared" si="13"/>
        <v>-2.7316806665300675E-4</v>
      </c>
      <c r="AM200" s="368">
        <f t="shared" si="13"/>
        <v>-6.8310676958782679E-5</v>
      </c>
      <c r="AN200" s="368">
        <f t="shared" si="13"/>
        <v>6.8315343626279557E-5</v>
      </c>
      <c r="AO200" s="368">
        <f t="shared" si="13"/>
        <v>1.3662135391756536E-4</v>
      </c>
      <c r="AP200" s="368">
        <f t="shared" si="13"/>
        <v>1.8213692143076443E-4</v>
      </c>
      <c r="AQ200" s="368">
        <f t="shared" si="13"/>
        <v>6.8288907605129623E-5</v>
      </c>
      <c r="AR200" s="368">
        <f t="shared" si="13"/>
        <v>-1.3656848909726627E-4</v>
      </c>
      <c r="AS200" s="368">
        <f t="shared" si="13"/>
        <v>-3.8699690402477227E-4</v>
      </c>
      <c r="AT200" s="368">
        <f t="shared" si="13"/>
        <v>-6.1488009838084334E-4</v>
      </c>
      <c r="AU200" s="368">
        <f t="shared" si="13"/>
        <v>-8.6591924163703649E-4</v>
      </c>
    </row>
    <row r="201" spans="1:47" x14ac:dyDescent="0.2">
      <c r="A201" s="343" t="s">
        <v>306</v>
      </c>
      <c r="B201" s="344"/>
      <c r="C201" s="345"/>
      <c r="D201" s="368">
        <f t="shared" ref="D201:AI201" si="14">SUM(D$74:D$99,D$168:D$193)/SUM(C$74:C$99,C$168:C$193)-1</f>
        <v>2.9474424877352856E-2</v>
      </c>
      <c r="E201" s="368">
        <f t="shared" si="14"/>
        <v>2.1017258073702694E-2</v>
      </c>
      <c r="F201" s="368">
        <f t="shared" si="14"/>
        <v>2.7055673323663987E-2</v>
      </c>
      <c r="G201" s="368">
        <f t="shared" si="14"/>
        <v>2.8497456230876406E-2</v>
      </c>
      <c r="H201" s="368">
        <f t="shared" si="14"/>
        <v>3.0647631453870172E-2</v>
      </c>
      <c r="I201" s="368">
        <f t="shared" si="14"/>
        <v>4.12823666051787E-2</v>
      </c>
      <c r="J201" s="368">
        <f t="shared" si="14"/>
        <v>3.8071024358238281E-2</v>
      </c>
      <c r="K201" s="368">
        <f t="shared" si="14"/>
        <v>3.5063047119426205E-2</v>
      </c>
      <c r="L201" s="368">
        <f t="shared" si="14"/>
        <v>3.4623311197618412E-2</v>
      </c>
      <c r="M201" s="368">
        <f t="shared" si="14"/>
        <v>3.2313753264574308E-2</v>
      </c>
      <c r="N201" s="368">
        <f t="shared" si="14"/>
        <v>3.1802524191358206E-2</v>
      </c>
      <c r="O201" s="368">
        <f t="shared" si="14"/>
        <v>3.0836150052640399E-2</v>
      </c>
      <c r="P201" s="368">
        <f t="shared" si="14"/>
        <v>3.1351627381944303E-2</v>
      </c>
      <c r="Q201" s="368">
        <f t="shared" si="14"/>
        <v>3.1336729774453786E-2</v>
      </c>
      <c r="R201" s="368">
        <f t="shared" si="14"/>
        <v>3.2216494845360932E-2</v>
      </c>
      <c r="S201" s="368">
        <f t="shared" si="14"/>
        <v>3.1798487185136226E-2</v>
      </c>
      <c r="T201" s="368">
        <f t="shared" si="14"/>
        <v>3.1008303677342752E-2</v>
      </c>
      <c r="U201" s="368">
        <f t="shared" si="14"/>
        <v>3.2204247877211989E-2</v>
      </c>
      <c r="V201" s="368">
        <f t="shared" si="14"/>
        <v>3.1522744752711329E-2</v>
      </c>
      <c r="W201" s="368">
        <f t="shared" si="14"/>
        <v>3.22127489437114E-2</v>
      </c>
      <c r="X201" s="368">
        <f t="shared" si="14"/>
        <v>3.1730910156822612E-2</v>
      </c>
      <c r="Y201" s="368">
        <f t="shared" si="14"/>
        <v>3.0034600671719813E-2</v>
      </c>
      <c r="Z201" s="368">
        <f t="shared" si="14"/>
        <v>2.7346251219055651E-2</v>
      </c>
      <c r="AA201" s="368">
        <f t="shared" si="14"/>
        <v>2.3770483943656551E-2</v>
      </c>
      <c r="AB201" s="368">
        <f t="shared" si="14"/>
        <v>2.1907313052599964E-2</v>
      </c>
      <c r="AC201" s="368">
        <f t="shared" si="14"/>
        <v>2.0686115464635613E-2</v>
      </c>
      <c r="AD201" s="368">
        <f t="shared" si="14"/>
        <v>1.9898710534822728E-2</v>
      </c>
      <c r="AE201" s="368">
        <f t="shared" si="14"/>
        <v>1.9651347068145864E-2</v>
      </c>
      <c r="AF201" s="368">
        <f t="shared" si="14"/>
        <v>1.8115566607950884E-2</v>
      </c>
      <c r="AG201" s="368">
        <f t="shared" si="14"/>
        <v>1.8276651683487355E-2</v>
      </c>
      <c r="AH201" s="368">
        <f t="shared" si="14"/>
        <v>1.6640986132511637E-2</v>
      </c>
      <c r="AI201" s="368">
        <f t="shared" si="14"/>
        <v>1.3656882101865442E-2</v>
      </c>
      <c r="AJ201" s="368">
        <f t="shared" ref="AJ201:AU201" si="15">SUM(AJ$74:AJ$99,AJ$168:AJ$193)/SUM(AI$74:AI$99,AI$168:AI$193)-1</f>
        <v>1.124222096500449E-2</v>
      </c>
      <c r="AK201" s="368">
        <f t="shared" si="15"/>
        <v>9.1591339583283471E-3</v>
      </c>
      <c r="AL201" s="368">
        <f t="shared" si="15"/>
        <v>6.9931177584008353E-3</v>
      </c>
      <c r="AM201" s="368">
        <f t="shared" si="15"/>
        <v>6.425481714510406E-3</v>
      </c>
      <c r="AN201" s="368">
        <f t="shared" si="15"/>
        <v>5.2747974087068439E-3</v>
      </c>
      <c r="AO201" s="368">
        <f t="shared" si="15"/>
        <v>6.0477915455294795E-3</v>
      </c>
      <c r="AP201" s="368">
        <f t="shared" si="15"/>
        <v>6.1273373512593654E-3</v>
      </c>
      <c r="AQ201" s="368">
        <f t="shared" si="15"/>
        <v>6.4740079715543963E-3</v>
      </c>
      <c r="AR201" s="368">
        <f t="shared" si="15"/>
        <v>6.8291417409351851E-3</v>
      </c>
      <c r="AS201" s="368">
        <f t="shared" si="15"/>
        <v>7.2072208622897538E-3</v>
      </c>
      <c r="AT201" s="368">
        <f t="shared" si="15"/>
        <v>6.5236038584821632E-3</v>
      </c>
      <c r="AU201" s="368">
        <f t="shared" si="15"/>
        <v>5.8608496736911597E-3</v>
      </c>
    </row>
    <row r="202" spans="1:47" x14ac:dyDescent="0.2">
      <c r="A202" s="343" t="s">
        <v>307</v>
      </c>
      <c r="B202" s="344"/>
      <c r="C202" s="345"/>
      <c r="D202" s="368">
        <f t="shared" ref="D202:AI202" si="16">SUM(D$9:D$28,D$103:D$122)/SUM(C$9:C$28,C$103:C$122)-1</f>
        <v>5.0504630284473606E-3</v>
      </c>
      <c r="E202" s="368">
        <f t="shared" si="16"/>
        <v>3.2783085252579003E-3</v>
      </c>
      <c r="F202" s="368">
        <f t="shared" si="16"/>
        <v>2.5992243584453956E-3</v>
      </c>
      <c r="G202" s="368">
        <f t="shared" si="16"/>
        <v>-2.3044319163822991E-4</v>
      </c>
      <c r="H202" s="368">
        <f t="shared" si="16"/>
        <v>-1.7534183425669259E-3</v>
      </c>
      <c r="I202" s="368">
        <f t="shared" si="16"/>
        <v>-9.2360469718955063E-4</v>
      </c>
      <c r="J202" s="368">
        <f t="shared" si="16"/>
        <v>-8.584257791864891E-4</v>
      </c>
      <c r="K202" s="368">
        <f t="shared" si="16"/>
        <v>1.6522371290683679E-5</v>
      </c>
      <c r="L202" s="368">
        <f t="shared" si="16"/>
        <v>-1.9826517967780344E-4</v>
      </c>
      <c r="M202" s="368">
        <f t="shared" si="16"/>
        <v>5.1228661609892256E-4</v>
      </c>
      <c r="N202" s="368">
        <f t="shared" si="16"/>
        <v>1.7673097251584835E-3</v>
      </c>
      <c r="O202" s="368">
        <f t="shared" si="16"/>
        <v>1.5333630113270047E-3</v>
      </c>
      <c r="P202" s="368">
        <f t="shared" si="16"/>
        <v>2.2965231133940112E-3</v>
      </c>
      <c r="Q202" s="368">
        <f t="shared" si="16"/>
        <v>7.5554132071897762E-4</v>
      </c>
      <c r="R202" s="368">
        <f t="shared" si="16"/>
        <v>1.5099418180026802E-3</v>
      </c>
      <c r="S202" s="368">
        <f t="shared" si="16"/>
        <v>3.252951828453865E-3</v>
      </c>
      <c r="T202" s="368">
        <f t="shared" si="16"/>
        <v>2.7932048350212124E-3</v>
      </c>
      <c r="U202" s="368">
        <f t="shared" si="16"/>
        <v>1.3927122868173658E-3</v>
      </c>
      <c r="V202" s="368">
        <f t="shared" si="16"/>
        <v>1.5453059299082028E-3</v>
      </c>
      <c r="W202" s="368">
        <f t="shared" si="16"/>
        <v>4.8723841387765532E-5</v>
      </c>
      <c r="X202" s="368">
        <f t="shared" si="16"/>
        <v>-1.9975801671145987E-3</v>
      </c>
      <c r="Y202" s="368">
        <f t="shared" si="16"/>
        <v>-2.2944924045792403E-3</v>
      </c>
      <c r="Z202" s="368">
        <f t="shared" si="16"/>
        <v>-2.1203545885288833E-3</v>
      </c>
      <c r="AA202" s="368">
        <f t="shared" si="16"/>
        <v>-1.708060574856396E-3</v>
      </c>
      <c r="AB202" s="368">
        <f t="shared" si="16"/>
        <v>-1.4244547776540717E-3</v>
      </c>
      <c r="AC202" s="368">
        <f t="shared" si="16"/>
        <v>-1.0739641574710745E-3</v>
      </c>
      <c r="AD202" s="368">
        <f t="shared" si="16"/>
        <v>-8.6994345367552572E-4</v>
      </c>
      <c r="AE202" s="368">
        <f t="shared" si="16"/>
        <v>-6.6534692502939752E-4</v>
      </c>
      <c r="AF202" s="368">
        <f t="shared" si="16"/>
        <v>-4.5207956600357146E-4</v>
      </c>
      <c r="AG202" s="368">
        <f t="shared" si="16"/>
        <v>-3.0426380494219529E-4</v>
      </c>
      <c r="AH202" s="368">
        <f t="shared" si="16"/>
        <v>-1.3161358252167243E-4</v>
      </c>
      <c r="AI202" s="368">
        <f t="shared" si="16"/>
        <v>4.9361590101382191E-5</v>
      </c>
      <c r="AJ202" s="368">
        <f t="shared" ref="AJ202:AU202" si="17">SUM(AJ$9:AJ$28,AJ$103:AJ$122)/SUM(AI$9:AI$28,AI$103:AI$122)-1</f>
        <v>1.4807746096523466E-4</v>
      </c>
      <c r="AK202" s="368">
        <f t="shared" si="17"/>
        <v>3.4546292031323311E-4</v>
      </c>
      <c r="AL202" s="368">
        <f t="shared" si="17"/>
        <v>4.2756828758894194E-4</v>
      </c>
      <c r="AM202" s="368">
        <f t="shared" si="17"/>
        <v>5.1779403304008653E-4</v>
      </c>
      <c r="AN202" s="368">
        <f t="shared" si="17"/>
        <v>5.4217015928292867E-4</v>
      </c>
      <c r="AO202" s="368">
        <f t="shared" si="17"/>
        <v>5.9934810630624114E-4</v>
      </c>
      <c r="AP202" s="368">
        <f t="shared" si="17"/>
        <v>5.0873047131405613E-4</v>
      </c>
      <c r="AQ202" s="368">
        <f t="shared" si="17"/>
        <v>4.8386832220703724E-4</v>
      </c>
      <c r="AR202" s="368">
        <f t="shared" si="17"/>
        <v>4.6723992360209188E-4</v>
      </c>
      <c r="AS202" s="368">
        <f t="shared" si="17"/>
        <v>3.7689471528068452E-4</v>
      </c>
      <c r="AT202" s="368">
        <f t="shared" si="17"/>
        <v>4.1770410169039707E-4</v>
      </c>
      <c r="AU202" s="368">
        <f t="shared" si="17"/>
        <v>4.1752969782304916E-4</v>
      </c>
    </row>
    <row r="203" spans="1:47" x14ac:dyDescent="0.2">
      <c r="A203" s="343" t="s">
        <v>308</v>
      </c>
      <c r="B203" s="344"/>
      <c r="C203" s="345"/>
      <c r="D203" s="368">
        <f t="shared" ref="D203:AI203" si="18">SUM(D$24:D$99,D$118:D$193)/SUM(C$24:C$99,C$118:C$193)-1</f>
        <v>1.3205635375206359E-2</v>
      </c>
      <c r="E203" s="368">
        <f t="shared" si="18"/>
        <v>1.1811907720406634E-2</v>
      </c>
      <c r="F203" s="368">
        <f t="shared" si="18"/>
        <v>1.16888112922795E-2</v>
      </c>
      <c r="G203" s="368">
        <f t="shared" si="18"/>
        <v>1.1855036855036749E-2</v>
      </c>
      <c r="H203" s="368">
        <f t="shared" si="18"/>
        <v>1.1366362850609768E-2</v>
      </c>
      <c r="I203" s="368">
        <f t="shared" si="18"/>
        <v>1.0644105583582197E-2</v>
      </c>
      <c r="J203" s="368">
        <f t="shared" si="18"/>
        <v>1.0486751567497787E-2</v>
      </c>
      <c r="K203" s="368">
        <f t="shared" si="18"/>
        <v>1.0022474300092066E-2</v>
      </c>
      <c r="L203" s="368">
        <f t="shared" si="18"/>
        <v>1.0335902992147039E-2</v>
      </c>
      <c r="M203" s="368">
        <f t="shared" si="18"/>
        <v>9.8626470071967454E-3</v>
      </c>
      <c r="N203" s="368">
        <f t="shared" si="18"/>
        <v>9.0710584349980028E-3</v>
      </c>
      <c r="O203" s="368">
        <f t="shared" si="18"/>
        <v>9.0245031544042842E-3</v>
      </c>
      <c r="P203" s="368">
        <f t="shared" si="18"/>
        <v>9.2425386172736435E-3</v>
      </c>
      <c r="Q203" s="368">
        <f t="shared" si="18"/>
        <v>9.017818914161646E-3</v>
      </c>
      <c r="R203" s="368">
        <f t="shared" si="18"/>
        <v>9.2960756887583429E-3</v>
      </c>
      <c r="S203" s="368">
        <f t="shared" si="18"/>
        <v>9.7139283146865374E-3</v>
      </c>
      <c r="T203" s="368">
        <f t="shared" si="18"/>
        <v>9.5613597692936203E-3</v>
      </c>
      <c r="U203" s="368">
        <f t="shared" si="18"/>
        <v>9.2060307648440531E-3</v>
      </c>
      <c r="V203" s="368">
        <f t="shared" si="18"/>
        <v>8.8420340966999245E-3</v>
      </c>
      <c r="W203" s="368">
        <f t="shared" si="18"/>
        <v>8.4644679888072893E-3</v>
      </c>
      <c r="X203" s="368">
        <f t="shared" si="18"/>
        <v>8.1256260972197847E-3</v>
      </c>
      <c r="Y203" s="368">
        <f t="shared" si="18"/>
        <v>7.7748180505645692E-3</v>
      </c>
      <c r="Z203" s="368">
        <f t="shared" si="18"/>
        <v>7.4805359627072576E-3</v>
      </c>
      <c r="AA203" s="368">
        <f t="shared" si="18"/>
        <v>7.1730519991763941E-3</v>
      </c>
      <c r="AB203" s="368">
        <f t="shared" si="18"/>
        <v>6.8934663600765944E-3</v>
      </c>
      <c r="AC203" s="368">
        <f t="shared" si="18"/>
        <v>6.6456134651309284E-3</v>
      </c>
      <c r="AD203" s="368">
        <f t="shared" si="18"/>
        <v>6.3407086786078093E-3</v>
      </c>
      <c r="AE203" s="368">
        <f t="shared" si="18"/>
        <v>6.1333345909695414E-3</v>
      </c>
      <c r="AF203" s="368">
        <f t="shared" si="18"/>
        <v>5.8545457102210374E-3</v>
      </c>
      <c r="AG203" s="368">
        <f t="shared" si="18"/>
        <v>5.5944544766119986E-3</v>
      </c>
      <c r="AH203" s="368">
        <f t="shared" si="18"/>
        <v>5.3640610228558039E-3</v>
      </c>
      <c r="AI203" s="368">
        <f t="shared" si="18"/>
        <v>5.1372349276661566E-3</v>
      </c>
      <c r="AJ203" s="368">
        <f t="shared" ref="AJ203:AU203" si="19">SUM(AJ$24:AJ$99,AJ$118:AJ$193)/SUM(AI$24:AI$99,AI$118:AI$193)-1</f>
        <v>4.886269833990653E-3</v>
      </c>
      <c r="AK203" s="368">
        <f t="shared" si="19"/>
        <v>4.6662757187090342E-3</v>
      </c>
      <c r="AL203" s="368">
        <f t="shared" si="19"/>
        <v>4.4356523793085412E-3</v>
      </c>
      <c r="AM203" s="368">
        <f t="shared" si="19"/>
        <v>4.2238648363253084E-3</v>
      </c>
      <c r="AN203" s="368">
        <f t="shared" si="19"/>
        <v>4.0034495414495996E-3</v>
      </c>
      <c r="AO203" s="368">
        <f t="shared" si="19"/>
        <v>3.8080714069455013E-3</v>
      </c>
      <c r="AP203" s="368">
        <f t="shared" si="19"/>
        <v>3.552334375202415E-3</v>
      </c>
      <c r="AQ203" s="368">
        <f t="shared" si="19"/>
        <v>3.3572063056706014E-3</v>
      </c>
      <c r="AR203" s="368">
        <f t="shared" si="19"/>
        <v>3.1462798236485678E-3</v>
      </c>
      <c r="AS203" s="368">
        <f t="shared" si="19"/>
        <v>2.9660988832338475E-3</v>
      </c>
      <c r="AT203" s="368">
        <f t="shared" si="19"/>
        <v>2.7764913441394867E-3</v>
      </c>
      <c r="AU203" s="368">
        <f t="shared" si="19"/>
        <v>2.6478473045399298E-3</v>
      </c>
    </row>
    <row r="204" spans="1:47" x14ac:dyDescent="0.2">
      <c r="A204" s="343" t="s">
        <v>309</v>
      </c>
      <c r="B204" s="344"/>
      <c r="C204" s="345"/>
      <c r="D204" s="368">
        <f t="shared" ref="D204:AI204" si="20">SUM(D$121:D$122)/SUM(C$121:C$122)-1</f>
        <v>3.1223628691983141E-2</v>
      </c>
      <c r="E204" s="368">
        <f t="shared" si="20"/>
        <v>3.3060556464811874E-2</v>
      </c>
      <c r="F204" s="368">
        <f t="shared" si="20"/>
        <v>3.1210392902408124E-2</v>
      </c>
      <c r="G204" s="368">
        <f t="shared" si="20"/>
        <v>-9.5252726993393377E-3</v>
      </c>
      <c r="H204" s="368">
        <f t="shared" si="20"/>
        <v>-1.5045757716767527E-2</v>
      </c>
      <c r="I204" s="368">
        <f t="shared" si="20"/>
        <v>-1.1811023622047223E-2</v>
      </c>
      <c r="J204" s="368">
        <f t="shared" si="20"/>
        <v>-9.402390438246977E-3</v>
      </c>
      <c r="K204" s="368">
        <f t="shared" si="20"/>
        <v>-9.1698841698841793E-3</v>
      </c>
      <c r="L204" s="368">
        <f t="shared" si="20"/>
        <v>-1.6885858093846351E-2</v>
      </c>
      <c r="M204" s="368">
        <f t="shared" si="20"/>
        <v>-7.5970272502063896E-3</v>
      </c>
      <c r="N204" s="368">
        <f t="shared" si="20"/>
        <v>-1.0484273589615567E-2</v>
      </c>
      <c r="O204" s="368">
        <f t="shared" si="20"/>
        <v>7.9044735956945722E-3</v>
      </c>
      <c r="P204" s="368">
        <f t="shared" si="20"/>
        <v>9.010512264308268E-3</v>
      </c>
      <c r="Q204" s="368">
        <f t="shared" si="20"/>
        <v>-2.2159748635687149E-2</v>
      </c>
      <c r="R204" s="368">
        <f t="shared" si="20"/>
        <v>-1.5389819042787134E-2</v>
      </c>
      <c r="S204" s="368">
        <f t="shared" si="20"/>
        <v>1.5630367571281445E-2</v>
      </c>
      <c r="T204" s="368">
        <f t="shared" si="20"/>
        <v>1.3867749027566489E-2</v>
      </c>
      <c r="U204" s="368">
        <f t="shared" si="20"/>
        <v>1.4011676396997519E-2</v>
      </c>
      <c r="V204" s="368">
        <f t="shared" si="20"/>
        <v>3.3558151011679582E-2</v>
      </c>
      <c r="W204" s="368">
        <f t="shared" si="20"/>
        <v>1.9417475728155331E-2</v>
      </c>
      <c r="X204" s="368">
        <f t="shared" si="20"/>
        <v>0</v>
      </c>
      <c r="Y204" s="368">
        <f t="shared" si="20"/>
        <v>-6.7135050741607971E-3</v>
      </c>
      <c r="Z204" s="368">
        <f t="shared" si="20"/>
        <v>-8.3307136120717162E-3</v>
      </c>
      <c r="AA204" s="368">
        <f t="shared" si="20"/>
        <v>-6.9741638928514371E-3</v>
      </c>
      <c r="AB204" s="368">
        <f t="shared" si="20"/>
        <v>-5.7462090981643676E-3</v>
      </c>
      <c r="AC204" s="368">
        <f t="shared" si="20"/>
        <v>-4.4951035479210422E-3</v>
      </c>
      <c r="AD204" s="368">
        <f t="shared" si="20"/>
        <v>-3.5478148685695876E-3</v>
      </c>
      <c r="AE204" s="368">
        <f t="shared" si="20"/>
        <v>-2.4275772778766802E-3</v>
      </c>
      <c r="AF204" s="368">
        <f t="shared" si="20"/>
        <v>-1.6223231667747973E-3</v>
      </c>
      <c r="AG204" s="368">
        <f t="shared" si="20"/>
        <v>-8.1247968800779446E-4</v>
      </c>
      <c r="AH204" s="368">
        <f t="shared" si="20"/>
        <v>-4.878842088144042E-4</v>
      </c>
      <c r="AI204" s="368">
        <f t="shared" si="20"/>
        <v>-1.6270745200130943E-4</v>
      </c>
      <c r="AJ204" s="368">
        <f t="shared" ref="AJ204:AU204" si="21">SUM(AJ$121:AJ$122)/SUM(AI$121:AI$122)-1</f>
        <v>-3.2546786004883366E-4</v>
      </c>
      <c r="AK204" s="368">
        <f t="shared" si="21"/>
        <v>1.6278691193227779E-4</v>
      </c>
      <c r="AL204" s="368">
        <f t="shared" si="21"/>
        <v>1.6276041666674068E-4</v>
      </c>
      <c r="AM204" s="368">
        <f t="shared" si="21"/>
        <v>1.6273393002430581E-4</v>
      </c>
      <c r="AN204" s="368">
        <f t="shared" si="21"/>
        <v>3.2541490400261885E-4</v>
      </c>
      <c r="AO204" s="368">
        <f t="shared" si="21"/>
        <v>3.2530904359151513E-4</v>
      </c>
      <c r="AP204" s="368">
        <f t="shared" si="21"/>
        <v>1.6260162601633432E-4</v>
      </c>
      <c r="AQ204" s="368">
        <f t="shared" si="21"/>
        <v>-3.2515038205171987E-4</v>
      </c>
      <c r="AR204" s="368">
        <f t="shared" si="21"/>
        <v>-1.1383964872336838E-3</v>
      </c>
      <c r="AS204" s="368">
        <f t="shared" si="21"/>
        <v>-1.4653207424292214E-3</v>
      </c>
      <c r="AT204" s="368">
        <f t="shared" si="21"/>
        <v>-1.3044187184085843E-3</v>
      </c>
      <c r="AU204" s="368">
        <f t="shared" si="21"/>
        <v>-1.4693877551020806E-3</v>
      </c>
    </row>
    <row r="205" spans="1:47" x14ac:dyDescent="0.2">
      <c r="A205" s="343" t="s">
        <v>317</v>
      </c>
      <c r="B205" s="344"/>
      <c r="C205" s="345"/>
      <c r="D205" s="368">
        <f t="shared" ref="D205:AI205" si="22">SUM(D$123:D$127)/SUM(C$123:C$127)-1</f>
        <v>3.5775713794290454E-3</v>
      </c>
      <c r="E205" s="368">
        <f t="shared" si="22"/>
        <v>6.5812024405291769E-3</v>
      </c>
      <c r="F205" s="368">
        <f t="shared" si="22"/>
        <v>-3.4734046175849409E-3</v>
      </c>
      <c r="G205" s="368">
        <f t="shared" si="22"/>
        <v>1.7769272826681171E-2</v>
      </c>
      <c r="H205" s="368">
        <f t="shared" si="22"/>
        <v>2.0615095353209822E-2</v>
      </c>
      <c r="I205" s="368">
        <f t="shared" si="22"/>
        <v>1.8751233633791609E-2</v>
      </c>
      <c r="J205" s="368">
        <f t="shared" si="22"/>
        <v>9.8165848617928209E-3</v>
      </c>
      <c r="K205" s="368">
        <f t="shared" si="22"/>
        <v>-6.3954975697111394E-5</v>
      </c>
      <c r="L205" s="368">
        <f t="shared" si="22"/>
        <v>-8.3146786056923494E-3</v>
      </c>
      <c r="M205" s="368">
        <f t="shared" si="22"/>
        <v>-1.4253466623669775E-2</v>
      </c>
      <c r="N205" s="368">
        <f t="shared" si="22"/>
        <v>-1.1122742737503244E-2</v>
      </c>
      <c r="O205" s="368">
        <f t="shared" si="22"/>
        <v>-1.1181685854174894E-2</v>
      </c>
      <c r="P205" s="368">
        <f t="shared" si="22"/>
        <v>-1.0705921712947486E-2</v>
      </c>
      <c r="Q205" s="368">
        <f t="shared" si="22"/>
        <v>-4.2610754142712315E-3</v>
      </c>
      <c r="R205" s="368">
        <f t="shared" si="22"/>
        <v>-3.1245754652899915E-3</v>
      </c>
      <c r="S205" s="368">
        <f t="shared" si="22"/>
        <v>-6.4731534478059682E-3</v>
      </c>
      <c r="T205" s="368">
        <f t="shared" si="22"/>
        <v>-6.1724161580138937E-3</v>
      </c>
      <c r="U205" s="368">
        <f t="shared" si="22"/>
        <v>3.9334759505900152E-3</v>
      </c>
      <c r="V205" s="368">
        <f t="shared" si="22"/>
        <v>-3.7805883970305487E-3</v>
      </c>
      <c r="W205" s="368">
        <f t="shared" si="22"/>
        <v>6.0718967777548816E-3</v>
      </c>
      <c r="X205" s="368">
        <f t="shared" si="22"/>
        <v>1.9477402098621477E-2</v>
      </c>
      <c r="Y205" s="368">
        <f t="shared" si="22"/>
        <v>2.0047090480995733E-2</v>
      </c>
      <c r="Z205" s="368">
        <f t="shared" si="22"/>
        <v>1.2662401899360187E-2</v>
      </c>
      <c r="AA205" s="368">
        <f t="shared" si="22"/>
        <v>1.1396939107782389E-2</v>
      </c>
      <c r="AB205" s="368">
        <f t="shared" si="22"/>
        <v>3.5415325177077239E-3</v>
      </c>
      <c r="AC205" s="368">
        <f t="shared" si="22"/>
        <v>-4.6839910170035637E-3</v>
      </c>
      <c r="AD205" s="368">
        <f t="shared" si="22"/>
        <v>-6.6400206291903352E-3</v>
      </c>
      <c r="AE205" s="368">
        <f t="shared" si="22"/>
        <v>-6.554610941657435E-3</v>
      </c>
      <c r="AF205" s="368">
        <f t="shared" si="22"/>
        <v>-5.2913509276195647E-3</v>
      </c>
      <c r="AG205" s="368">
        <f t="shared" si="22"/>
        <v>-4.1373875352991307E-3</v>
      </c>
      <c r="AH205" s="368">
        <f t="shared" si="22"/>
        <v>-3.0994460564495174E-3</v>
      </c>
      <c r="AI205" s="368">
        <f t="shared" si="22"/>
        <v>-2.0506714295164263E-3</v>
      </c>
      <c r="AJ205" s="368">
        <f t="shared" ref="AJ205:AU205" si="23">SUM(AJ$123:AJ$127)/SUM(AI$123:AI$127)-1</f>
        <v>-1.4583057139069266E-3</v>
      </c>
      <c r="AK205" s="368">
        <f t="shared" si="23"/>
        <v>-8.6298459904410318E-4</v>
      </c>
      <c r="AL205" s="368">
        <f t="shared" si="23"/>
        <v>-5.3152614444218482E-4</v>
      </c>
      <c r="AM205" s="368">
        <f t="shared" si="23"/>
        <v>-1.3295220368281235E-4</v>
      </c>
      <c r="AN205" s="368">
        <f t="shared" si="23"/>
        <v>-6.6484941160793731E-5</v>
      </c>
      <c r="AO205" s="368">
        <f t="shared" si="23"/>
        <v>6.6489361702171124E-5</v>
      </c>
      <c r="AP205" s="368">
        <f t="shared" si="23"/>
        <v>1.9945482348249222E-4</v>
      </c>
      <c r="AQ205" s="368">
        <f t="shared" si="23"/>
        <v>1.9941504918907782E-4</v>
      </c>
      <c r="AR205" s="368">
        <f t="shared" si="23"/>
        <v>1.9937529075564342E-4</v>
      </c>
      <c r="AS205" s="368">
        <f t="shared" si="23"/>
        <v>0</v>
      </c>
      <c r="AT205" s="368">
        <f t="shared" si="23"/>
        <v>-3.3222591362125353E-4</v>
      </c>
      <c r="AU205" s="368">
        <f t="shared" si="23"/>
        <v>-7.3113991359252672E-4</v>
      </c>
    </row>
    <row r="206" spans="1:47" x14ac:dyDescent="0.2">
      <c r="A206" s="343" t="s">
        <v>319</v>
      </c>
      <c r="B206" s="344"/>
      <c r="C206" s="345"/>
      <c r="D206" s="368">
        <f t="shared" ref="D206:AI206" si="24">SUM(D$128:D$132)/SUM(C$128:C$132)-1</f>
        <v>1.7440119760478989E-2</v>
      </c>
      <c r="E206" s="368">
        <f t="shared" si="24"/>
        <v>2.2438019568895795E-2</v>
      </c>
      <c r="F206" s="368">
        <f t="shared" si="24"/>
        <v>1.0577061447690328E-2</v>
      </c>
      <c r="G206" s="368">
        <f t="shared" si="24"/>
        <v>1.2175151299394837E-2</v>
      </c>
      <c r="H206" s="368">
        <f t="shared" si="24"/>
        <v>7.5970737197523786E-3</v>
      </c>
      <c r="I206" s="368">
        <f t="shared" si="24"/>
        <v>-1.5358838313320744E-3</v>
      </c>
      <c r="J206" s="368">
        <f t="shared" si="24"/>
        <v>2.167529016920744E-3</v>
      </c>
      <c r="K206" s="368">
        <f t="shared" si="24"/>
        <v>8.9304402427963225E-3</v>
      </c>
      <c r="L206" s="368">
        <f t="shared" si="24"/>
        <v>1.8048544360694363E-2</v>
      </c>
      <c r="M206" s="368">
        <f t="shared" si="24"/>
        <v>2.0785219399538146E-2</v>
      </c>
      <c r="N206" s="368">
        <f t="shared" si="24"/>
        <v>1.8964599414426297E-2</v>
      </c>
      <c r="O206" s="368">
        <f t="shared" si="24"/>
        <v>1.0122118461437957E-2</v>
      </c>
      <c r="P206" s="368">
        <f t="shared" si="24"/>
        <v>-2.5859839668995743E-4</v>
      </c>
      <c r="Q206" s="368">
        <f t="shared" si="24"/>
        <v>-8.212622866011432E-3</v>
      </c>
      <c r="R206" s="368">
        <f t="shared" si="24"/>
        <v>-1.434439590532699E-2</v>
      </c>
      <c r="S206" s="368">
        <f t="shared" si="24"/>
        <v>-1.1245617516703055E-2</v>
      </c>
      <c r="T206" s="368">
        <f t="shared" si="24"/>
        <v>-1.1306616712383755E-2</v>
      </c>
      <c r="U206" s="368">
        <f t="shared" si="24"/>
        <v>-1.0759236703207442E-2</v>
      </c>
      <c r="V206" s="368">
        <f t="shared" si="24"/>
        <v>-4.3094602914015567E-3</v>
      </c>
      <c r="W206" s="368">
        <f t="shared" si="24"/>
        <v>-3.1602088485848112E-3</v>
      </c>
      <c r="X206" s="368">
        <f t="shared" si="24"/>
        <v>-6.5472088215023927E-3</v>
      </c>
      <c r="Y206" s="368">
        <f t="shared" si="24"/>
        <v>-6.2434963579605096E-3</v>
      </c>
      <c r="Z206" s="368">
        <f t="shared" si="24"/>
        <v>4.0488656195463157E-3</v>
      </c>
      <c r="AA206" s="368">
        <f t="shared" si="24"/>
        <v>-3.7544323159285353E-3</v>
      </c>
      <c r="AB206" s="368">
        <f t="shared" si="24"/>
        <v>6.0716030427803158E-3</v>
      </c>
      <c r="AC206" s="368">
        <f t="shared" si="24"/>
        <v>1.9700332963374034E-2</v>
      </c>
      <c r="AD206" s="368">
        <f t="shared" si="24"/>
        <v>2.0272108843537362E-2</v>
      </c>
      <c r="AE206" s="368">
        <f t="shared" si="24"/>
        <v>1.2801706894252529E-2</v>
      </c>
      <c r="AF206" s="368">
        <f t="shared" si="24"/>
        <v>1.1586570111915773E-2</v>
      </c>
      <c r="AG206" s="368">
        <f t="shared" si="24"/>
        <v>3.5793309904985637E-3</v>
      </c>
      <c r="AH206" s="368">
        <f t="shared" si="24"/>
        <v>-4.7338045522339334E-3</v>
      </c>
      <c r="AI206" s="368">
        <f t="shared" si="24"/>
        <v>-6.6458170445660159E-3</v>
      </c>
      <c r="AJ206" s="368">
        <f t="shared" ref="AJ206:AU206" si="25">SUM(AJ$128:AJ$132)/SUM(AI$128:AI$132)-1</f>
        <v>-6.6246884428702302E-3</v>
      </c>
      <c r="AK206" s="368">
        <f t="shared" si="25"/>
        <v>-5.3482997689006107E-3</v>
      </c>
      <c r="AL206" s="368">
        <f t="shared" si="25"/>
        <v>-4.2485395645246449E-3</v>
      </c>
      <c r="AM206" s="368">
        <f t="shared" si="25"/>
        <v>-3.0000000000000027E-3</v>
      </c>
      <c r="AN206" s="368">
        <f t="shared" si="25"/>
        <v>-2.2734871280508662E-3</v>
      </c>
      <c r="AO206" s="368">
        <f t="shared" si="25"/>
        <v>-1.4074123718249565E-3</v>
      </c>
      <c r="AP206" s="368">
        <f t="shared" si="25"/>
        <v>-8.0536912751683065E-4</v>
      </c>
      <c r="AQ206" s="368">
        <f t="shared" si="25"/>
        <v>-5.3734551316497736E-4</v>
      </c>
      <c r="AR206" s="368">
        <f t="shared" si="25"/>
        <v>-1.3440860215052641E-4</v>
      </c>
      <c r="AS206" s="368">
        <f t="shared" si="25"/>
        <v>-6.7213335125715368E-5</v>
      </c>
      <c r="AT206" s="368">
        <f t="shared" si="25"/>
        <v>6.7217853061851685E-5</v>
      </c>
      <c r="AU206" s="368">
        <f t="shared" si="25"/>
        <v>2.6885334050286147E-4</v>
      </c>
    </row>
    <row r="207" spans="1:47" x14ac:dyDescent="0.2">
      <c r="A207" s="343" t="s">
        <v>321</v>
      </c>
      <c r="B207" s="344"/>
      <c r="C207" s="345"/>
      <c r="D207" s="368">
        <f t="shared" ref="D207:AI207" si="26">SUM(D$133:D$137)/SUM(C$133:C$137)-1</f>
        <v>-2.9527690560491648E-2</v>
      </c>
      <c r="E207" s="368">
        <f t="shared" si="26"/>
        <v>-2.6502374888139335E-2</v>
      </c>
      <c r="F207" s="368">
        <f t="shared" si="26"/>
        <v>-5.9397539244803177E-3</v>
      </c>
      <c r="G207" s="368">
        <f t="shared" si="26"/>
        <v>-1.4226774790160324E-4</v>
      </c>
      <c r="H207" s="368">
        <f t="shared" si="26"/>
        <v>1.1454183266932372E-2</v>
      </c>
      <c r="I207" s="368">
        <f t="shared" si="26"/>
        <v>1.4630372089751598E-2</v>
      </c>
      <c r="J207" s="368">
        <f t="shared" si="26"/>
        <v>2.1837088388214854E-2</v>
      </c>
      <c r="K207" s="368">
        <f t="shared" si="26"/>
        <v>1.3432835820895495E-2</v>
      </c>
      <c r="L207" s="368">
        <f t="shared" si="26"/>
        <v>1.1514258936939248E-2</v>
      </c>
      <c r="M207" s="368">
        <f t="shared" si="26"/>
        <v>7.2799470549305134E-3</v>
      </c>
      <c r="N207" s="368">
        <f t="shared" si="26"/>
        <v>-1.5111695137975945E-3</v>
      </c>
      <c r="O207" s="368">
        <f t="shared" si="26"/>
        <v>2.0398762913733659E-3</v>
      </c>
      <c r="P207" s="368">
        <f t="shared" si="26"/>
        <v>8.4712371946413789E-3</v>
      </c>
      <c r="Q207" s="368">
        <f t="shared" si="26"/>
        <v>1.6995506934948335E-2</v>
      </c>
      <c r="R207" s="368">
        <f t="shared" si="26"/>
        <v>1.959277756434874E-2</v>
      </c>
      <c r="S207" s="368">
        <f t="shared" si="26"/>
        <v>1.7960311479527702E-2</v>
      </c>
      <c r="T207" s="368">
        <f t="shared" si="26"/>
        <v>9.4386181369525701E-3</v>
      </c>
      <c r="U207" s="368">
        <f t="shared" si="26"/>
        <v>-6.1113487746733419E-5</v>
      </c>
      <c r="V207" s="368">
        <f t="shared" si="26"/>
        <v>-7.8841217455078993E-3</v>
      </c>
      <c r="W207" s="368">
        <f t="shared" si="26"/>
        <v>-1.3367830961621419E-2</v>
      </c>
      <c r="X207" s="368">
        <f t="shared" si="26"/>
        <v>-1.0676823176823169E-2</v>
      </c>
      <c r="Y207" s="368">
        <f t="shared" si="26"/>
        <v>-1.066582518144521E-2</v>
      </c>
      <c r="Z207" s="368">
        <f t="shared" si="26"/>
        <v>-1.0079101811686697E-2</v>
      </c>
      <c r="AA207" s="368">
        <f t="shared" si="26"/>
        <v>-3.9953602268333333E-3</v>
      </c>
      <c r="AB207" s="368">
        <f t="shared" si="26"/>
        <v>-2.9761904761904656E-3</v>
      </c>
      <c r="AC207" s="368">
        <f t="shared" si="26"/>
        <v>-6.0350421804022947E-3</v>
      </c>
      <c r="AD207" s="368">
        <f t="shared" si="26"/>
        <v>-5.941111183652148E-3</v>
      </c>
      <c r="AE207" s="368">
        <f t="shared" si="26"/>
        <v>3.8749507421516061E-3</v>
      </c>
      <c r="AF207" s="368">
        <f t="shared" si="26"/>
        <v>-3.5982989859338899E-3</v>
      </c>
      <c r="AG207" s="368">
        <f t="shared" si="26"/>
        <v>5.7124097176624034E-3</v>
      </c>
      <c r="AH207" s="368">
        <f t="shared" si="26"/>
        <v>1.8476202911797301E-2</v>
      </c>
      <c r="AI207" s="368">
        <f t="shared" si="26"/>
        <v>1.9166666666666776E-2</v>
      </c>
      <c r="AJ207" s="368">
        <f t="shared" ref="AJ207:AU207" si="27">SUM(AJ$133:AJ$137)/SUM(AI$133:AI$137)-1</f>
        <v>1.2139128247059539E-2</v>
      </c>
      <c r="AK207" s="368">
        <f t="shared" si="27"/>
        <v>1.0874968928660245E-2</v>
      </c>
      <c r="AL207" s="368">
        <f t="shared" si="27"/>
        <v>3.4425524067129842E-3</v>
      </c>
      <c r="AM207" s="368">
        <f t="shared" si="27"/>
        <v>-4.5334803651289057E-3</v>
      </c>
      <c r="AN207" s="368">
        <f t="shared" si="27"/>
        <v>-6.3388516216382751E-3</v>
      </c>
      <c r="AO207" s="368">
        <f t="shared" si="27"/>
        <v>-6.1315496098104383E-3</v>
      </c>
      <c r="AP207" s="368">
        <f t="shared" si="27"/>
        <v>-5.0476724621424385E-3</v>
      </c>
      <c r="AQ207" s="368">
        <f t="shared" si="27"/>
        <v>-3.9458850056369732E-3</v>
      </c>
      <c r="AR207" s="368">
        <f t="shared" si="27"/>
        <v>-2.9554172168773096E-3</v>
      </c>
      <c r="AS207" s="368">
        <f t="shared" si="27"/>
        <v>-1.9550958627648773E-3</v>
      </c>
      <c r="AT207" s="368">
        <f t="shared" si="27"/>
        <v>-1.3270142180095146E-3</v>
      </c>
      <c r="AU207" s="368">
        <f t="shared" si="27"/>
        <v>-8.858516831181662E-4</v>
      </c>
    </row>
    <row r="208" spans="1:47" x14ac:dyDescent="0.2">
      <c r="A208" s="343" t="s">
        <v>322</v>
      </c>
      <c r="B208" s="344"/>
      <c r="C208" s="345"/>
      <c r="D208" s="368">
        <f t="shared" ref="D208:AI208" si="28">SUM(D$138:D$142)/SUM(C$138:C$142)-1</f>
        <v>7.2206584261411688E-3</v>
      </c>
      <c r="E208" s="368">
        <f t="shared" si="28"/>
        <v>-5.2855407047387448E-3</v>
      </c>
      <c r="F208" s="368">
        <f t="shared" si="28"/>
        <v>-8.7949673242533333E-3</v>
      </c>
      <c r="G208" s="368">
        <f t="shared" si="28"/>
        <v>-1.6452030316100763E-2</v>
      </c>
      <c r="H208" s="368">
        <f t="shared" si="28"/>
        <v>-3.0509961157749621E-2</v>
      </c>
      <c r="I208" s="368">
        <f t="shared" si="28"/>
        <v>-2.7722132471728611E-2</v>
      </c>
      <c r="J208" s="368">
        <f t="shared" si="28"/>
        <v>-2.2397979529443002E-2</v>
      </c>
      <c r="K208" s="368">
        <f t="shared" si="28"/>
        <v>-8.4981983819429896E-3</v>
      </c>
      <c r="L208" s="368">
        <f t="shared" si="28"/>
        <v>-1.3713658804170858E-4</v>
      </c>
      <c r="M208" s="368">
        <f t="shared" si="28"/>
        <v>1.1178164860787376E-2</v>
      </c>
      <c r="N208" s="368">
        <f t="shared" si="28"/>
        <v>1.4038657171922653E-2</v>
      </c>
      <c r="O208" s="368">
        <f t="shared" si="28"/>
        <v>2.1134296415195264E-2</v>
      </c>
      <c r="P208" s="368">
        <f t="shared" si="28"/>
        <v>1.2837306785433489E-2</v>
      </c>
      <c r="Q208" s="368">
        <f t="shared" si="28"/>
        <v>1.1251939989653348E-2</v>
      </c>
      <c r="R208" s="368">
        <f t="shared" si="28"/>
        <v>6.9062539966746606E-3</v>
      </c>
      <c r="S208" s="368">
        <f t="shared" si="28"/>
        <v>-1.3336720436936123E-3</v>
      </c>
      <c r="T208" s="368">
        <f t="shared" si="28"/>
        <v>2.1621621621621401E-3</v>
      </c>
      <c r="U208" s="368">
        <f t="shared" si="28"/>
        <v>8.0588869852147305E-3</v>
      </c>
      <c r="V208" s="368">
        <f t="shared" si="28"/>
        <v>1.6429560619413364E-2</v>
      </c>
      <c r="W208" s="368">
        <f t="shared" si="28"/>
        <v>1.9012819718833285E-2</v>
      </c>
      <c r="X208" s="368">
        <f t="shared" si="28"/>
        <v>1.7199465175641082E-2</v>
      </c>
      <c r="Y208" s="368">
        <f t="shared" si="28"/>
        <v>9.2609189221486421E-3</v>
      </c>
      <c r="Z208" s="368">
        <f t="shared" si="28"/>
        <v>0</v>
      </c>
      <c r="AA208" s="368">
        <f t="shared" si="28"/>
        <v>-7.5775515036703434E-3</v>
      </c>
      <c r="AB208" s="368">
        <f t="shared" si="28"/>
        <v>-1.3063707945597747E-2</v>
      </c>
      <c r="AC208" s="368">
        <f t="shared" si="28"/>
        <v>-1.015412511332725E-2</v>
      </c>
      <c r="AD208" s="368">
        <f t="shared" si="28"/>
        <v>-1.0258289063931114E-2</v>
      </c>
      <c r="AE208" s="368">
        <f t="shared" si="28"/>
        <v>-9.6242828058485941E-3</v>
      </c>
      <c r="AF208" s="368">
        <f t="shared" si="28"/>
        <v>-3.924500093440475E-3</v>
      </c>
      <c r="AG208" s="368">
        <f t="shared" si="28"/>
        <v>-2.8142589118198558E-3</v>
      </c>
      <c r="AH208" s="368">
        <f t="shared" si="28"/>
        <v>-5.895264973345915E-3</v>
      </c>
      <c r="AI208" s="368">
        <f t="shared" si="28"/>
        <v>-5.6147877105545696E-3</v>
      </c>
      <c r="AJ208" s="368">
        <f t="shared" ref="AJ208:AU208" si="29">SUM(AJ$138:AJ$142)/SUM(AI$138:AI$142)-1</f>
        <v>3.7431797995177707E-3</v>
      </c>
      <c r="AK208" s="368">
        <f t="shared" si="29"/>
        <v>-3.4763921370331019E-3</v>
      </c>
      <c r="AL208" s="368">
        <f t="shared" si="29"/>
        <v>5.5816313586198874E-3</v>
      </c>
      <c r="AM208" s="368">
        <f t="shared" si="29"/>
        <v>1.7850384760943694E-2</v>
      </c>
      <c r="AN208" s="368">
        <f t="shared" si="29"/>
        <v>1.8466877362582901E-2</v>
      </c>
      <c r="AO208" s="368">
        <f t="shared" si="29"/>
        <v>1.1682385153635622E-2</v>
      </c>
      <c r="AP208" s="368">
        <f t="shared" si="29"/>
        <v>1.0585192758765904E-2</v>
      </c>
      <c r="AQ208" s="368">
        <f t="shared" si="29"/>
        <v>3.332738201511587E-3</v>
      </c>
      <c r="AR208" s="368">
        <f t="shared" si="29"/>
        <v>-4.2707159380745985E-3</v>
      </c>
      <c r="AS208" s="368">
        <f t="shared" si="29"/>
        <v>-6.1357002442365971E-3</v>
      </c>
      <c r="AT208" s="368">
        <f t="shared" si="29"/>
        <v>-5.9937664828578763E-3</v>
      </c>
      <c r="AU208" s="368">
        <f t="shared" si="29"/>
        <v>-4.8239266763144828E-3</v>
      </c>
    </row>
    <row r="209" spans="1:47" x14ac:dyDescent="0.2">
      <c r="A209" s="343" t="s">
        <v>325</v>
      </c>
      <c r="B209" s="344"/>
      <c r="C209" s="345"/>
      <c r="D209" s="368">
        <f t="shared" ref="D209:AI209" si="30">SUM(D$143:D$147)/SUM(C$143:C$147)-1</f>
        <v>-1.026780353068335E-2</v>
      </c>
      <c r="E209" s="368">
        <f t="shared" si="30"/>
        <v>-1.2679730631559805E-2</v>
      </c>
      <c r="F209" s="368">
        <f t="shared" si="30"/>
        <v>8.6026791200688457E-4</v>
      </c>
      <c r="G209" s="368">
        <f t="shared" si="30"/>
        <v>3.9906679764243336E-3</v>
      </c>
      <c r="H209" s="368">
        <f t="shared" si="30"/>
        <v>1.2230171833914172E-2</v>
      </c>
      <c r="I209" s="368">
        <f t="shared" si="30"/>
        <v>7.73273726816881E-3</v>
      </c>
      <c r="J209" s="368">
        <f t="shared" si="30"/>
        <v>-2.0981955518254436E-3</v>
      </c>
      <c r="K209" s="368">
        <f t="shared" si="30"/>
        <v>-1.1354079058031985E-2</v>
      </c>
      <c r="L209" s="368">
        <f t="shared" si="30"/>
        <v>-1.6102570334811883E-2</v>
      </c>
      <c r="M209" s="368">
        <f t="shared" si="30"/>
        <v>-2.9891304347826053E-2</v>
      </c>
      <c r="N209" s="368">
        <f t="shared" si="30"/>
        <v>-2.7119938884644812E-2</v>
      </c>
      <c r="O209" s="368">
        <f t="shared" si="30"/>
        <v>-2.1790341578327488E-2</v>
      </c>
      <c r="P209" s="368">
        <f t="shared" si="30"/>
        <v>-8.3617633286507953E-3</v>
      </c>
      <c r="Q209" s="368">
        <f t="shared" si="30"/>
        <v>-6.7458175930901199E-5</v>
      </c>
      <c r="R209" s="368">
        <f t="shared" si="30"/>
        <v>1.0996424475477218E-2</v>
      </c>
      <c r="S209" s="368">
        <f t="shared" si="30"/>
        <v>1.401307887361547E-2</v>
      </c>
      <c r="T209" s="368">
        <f t="shared" si="30"/>
        <v>2.0663332455909345E-2</v>
      </c>
      <c r="U209" s="368">
        <f t="shared" si="30"/>
        <v>1.2765957446808418E-2</v>
      </c>
      <c r="V209" s="368">
        <f t="shared" si="30"/>
        <v>1.0886172650878434E-2</v>
      </c>
      <c r="W209" s="368">
        <f t="shared" si="30"/>
        <v>6.9273883745828435E-3</v>
      </c>
      <c r="X209" s="368">
        <f t="shared" si="30"/>
        <v>-1.2508599662267583E-3</v>
      </c>
      <c r="Y209" s="368">
        <f t="shared" si="30"/>
        <v>2.0665038512117651E-3</v>
      </c>
      <c r="Z209" s="368">
        <f t="shared" si="30"/>
        <v>8.1864766904136133E-3</v>
      </c>
      <c r="AA209" s="368">
        <f t="shared" si="30"/>
        <v>1.6054050703526945E-2</v>
      </c>
      <c r="AB209" s="368">
        <f t="shared" si="30"/>
        <v>1.8667642752562275E-2</v>
      </c>
      <c r="AC209" s="368">
        <f t="shared" si="30"/>
        <v>1.6948137501497262E-2</v>
      </c>
      <c r="AD209" s="368">
        <f t="shared" si="30"/>
        <v>9.12784877215711E-3</v>
      </c>
      <c r="AE209" s="368">
        <f t="shared" si="30"/>
        <v>0</v>
      </c>
      <c r="AF209" s="368">
        <f t="shared" si="30"/>
        <v>-7.4696545284780314E-3</v>
      </c>
      <c r="AG209" s="368">
        <f t="shared" si="30"/>
        <v>-1.2641110065851335E-2</v>
      </c>
      <c r="AH209" s="368">
        <f t="shared" si="30"/>
        <v>-1.000416840350149E-2</v>
      </c>
      <c r="AI209" s="368">
        <f t="shared" si="30"/>
        <v>-1.0045112781954857E-2</v>
      </c>
      <c r="AJ209" s="368">
        <f t="shared" ref="AJ209:AU209" si="31">SUM(AJ$143:AJ$147)/SUM(AI$143:AI$147)-1</f>
        <v>-9.4179122615141164E-3</v>
      </c>
      <c r="AK209" s="368">
        <f t="shared" si="31"/>
        <v>-3.8029810464331737E-3</v>
      </c>
      <c r="AL209" s="368">
        <f t="shared" si="31"/>
        <v>-2.8323379102271895E-3</v>
      </c>
      <c r="AM209" s="368">
        <f t="shared" si="31"/>
        <v>-5.6807656684161323E-3</v>
      </c>
      <c r="AN209" s="368">
        <f t="shared" si="31"/>
        <v>-5.4648202198348539E-3</v>
      </c>
      <c r="AO209" s="368">
        <f t="shared" si="31"/>
        <v>3.6216047455510658E-3</v>
      </c>
      <c r="AP209" s="368">
        <f t="shared" si="31"/>
        <v>-3.2974553599203205E-3</v>
      </c>
      <c r="AQ209" s="368">
        <f t="shared" si="31"/>
        <v>5.4307116104868047E-3</v>
      </c>
      <c r="AR209" s="368">
        <f t="shared" si="31"/>
        <v>1.7570000620848125E-2</v>
      </c>
      <c r="AS209" s="368">
        <f t="shared" si="31"/>
        <v>1.8120805369127524E-2</v>
      </c>
      <c r="AT209" s="368">
        <f t="shared" si="31"/>
        <v>1.1505962725474994E-2</v>
      </c>
      <c r="AU209" s="368">
        <f t="shared" si="31"/>
        <v>1.03679127910421E-2</v>
      </c>
    </row>
    <row r="210" spans="1:47" x14ac:dyDescent="0.2">
      <c r="A210" s="343" t="s">
        <v>326</v>
      </c>
      <c r="B210" s="344"/>
      <c r="C210" s="345"/>
      <c r="D210" s="368">
        <f t="shared" ref="D210:AI210" si="32">SUM(D$148:D$152)/SUM(C$148:C$152)-1</f>
        <v>2.9029157321371457E-2</v>
      </c>
      <c r="E210" s="368">
        <f t="shared" si="32"/>
        <v>2.4536056794121297E-2</v>
      </c>
      <c r="F210" s="368">
        <f t="shared" si="32"/>
        <v>1.3797714563578811E-2</v>
      </c>
      <c r="G210" s="368">
        <f t="shared" si="32"/>
        <v>3.1776485400802912E-3</v>
      </c>
      <c r="H210" s="368">
        <f t="shared" si="32"/>
        <v>-8.0683719818311905E-3</v>
      </c>
      <c r="I210" s="368">
        <f t="shared" si="32"/>
        <v>-1.0303066819304707E-2</v>
      </c>
      <c r="J210" s="368">
        <f t="shared" si="32"/>
        <v>-9.6188968708145195E-3</v>
      </c>
      <c r="K210" s="368">
        <f t="shared" si="32"/>
        <v>-9.8352594049666564E-4</v>
      </c>
      <c r="L210" s="368">
        <f t="shared" si="32"/>
        <v>4.0610386413979516E-3</v>
      </c>
      <c r="M210" s="368">
        <f t="shared" si="32"/>
        <v>1.2256403971074858E-2</v>
      </c>
      <c r="N210" s="368">
        <f t="shared" si="32"/>
        <v>7.8096621867054239E-3</v>
      </c>
      <c r="O210" s="368">
        <f t="shared" si="32"/>
        <v>-1.9222682765663857E-3</v>
      </c>
      <c r="P210" s="368">
        <f t="shared" si="32"/>
        <v>-1.1254890159494435E-2</v>
      </c>
      <c r="Q210" s="368">
        <f t="shared" si="32"/>
        <v>-1.5948380813245677E-2</v>
      </c>
      <c r="R210" s="368">
        <f t="shared" si="32"/>
        <v>-2.9630087838673713E-2</v>
      </c>
      <c r="S210" s="368">
        <f t="shared" si="32"/>
        <v>-2.690125581691849E-2</v>
      </c>
      <c r="T210" s="368">
        <f t="shared" si="32"/>
        <v>-2.1618080576482179E-2</v>
      </c>
      <c r="U210" s="368">
        <f t="shared" si="32"/>
        <v>-8.1687311683963371E-3</v>
      </c>
      <c r="V210" s="368">
        <f t="shared" si="32"/>
        <v>6.750826976298363E-5</v>
      </c>
      <c r="W210" s="368">
        <f t="shared" si="32"/>
        <v>1.1070608883488653E-2</v>
      </c>
      <c r="X210" s="368">
        <f t="shared" si="32"/>
        <v>1.3820269728935797E-2</v>
      </c>
      <c r="Y210" s="368">
        <f t="shared" si="32"/>
        <v>2.067830095488965E-2</v>
      </c>
      <c r="Z210" s="368">
        <f t="shared" si="32"/>
        <v>1.2839538034711939E-2</v>
      </c>
      <c r="AA210" s="368">
        <f t="shared" si="32"/>
        <v>1.1020512167155161E-2</v>
      </c>
      <c r="AB210" s="368">
        <f t="shared" si="32"/>
        <v>6.8048642177556129E-3</v>
      </c>
      <c r="AC210" s="368">
        <f t="shared" si="32"/>
        <v>-1.1890606420927874E-3</v>
      </c>
      <c r="AD210" s="368">
        <f t="shared" si="32"/>
        <v>2.0676691729324403E-3</v>
      </c>
      <c r="AE210" s="368">
        <f t="shared" si="32"/>
        <v>8.1285562433563996E-3</v>
      </c>
      <c r="AF210" s="368">
        <f t="shared" si="32"/>
        <v>1.6126031135644814E-2</v>
      </c>
      <c r="AG210" s="368">
        <f t="shared" si="32"/>
        <v>1.8738936702679565E-2</v>
      </c>
      <c r="AH210" s="368">
        <f t="shared" si="32"/>
        <v>1.6956261234271963E-2</v>
      </c>
      <c r="AI210" s="368">
        <f t="shared" si="32"/>
        <v>9.0732339598185163E-3</v>
      </c>
      <c r="AJ210" s="368">
        <f t="shared" ref="AJ210:AU210" si="33">SUM(AJ$148:AJ$152)/SUM(AI$148:AI$152)-1</f>
        <v>0</v>
      </c>
      <c r="AK210" s="368">
        <f t="shared" si="33"/>
        <v>-7.2984177030419595E-3</v>
      </c>
      <c r="AL210" s="368">
        <f t="shared" si="33"/>
        <v>-1.2645571109281217E-2</v>
      </c>
      <c r="AM210" s="368">
        <f t="shared" si="33"/>
        <v>-9.9481741824030134E-3</v>
      </c>
      <c r="AN210" s="368">
        <f t="shared" si="33"/>
        <v>-9.8074608904933358E-3</v>
      </c>
      <c r="AO210" s="368">
        <f t="shared" si="33"/>
        <v>-9.5400133681715626E-3</v>
      </c>
      <c r="AP210" s="368">
        <f t="shared" si="33"/>
        <v>-3.6196319018404477E-3</v>
      </c>
      <c r="AQ210" s="368">
        <f t="shared" si="33"/>
        <v>-2.7091927836956353E-3</v>
      </c>
      <c r="AR210" s="368">
        <f t="shared" si="33"/>
        <v>-5.6800642094214648E-3</v>
      </c>
      <c r="AS210" s="368">
        <f t="shared" si="33"/>
        <v>-5.4641415709406616E-3</v>
      </c>
      <c r="AT210" s="368">
        <f t="shared" si="33"/>
        <v>3.6211525254417065E-3</v>
      </c>
      <c r="AU210" s="368">
        <f t="shared" si="33"/>
        <v>-3.1726283048211235E-3</v>
      </c>
    </row>
    <row r="211" spans="1:47" x14ac:dyDescent="0.2">
      <c r="A211" s="343" t="s">
        <v>327</v>
      </c>
      <c r="B211" s="344"/>
      <c r="C211" s="345"/>
      <c r="D211" s="368">
        <f t="shared" ref="D211:AI211" si="34">SUM(D$153:D$157)/SUM(C$153:C$157)-1</f>
        <v>2.5573917595154372E-2</v>
      </c>
      <c r="E211" s="368">
        <f t="shared" si="34"/>
        <v>2.6613197229310881E-2</v>
      </c>
      <c r="F211" s="368">
        <f t="shared" si="34"/>
        <v>3.0113636363636287E-2</v>
      </c>
      <c r="G211" s="368">
        <f t="shared" si="34"/>
        <v>2.6958080529509099E-2</v>
      </c>
      <c r="H211" s="368">
        <f t="shared" si="34"/>
        <v>3.0412890231621414E-2</v>
      </c>
      <c r="I211" s="368">
        <f t="shared" si="34"/>
        <v>2.9841021631482834E-2</v>
      </c>
      <c r="J211" s="368">
        <f t="shared" si="34"/>
        <v>2.6698722004302233E-2</v>
      </c>
      <c r="K211" s="368">
        <f t="shared" si="34"/>
        <v>1.2570865171308787E-2</v>
      </c>
      <c r="L211" s="368">
        <f t="shared" si="34"/>
        <v>3.3471275559882052E-3</v>
      </c>
      <c r="M211" s="368">
        <f t="shared" si="34"/>
        <v>-7.9456541517559653E-3</v>
      </c>
      <c r="N211" s="368">
        <f t="shared" si="34"/>
        <v>-1.0210320371728976E-2</v>
      </c>
      <c r="O211" s="368">
        <f t="shared" si="34"/>
        <v>-9.5126320340972459E-3</v>
      </c>
      <c r="P211" s="368">
        <f t="shared" si="34"/>
        <v>-8.1072653570313236E-4</v>
      </c>
      <c r="Q211" s="368">
        <f t="shared" si="34"/>
        <v>4.3689926351266894E-3</v>
      </c>
      <c r="R211" s="368">
        <f t="shared" si="34"/>
        <v>1.2428535918468819E-2</v>
      </c>
      <c r="S211" s="368">
        <f t="shared" si="34"/>
        <v>7.979376381045844E-3</v>
      </c>
      <c r="T211" s="368">
        <f t="shared" si="34"/>
        <v>-1.7659237608086409E-3</v>
      </c>
      <c r="U211" s="368">
        <f t="shared" si="34"/>
        <v>-1.1285304703226973E-2</v>
      </c>
      <c r="V211" s="368">
        <f t="shared" si="34"/>
        <v>-1.5856367226061208E-2</v>
      </c>
      <c r="W211" s="368">
        <f t="shared" si="34"/>
        <v>-2.9653313271895132E-2</v>
      </c>
      <c r="X211" s="368">
        <f t="shared" si="34"/>
        <v>-2.6812249644656894E-2</v>
      </c>
      <c r="Y211" s="368">
        <f t="shared" si="34"/>
        <v>-2.1708822943636741E-2</v>
      </c>
      <c r="Z211" s="368">
        <f t="shared" si="34"/>
        <v>-8.0076004343104801E-3</v>
      </c>
      <c r="AA211" s="368">
        <f t="shared" si="34"/>
        <v>1.3681762210970838E-4</v>
      </c>
      <c r="AB211" s="368">
        <f t="shared" si="34"/>
        <v>1.114911080711356E-2</v>
      </c>
      <c r="AC211" s="368">
        <f t="shared" si="34"/>
        <v>1.4137861056619183E-2</v>
      </c>
      <c r="AD211" s="368">
        <f t="shared" si="34"/>
        <v>2.087780149413021E-2</v>
      </c>
      <c r="AE211" s="368">
        <f t="shared" si="34"/>
        <v>1.2936948709572071E-2</v>
      </c>
      <c r="AF211" s="368">
        <f t="shared" si="34"/>
        <v>1.1159130490872693E-2</v>
      </c>
      <c r="AG211" s="368">
        <f t="shared" si="34"/>
        <v>6.9533044143914591E-3</v>
      </c>
      <c r="AH211" s="368">
        <f t="shared" si="34"/>
        <v>-1.14032309154255E-3</v>
      </c>
      <c r="AI211" s="368">
        <f t="shared" si="34"/>
        <v>2.2198262193189322E-3</v>
      </c>
      <c r="AJ211" s="368">
        <f t="shared" ref="AJ211:AU211" si="35">SUM(AJ$153:AJ$157)/SUM(AI$153:AI$157)-1</f>
        <v>8.2900898620428265E-3</v>
      </c>
      <c r="AK211" s="368">
        <f t="shared" si="35"/>
        <v>1.6318333019519127E-2</v>
      </c>
      <c r="AL211" s="368">
        <f t="shared" si="35"/>
        <v>1.8773544124004227E-2</v>
      </c>
      <c r="AM211" s="368">
        <f t="shared" si="35"/>
        <v>1.7033400012123501E-2</v>
      </c>
      <c r="AN211" s="368">
        <f t="shared" si="35"/>
        <v>9.2382882345929396E-3</v>
      </c>
      <c r="AO211" s="368">
        <f t="shared" si="35"/>
        <v>5.90562806355166E-5</v>
      </c>
      <c r="AP211" s="368">
        <f t="shared" si="35"/>
        <v>-7.3815991496397615E-3</v>
      </c>
      <c r="AQ211" s="368">
        <f t="shared" si="35"/>
        <v>-1.2552799095722489E-2</v>
      </c>
      <c r="AR211" s="368">
        <f t="shared" si="35"/>
        <v>-9.9409567417760858E-3</v>
      </c>
      <c r="AS211" s="368">
        <f t="shared" si="35"/>
        <v>-9.9190652954420644E-3</v>
      </c>
      <c r="AT211" s="368">
        <f t="shared" si="35"/>
        <v>-9.4652735095267504E-3</v>
      </c>
      <c r="AU211" s="368">
        <f t="shared" si="35"/>
        <v>-3.598907917597427E-3</v>
      </c>
    </row>
    <row r="212" spans="1:47" x14ac:dyDescent="0.2">
      <c r="A212" s="343" t="s">
        <v>328</v>
      </c>
      <c r="B212" s="344"/>
      <c r="C212" s="345"/>
      <c r="D212" s="368">
        <f t="shared" ref="D212:AI212" si="36">SUM(D$158:D$162)/SUM(C$158:C$162)-1</f>
        <v>8.1347108110296773E-4</v>
      </c>
      <c r="E212" s="368">
        <f t="shared" si="36"/>
        <v>3.9014874420872925E-3</v>
      </c>
      <c r="F212" s="368">
        <f t="shared" si="36"/>
        <v>1.7974253096915138E-2</v>
      </c>
      <c r="G212" s="368">
        <f t="shared" si="36"/>
        <v>1.6543386622126732E-2</v>
      </c>
      <c r="H212" s="368">
        <f t="shared" si="36"/>
        <v>2.5428370237070563E-2</v>
      </c>
      <c r="I212" s="368">
        <f t="shared" si="36"/>
        <v>2.6629024874103457E-2</v>
      </c>
      <c r="J212" s="368">
        <f t="shared" si="36"/>
        <v>2.8316610925306573E-2</v>
      </c>
      <c r="K212" s="368">
        <f t="shared" si="36"/>
        <v>2.9343740965596998E-2</v>
      </c>
      <c r="L212" s="368">
        <f t="shared" si="36"/>
        <v>2.7313579553433609E-2</v>
      </c>
      <c r="M212" s="368">
        <f t="shared" si="36"/>
        <v>3.0688264643565111E-2</v>
      </c>
      <c r="N212" s="368">
        <f t="shared" si="36"/>
        <v>3.0305039787798416E-2</v>
      </c>
      <c r="O212" s="368">
        <f t="shared" si="36"/>
        <v>2.703224560726003E-2</v>
      </c>
      <c r="P212" s="368">
        <f t="shared" si="36"/>
        <v>1.2847026383405291E-2</v>
      </c>
      <c r="Q212" s="368">
        <f t="shared" si="36"/>
        <v>3.4649177082044513E-3</v>
      </c>
      <c r="R212" s="368">
        <f t="shared" si="36"/>
        <v>-7.707485509927281E-3</v>
      </c>
      <c r="S212" s="368">
        <f t="shared" si="36"/>
        <v>-1.0004349717268379E-2</v>
      </c>
      <c r="T212" s="368">
        <f t="shared" si="36"/>
        <v>-9.2894802912377727E-3</v>
      </c>
      <c r="U212" s="368">
        <f t="shared" si="36"/>
        <v>-5.7019766852506315E-4</v>
      </c>
      <c r="V212" s="368">
        <f t="shared" si="36"/>
        <v>4.50079239302692E-3</v>
      </c>
      <c r="W212" s="368">
        <f t="shared" si="36"/>
        <v>1.2747696579578527E-2</v>
      </c>
      <c r="X212" s="368">
        <f t="shared" si="36"/>
        <v>8.2253240279162032E-3</v>
      </c>
      <c r="Y212" s="368">
        <f t="shared" si="36"/>
        <v>-1.7305315203955951E-3</v>
      </c>
      <c r="Z212" s="368">
        <f t="shared" si="36"/>
        <v>-1.1144130757800852E-2</v>
      </c>
      <c r="AA212" s="368">
        <f t="shared" si="36"/>
        <v>-1.5840220385674897E-2</v>
      </c>
      <c r="AB212" s="368">
        <f t="shared" si="36"/>
        <v>-2.9582034480564956E-2</v>
      </c>
      <c r="AC212" s="368">
        <f t="shared" si="36"/>
        <v>-2.6747082732398009E-2</v>
      </c>
      <c r="AD212" s="368">
        <f t="shared" si="36"/>
        <v>-2.1487269298127387E-2</v>
      </c>
      <c r="AE212" s="368">
        <f t="shared" si="36"/>
        <v>-7.9851311351276655E-3</v>
      </c>
      <c r="AF212" s="368">
        <f t="shared" si="36"/>
        <v>3.4695718548327648E-4</v>
      </c>
      <c r="AG212" s="368">
        <f t="shared" si="36"/>
        <v>1.1306881243063227E-2</v>
      </c>
      <c r="AH212" s="368">
        <f t="shared" si="36"/>
        <v>1.4267096508676858E-2</v>
      </c>
      <c r="AI212" s="368">
        <f t="shared" si="36"/>
        <v>2.1031987556637599E-2</v>
      </c>
      <c r="AJ212" s="368">
        <f t="shared" ref="AJ212:AU212" si="37">SUM(AJ$158:AJ$162)/SUM(AI$158:AI$162)-1</f>
        <v>1.3180553715723908E-2</v>
      </c>
      <c r="AK212" s="368">
        <f t="shared" si="37"/>
        <v>1.111329018761853E-2</v>
      </c>
      <c r="AL212" s="368">
        <f t="shared" si="37"/>
        <v>7.1765694704855054E-3</v>
      </c>
      <c r="AM212" s="368">
        <f t="shared" si="37"/>
        <v>-1.0912825779946234E-3</v>
      </c>
      <c r="AN212" s="368">
        <f t="shared" si="37"/>
        <v>2.3134759976866093E-3</v>
      </c>
      <c r="AO212" s="368">
        <f t="shared" si="37"/>
        <v>8.3349362056805987E-3</v>
      </c>
      <c r="AP212" s="368">
        <f t="shared" si="37"/>
        <v>1.6532078590958177E-2</v>
      </c>
      <c r="AQ212" s="368">
        <f t="shared" si="37"/>
        <v>1.889034840808157E-2</v>
      </c>
      <c r="AR212" s="368">
        <f t="shared" si="37"/>
        <v>1.7128123273374651E-2</v>
      </c>
      <c r="AS212" s="368">
        <f t="shared" si="37"/>
        <v>9.2950265572186996E-3</v>
      </c>
      <c r="AT212" s="368">
        <f t="shared" si="37"/>
        <v>5.9801459155517378E-5</v>
      </c>
      <c r="AU212" s="368">
        <f t="shared" si="37"/>
        <v>-7.2953417449022062E-3</v>
      </c>
    </row>
    <row r="213" spans="1:47" x14ac:dyDescent="0.2">
      <c r="A213" s="343" t="s">
        <v>329</v>
      </c>
      <c r="B213" s="344"/>
      <c r="C213" s="345"/>
      <c r="D213" s="368">
        <f t="shared" ref="D213:AI213" si="38">SUM(D$163:D$167)/SUM(C$163:C$167)-1</f>
        <v>5.8469656992084396E-2</v>
      </c>
      <c r="E213" s="368">
        <f t="shared" si="38"/>
        <v>7.2190647123342222E-2</v>
      </c>
      <c r="F213" s="368">
        <f t="shared" si="38"/>
        <v>4.4917697386775757E-2</v>
      </c>
      <c r="G213" s="368">
        <f t="shared" si="38"/>
        <v>4.2096831612673524E-2</v>
      </c>
      <c r="H213" s="368">
        <f t="shared" si="38"/>
        <v>2.9464514476044146E-2</v>
      </c>
      <c r="I213" s="368">
        <f t="shared" si="38"/>
        <v>1.0784801725567394E-3</v>
      </c>
      <c r="J213" s="368">
        <f t="shared" si="38"/>
        <v>5.5523328084858825E-3</v>
      </c>
      <c r="K213" s="368">
        <f t="shared" si="38"/>
        <v>1.7883632767430324E-2</v>
      </c>
      <c r="L213" s="368">
        <f t="shared" si="38"/>
        <v>1.7002671848433293E-2</v>
      </c>
      <c r="M213" s="368">
        <f t="shared" si="38"/>
        <v>2.5634901679802535E-2</v>
      </c>
      <c r="N213" s="368">
        <f t="shared" si="38"/>
        <v>2.708996351781412E-2</v>
      </c>
      <c r="O213" s="368">
        <f t="shared" si="38"/>
        <v>2.8415961305924942E-2</v>
      </c>
      <c r="P213" s="368">
        <f t="shared" si="38"/>
        <v>2.961493239271018E-2</v>
      </c>
      <c r="Q213" s="368">
        <f t="shared" si="38"/>
        <v>2.740703732781391E-2</v>
      </c>
      <c r="R213" s="368">
        <f t="shared" si="38"/>
        <v>3.1052448766933027E-2</v>
      </c>
      <c r="S213" s="368">
        <f t="shared" si="38"/>
        <v>3.0454116695863176E-2</v>
      </c>
      <c r="T213" s="368">
        <f t="shared" si="38"/>
        <v>2.7265594350725841E-2</v>
      </c>
      <c r="U213" s="368">
        <f t="shared" si="38"/>
        <v>1.3048182801858488E-2</v>
      </c>
      <c r="V213" s="368">
        <f t="shared" si="38"/>
        <v>3.706961548127774E-3</v>
      </c>
      <c r="W213" s="368">
        <f t="shared" si="38"/>
        <v>-7.4491392801252498E-3</v>
      </c>
      <c r="X213" s="368">
        <f t="shared" si="38"/>
        <v>-9.5862764883956064E-3</v>
      </c>
      <c r="Y213" s="368">
        <f t="shared" si="38"/>
        <v>-9.0422822210901588E-3</v>
      </c>
      <c r="Z213" s="368">
        <f t="shared" si="38"/>
        <v>-2.5703637064644624E-4</v>
      </c>
      <c r="AA213" s="368">
        <f t="shared" si="38"/>
        <v>4.7563954235763095E-3</v>
      </c>
      <c r="AB213" s="368">
        <f t="shared" si="38"/>
        <v>1.2922210849539484E-2</v>
      </c>
      <c r="AC213" s="368">
        <f t="shared" si="38"/>
        <v>8.3364910951118087E-3</v>
      </c>
      <c r="AD213" s="368">
        <f t="shared" si="38"/>
        <v>-1.5658273831892222E-3</v>
      </c>
      <c r="AE213" s="368">
        <f t="shared" si="38"/>
        <v>-1.0789787340819257E-2</v>
      </c>
      <c r="AF213" s="368">
        <f t="shared" si="38"/>
        <v>-1.560022829602381E-2</v>
      </c>
      <c r="AG213" s="368">
        <f t="shared" si="38"/>
        <v>-2.9311344456612765E-2</v>
      </c>
      <c r="AH213" s="368">
        <f t="shared" si="38"/>
        <v>-2.6479957525882614E-2</v>
      </c>
      <c r="AI213" s="368">
        <f t="shared" si="38"/>
        <v>-2.1133001567932408E-2</v>
      </c>
      <c r="AJ213" s="368">
        <f t="shared" ref="AJ213:AU213" si="39">SUM(AJ$163:AJ$167)/SUM(AI$163:AI$167)-1</f>
        <v>-7.7999860714534908E-3</v>
      </c>
      <c r="AK213" s="368">
        <f t="shared" si="39"/>
        <v>5.6152172387169408E-4</v>
      </c>
      <c r="AL213" s="368">
        <f t="shared" si="39"/>
        <v>1.1434584356366129E-2</v>
      </c>
      <c r="AM213" s="368">
        <f t="shared" si="39"/>
        <v>1.4357053682896304E-2</v>
      </c>
      <c r="AN213" s="368">
        <f t="shared" si="39"/>
        <v>2.0991452991452997E-2</v>
      </c>
      <c r="AO213" s="368">
        <f t="shared" si="39"/>
        <v>1.3327082775247856E-2</v>
      </c>
      <c r="AP213" s="368">
        <f t="shared" si="39"/>
        <v>1.1169122992531921E-2</v>
      </c>
      <c r="AQ213" s="368">
        <f t="shared" si="39"/>
        <v>7.1241830065360556E-3</v>
      </c>
      <c r="AR213" s="368">
        <f t="shared" si="39"/>
        <v>-9.734570705431933E-4</v>
      </c>
      <c r="AS213" s="368">
        <f t="shared" si="39"/>
        <v>2.403533844354877E-3</v>
      </c>
      <c r="AT213" s="368">
        <f t="shared" si="39"/>
        <v>8.4245998315080062E-3</v>
      </c>
      <c r="AU213" s="368">
        <f t="shared" si="39"/>
        <v>1.6515648094595381E-2</v>
      </c>
    </row>
    <row r="214" spans="1:47" x14ac:dyDescent="0.2">
      <c r="A214" s="343" t="s">
        <v>330</v>
      </c>
      <c r="B214" s="344"/>
      <c r="C214" s="345"/>
      <c r="D214" s="368">
        <f t="shared" ref="D214:AI214" si="40">SUM(D$168:D$193)/SUM(C$168:C$193)-1</f>
        <v>2.5470496674685261E-2</v>
      </c>
      <c r="E214" s="368">
        <f t="shared" si="40"/>
        <v>1.7938457292672849E-2</v>
      </c>
      <c r="F214" s="368">
        <f t="shared" si="40"/>
        <v>2.3451267452894164E-2</v>
      </c>
      <c r="G214" s="368">
        <f t="shared" si="40"/>
        <v>2.5596026490066315E-2</v>
      </c>
      <c r="H214" s="368">
        <f t="shared" si="40"/>
        <v>2.8153553094630857E-2</v>
      </c>
      <c r="I214" s="368">
        <f t="shared" si="40"/>
        <v>3.8341968911917101E-2</v>
      </c>
      <c r="J214" s="368">
        <f t="shared" si="40"/>
        <v>3.5625718260448691E-2</v>
      </c>
      <c r="K214" s="368">
        <f t="shared" si="40"/>
        <v>3.267725732975113E-2</v>
      </c>
      <c r="L214" s="368">
        <f t="shared" si="40"/>
        <v>3.3226818991601403E-2</v>
      </c>
      <c r="M214" s="368">
        <f t="shared" si="40"/>
        <v>3.106355027642449E-2</v>
      </c>
      <c r="N214" s="368">
        <f t="shared" si="40"/>
        <v>3.0499296578451407E-2</v>
      </c>
      <c r="O214" s="368">
        <f t="shared" si="40"/>
        <v>2.9931482149296862E-2</v>
      </c>
      <c r="P214" s="368">
        <f t="shared" si="40"/>
        <v>3.1087434973989581E-2</v>
      </c>
      <c r="Q214" s="368">
        <f t="shared" si="40"/>
        <v>3.1047614427438308E-2</v>
      </c>
      <c r="R214" s="368">
        <f t="shared" si="40"/>
        <v>3.1830051520925995E-2</v>
      </c>
      <c r="S214" s="368">
        <f t="shared" si="40"/>
        <v>3.1486548107615198E-2</v>
      </c>
      <c r="T214" s="368">
        <f t="shared" si="40"/>
        <v>3.1254835215843935E-2</v>
      </c>
      <c r="U214" s="368">
        <f t="shared" si="40"/>
        <v>3.2343800235773212E-2</v>
      </c>
      <c r="V214" s="368">
        <f t="shared" si="40"/>
        <v>3.1807989369653678E-2</v>
      </c>
      <c r="W214" s="368">
        <f t="shared" si="40"/>
        <v>3.2960399227301984E-2</v>
      </c>
      <c r="X214" s="368">
        <f t="shared" si="40"/>
        <v>3.2512564771886021E-2</v>
      </c>
      <c r="Y214" s="368">
        <f t="shared" si="40"/>
        <v>3.1224647661453053E-2</v>
      </c>
      <c r="Z214" s="368">
        <f t="shared" si="40"/>
        <v>2.8083720589849648E-2</v>
      </c>
      <c r="AA214" s="368">
        <f t="shared" si="40"/>
        <v>2.4718381293043601E-2</v>
      </c>
      <c r="AB214" s="368">
        <f t="shared" si="40"/>
        <v>2.2941196901809624E-2</v>
      </c>
      <c r="AC214" s="368">
        <f t="shared" si="40"/>
        <v>2.2172045566439813E-2</v>
      </c>
      <c r="AD214" s="368">
        <f t="shared" si="40"/>
        <v>2.1392150675148214E-2</v>
      </c>
      <c r="AE214" s="368">
        <f t="shared" si="40"/>
        <v>2.1106720653039979E-2</v>
      </c>
      <c r="AF214" s="368">
        <f t="shared" si="40"/>
        <v>1.9539772274862699E-2</v>
      </c>
      <c r="AG214" s="368">
        <f t="shared" si="40"/>
        <v>1.9868170316453826E-2</v>
      </c>
      <c r="AH214" s="368">
        <f t="shared" si="40"/>
        <v>1.8118050663154417E-2</v>
      </c>
      <c r="AI214" s="368">
        <f t="shared" si="40"/>
        <v>1.5193224724340704E-2</v>
      </c>
      <c r="AJ214" s="368">
        <f t="shared" ref="AJ214:AU214" si="41">SUM(AJ$168:AJ$193)/SUM(AI$168:AI$193)-1</f>
        <v>1.2817283328641071E-2</v>
      </c>
      <c r="AK214" s="368">
        <f t="shared" si="41"/>
        <v>1.0577598314606806E-2</v>
      </c>
      <c r="AL214" s="368">
        <f t="shared" si="41"/>
        <v>8.1650380021716096E-3</v>
      </c>
      <c r="AM214" s="368">
        <f t="shared" si="41"/>
        <v>7.6537572337340709E-3</v>
      </c>
      <c r="AN214" s="368">
        <f t="shared" si="41"/>
        <v>6.3558114347603833E-3</v>
      </c>
      <c r="AO214" s="368">
        <f t="shared" si="41"/>
        <v>7.2219547424170472E-3</v>
      </c>
      <c r="AP214" s="368">
        <f t="shared" si="41"/>
        <v>6.8327522213473824E-3</v>
      </c>
      <c r="AQ214" s="368">
        <f t="shared" si="41"/>
        <v>6.7863825508978071E-3</v>
      </c>
      <c r="AR214" s="368">
        <f t="shared" si="41"/>
        <v>6.9209431345353956E-3</v>
      </c>
      <c r="AS214" s="368">
        <f t="shared" si="41"/>
        <v>7.1213102108844684E-3</v>
      </c>
      <c r="AT214" s="368">
        <f t="shared" si="41"/>
        <v>6.4828491711801384E-3</v>
      </c>
      <c r="AU214" s="368">
        <f t="shared" si="41"/>
        <v>5.8295964125560928E-3</v>
      </c>
    </row>
    <row r="215" spans="1:47" x14ac:dyDescent="0.2">
      <c r="A215" s="343" t="s">
        <v>316</v>
      </c>
      <c r="B215" s="344"/>
      <c r="C215" s="345"/>
      <c r="D215" s="368">
        <f t="shared" ref="D215:AI215" si="42">SUM(D$27:D$28)/SUM(C$27:C$28)-1</f>
        <v>3.0298094152142019E-2</v>
      </c>
      <c r="E215" s="368">
        <f t="shared" si="42"/>
        <v>2.9881422924901146E-2</v>
      </c>
      <c r="F215" s="368">
        <f t="shared" si="42"/>
        <v>3.4387473134786628E-2</v>
      </c>
      <c r="G215" s="368">
        <f t="shared" si="42"/>
        <v>7.8658355595131457E-3</v>
      </c>
      <c r="H215" s="368">
        <f t="shared" si="42"/>
        <v>-1.3400088352230943E-2</v>
      </c>
      <c r="I215" s="368">
        <f t="shared" si="42"/>
        <v>-1.3880597014925389E-2</v>
      </c>
      <c r="J215" s="368">
        <f t="shared" si="42"/>
        <v>-8.9299228091418437E-3</v>
      </c>
      <c r="K215" s="368">
        <f t="shared" si="42"/>
        <v>-5.1924251679902333E-3</v>
      </c>
      <c r="L215" s="368">
        <f t="shared" si="42"/>
        <v>-2.3487872275099742E-2</v>
      </c>
      <c r="M215" s="368">
        <f t="shared" si="42"/>
        <v>-1.462034271340984E-2</v>
      </c>
      <c r="N215" s="368">
        <f t="shared" si="42"/>
        <v>-1.9144862795149598E-3</v>
      </c>
      <c r="O215" s="368">
        <f t="shared" si="42"/>
        <v>8.3120204603579495E-3</v>
      </c>
      <c r="P215" s="368">
        <f t="shared" si="42"/>
        <v>6.1826252377932267E-3</v>
      </c>
      <c r="Q215" s="368">
        <f t="shared" si="42"/>
        <v>-2.6784307546872554E-2</v>
      </c>
      <c r="R215" s="368">
        <f t="shared" si="42"/>
        <v>-1.0522907560304384E-2</v>
      </c>
      <c r="S215" s="368">
        <f t="shared" si="42"/>
        <v>2.2251308900523625E-2</v>
      </c>
      <c r="T215" s="368">
        <f t="shared" si="42"/>
        <v>1.2644046094750339E-2</v>
      </c>
      <c r="U215" s="368">
        <f t="shared" si="42"/>
        <v>1.2644223170539037E-2</v>
      </c>
      <c r="V215" s="368">
        <f t="shared" si="42"/>
        <v>3.652255345715627E-2</v>
      </c>
      <c r="W215" s="368">
        <f t="shared" si="42"/>
        <v>2.4393916578828501E-2</v>
      </c>
      <c r="X215" s="368">
        <f t="shared" si="42"/>
        <v>0</v>
      </c>
      <c r="Y215" s="368">
        <f t="shared" si="42"/>
        <v>-6.6147287961193513E-3</v>
      </c>
      <c r="Z215" s="368">
        <f t="shared" si="42"/>
        <v>-8.1385025155371604E-3</v>
      </c>
      <c r="AA215" s="368">
        <f t="shared" si="42"/>
        <v>-6.8625988363418822E-3</v>
      </c>
      <c r="AB215" s="368">
        <f t="shared" si="42"/>
        <v>-5.7082770016524398E-3</v>
      </c>
      <c r="AC215" s="368">
        <f t="shared" si="42"/>
        <v>-4.5324067079619557E-3</v>
      </c>
      <c r="AD215" s="368">
        <f t="shared" si="42"/>
        <v>-3.3388981636059967E-3</v>
      </c>
      <c r="AE215" s="368">
        <f t="shared" si="42"/>
        <v>-2.2841480127911984E-3</v>
      </c>
      <c r="AF215" s="368">
        <f t="shared" si="42"/>
        <v>-1.5262515262515208E-3</v>
      </c>
      <c r="AG215" s="368">
        <f t="shared" si="42"/>
        <v>-9.1715071843467832E-4</v>
      </c>
      <c r="AH215" s="368">
        <f t="shared" si="42"/>
        <v>-4.5899632802937074E-4</v>
      </c>
      <c r="AI215" s="368">
        <f t="shared" si="42"/>
        <v>-1.5306903413436768E-4</v>
      </c>
      <c r="AJ215" s="368">
        <f t="shared" ref="AJ215:AU215" si="43">SUM(AJ$27:AJ$28)/SUM(AI$27:AI$28)-1</f>
        <v>-1.5309246785055741E-4</v>
      </c>
      <c r="AK215" s="368">
        <f t="shared" si="43"/>
        <v>0</v>
      </c>
      <c r="AL215" s="368">
        <f t="shared" si="43"/>
        <v>3.0623181748579142E-4</v>
      </c>
      <c r="AM215" s="368">
        <f t="shared" si="43"/>
        <v>3.0613806826873535E-4</v>
      </c>
      <c r="AN215" s="368">
        <f t="shared" si="43"/>
        <v>3.0604437643466653E-4</v>
      </c>
      <c r="AO215" s="368">
        <f t="shared" si="43"/>
        <v>1.5297537096525815E-4</v>
      </c>
      <c r="AP215" s="368">
        <f t="shared" si="43"/>
        <v>0</v>
      </c>
      <c r="AQ215" s="368">
        <f t="shared" si="43"/>
        <v>-3.0590394616092365E-4</v>
      </c>
      <c r="AR215" s="368">
        <f t="shared" si="43"/>
        <v>-9.1799265605874147E-4</v>
      </c>
      <c r="AS215" s="368">
        <f t="shared" si="43"/>
        <v>-1.3782542113323082E-3</v>
      </c>
      <c r="AT215" s="368">
        <f t="shared" si="43"/>
        <v>-1.380156417727374E-3</v>
      </c>
      <c r="AU215" s="368">
        <f t="shared" si="43"/>
        <v>-1.2285012285012664E-3</v>
      </c>
    </row>
    <row r="216" spans="1:47" x14ac:dyDescent="0.2">
      <c r="A216" s="343" t="s">
        <v>318</v>
      </c>
      <c r="B216" s="344"/>
      <c r="C216" s="345"/>
      <c r="D216" s="368">
        <f t="shared" ref="D216:AI216" si="44">SUM(D$29:D$33)/SUM(C$29:C$33)-1</f>
        <v>9.7360301679807471E-3</v>
      </c>
      <c r="E216" s="368">
        <f t="shared" si="44"/>
        <v>1.72472329734501E-2</v>
      </c>
      <c r="F216" s="368">
        <f t="shared" si="44"/>
        <v>5.6738535478273455E-3</v>
      </c>
      <c r="G216" s="368">
        <f t="shared" si="44"/>
        <v>2.4890481879729087E-2</v>
      </c>
      <c r="H216" s="368">
        <f t="shared" si="44"/>
        <v>3.0697493685642119E-2</v>
      </c>
      <c r="I216" s="368">
        <f t="shared" si="44"/>
        <v>2.2494502042098574E-2</v>
      </c>
      <c r="J216" s="368">
        <f t="shared" si="44"/>
        <v>1.3396423523628131E-2</v>
      </c>
      <c r="K216" s="368">
        <f t="shared" si="44"/>
        <v>3.8809047359165127E-3</v>
      </c>
      <c r="L216" s="368">
        <f t="shared" si="44"/>
        <v>-1.9933554817275212E-3</v>
      </c>
      <c r="M216" s="368">
        <f t="shared" si="44"/>
        <v>-1.1318242343541951E-2</v>
      </c>
      <c r="N216" s="368">
        <f t="shared" si="44"/>
        <v>-1.4753596571778438E-2</v>
      </c>
      <c r="O216" s="368">
        <f t="shared" si="44"/>
        <v>-1.1805641854107152E-2</v>
      </c>
      <c r="P216" s="368">
        <f t="shared" si="44"/>
        <v>-1.0060362173038184E-2</v>
      </c>
      <c r="Q216" s="368">
        <f t="shared" si="44"/>
        <v>-4.8272357723577741E-3</v>
      </c>
      <c r="R216" s="368">
        <f t="shared" si="44"/>
        <v>-5.7441919836609401E-3</v>
      </c>
      <c r="S216" s="368">
        <f t="shared" si="44"/>
        <v>-5.9057645397355696E-3</v>
      </c>
      <c r="T216" s="368">
        <f t="shared" si="44"/>
        <v>-4.0036161694433359E-3</v>
      </c>
      <c r="U216" s="368">
        <f t="shared" si="44"/>
        <v>3.6307053941908585E-3</v>
      </c>
      <c r="V216" s="368">
        <f t="shared" si="44"/>
        <v>-2.2609819121447439E-3</v>
      </c>
      <c r="W216" s="368">
        <f t="shared" si="44"/>
        <v>6.2803496277112902E-3</v>
      </c>
      <c r="X216" s="368">
        <f t="shared" si="44"/>
        <v>2.3484750997297743E-2</v>
      </c>
      <c r="Y216" s="368">
        <f t="shared" si="44"/>
        <v>2.0556987489784406E-2</v>
      </c>
      <c r="Z216" s="368">
        <f t="shared" si="44"/>
        <v>1.4044597757792321E-2</v>
      </c>
      <c r="AA216" s="368">
        <f t="shared" si="44"/>
        <v>1.2270683999514143E-2</v>
      </c>
      <c r="AB216" s="368">
        <f t="shared" si="44"/>
        <v>5.5808929428708964E-3</v>
      </c>
      <c r="AC216" s="368">
        <f t="shared" si="44"/>
        <v>-4.5354180342543904E-3</v>
      </c>
      <c r="AD216" s="368">
        <f t="shared" si="44"/>
        <v>-6.4144835441520831E-3</v>
      </c>
      <c r="AE216" s="368">
        <f t="shared" si="44"/>
        <v>-6.3352238445758546E-3</v>
      </c>
      <c r="AF216" s="368">
        <f t="shared" si="44"/>
        <v>-5.2219321148825326E-3</v>
      </c>
      <c r="AG216" s="368">
        <f t="shared" si="44"/>
        <v>-3.9675273148995771E-3</v>
      </c>
      <c r="AH216" s="368">
        <f t="shared" si="44"/>
        <v>-2.8802549332026528E-3</v>
      </c>
      <c r="AI216" s="368">
        <f t="shared" si="44"/>
        <v>-2.0896072767500051E-3</v>
      </c>
      <c r="AJ216" s="368">
        <f t="shared" ref="AJ216:AU216" si="45">SUM(AJ$29:AJ$33)/SUM(AI$29:AI$33)-1</f>
        <v>-1.2933423662006005E-3</v>
      </c>
      <c r="AK216" s="368">
        <f t="shared" si="45"/>
        <v>-8.0167735569802723E-4</v>
      </c>
      <c r="AL216" s="368">
        <f t="shared" si="45"/>
        <v>-4.3201876195764211E-4</v>
      </c>
      <c r="AM216" s="368">
        <f t="shared" si="45"/>
        <v>-2.4697456162015019E-4</v>
      </c>
      <c r="AN216" s="368">
        <f t="shared" si="45"/>
        <v>0</v>
      </c>
      <c r="AO216" s="368">
        <f t="shared" si="45"/>
        <v>1.2351778656127799E-4</v>
      </c>
      <c r="AP216" s="368">
        <f t="shared" si="45"/>
        <v>2.4700506360386676E-4</v>
      </c>
      <c r="AQ216" s="368">
        <f t="shared" si="45"/>
        <v>2.4694406716885275E-4</v>
      </c>
      <c r="AR216" s="368">
        <f t="shared" si="45"/>
        <v>2.4688310085174692E-4</v>
      </c>
      <c r="AS216" s="368">
        <f t="shared" si="45"/>
        <v>6.1705541157586197E-5</v>
      </c>
      <c r="AT216" s="368">
        <f t="shared" si="45"/>
        <v>-3.0850866909359898E-4</v>
      </c>
      <c r="AU216" s="368">
        <f t="shared" si="45"/>
        <v>-6.1720775212936729E-4</v>
      </c>
    </row>
    <row r="217" spans="1:47" x14ac:dyDescent="0.2">
      <c r="A217" s="343" t="s">
        <v>320</v>
      </c>
      <c r="B217" s="344"/>
      <c r="C217" s="345"/>
      <c r="D217" s="368">
        <f t="shared" ref="D217:AI217" si="46">SUM(D$34:D$38)/SUM(C$34:C$38)-1</f>
        <v>2.5398327811957833E-2</v>
      </c>
      <c r="E217" s="368">
        <f t="shared" si="46"/>
        <v>3.0846153846153745E-2</v>
      </c>
      <c r="F217" s="368">
        <f t="shared" si="46"/>
        <v>1.8058353854190079E-2</v>
      </c>
      <c r="G217" s="368">
        <f t="shared" si="46"/>
        <v>1.4806127684526826E-2</v>
      </c>
      <c r="H217" s="368">
        <f t="shared" si="46"/>
        <v>1.0111953773925597E-2</v>
      </c>
      <c r="I217" s="368">
        <f t="shared" si="46"/>
        <v>8.008580622095085E-3</v>
      </c>
      <c r="J217" s="368">
        <f t="shared" si="46"/>
        <v>1.0853373058097526E-2</v>
      </c>
      <c r="K217" s="368">
        <f t="shared" si="46"/>
        <v>1.7964912280701739E-2</v>
      </c>
      <c r="L217" s="368">
        <f t="shared" si="46"/>
        <v>2.5782434854543013E-2</v>
      </c>
      <c r="M217" s="368">
        <f t="shared" si="46"/>
        <v>3.1854838709677313E-2</v>
      </c>
      <c r="N217" s="368">
        <f t="shared" si="46"/>
        <v>2.3186140419434675E-2</v>
      </c>
      <c r="O217" s="368">
        <f t="shared" si="46"/>
        <v>1.4067472947167481E-2</v>
      </c>
      <c r="P217" s="368">
        <f t="shared" si="46"/>
        <v>4.0173247128241218E-3</v>
      </c>
      <c r="Q217" s="368">
        <f t="shared" si="46"/>
        <v>-2.1881838074397919E-3</v>
      </c>
      <c r="R217" s="368">
        <f t="shared" si="46"/>
        <v>-1.1466165413533846E-2</v>
      </c>
      <c r="S217" s="368">
        <f t="shared" si="46"/>
        <v>-1.5148634087595814E-2</v>
      </c>
      <c r="T217" s="368">
        <f t="shared" si="46"/>
        <v>-1.2035010940919078E-2</v>
      </c>
      <c r="U217" s="368">
        <f t="shared" si="46"/>
        <v>-1.0357631424662839E-2</v>
      </c>
      <c r="V217" s="368">
        <f t="shared" si="46"/>
        <v>-4.8709847288046504E-3</v>
      </c>
      <c r="W217" s="368">
        <f t="shared" si="46"/>
        <v>-5.8870220928693984E-3</v>
      </c>
      <c r="X217" s="368">
        <f t="shared" si="46"/>
        <v>-6.0549604098741883E-3</v>
      </c>
      <c r="Y217" s="368">
        <f t="shared" si="46"/>
        <v>-4.1504886865711965E-3</v>
      </c>
      <c r="Z217" s="368">
        <f t="shared" si="46"/>
        <v>3.8316751815004046E-3</v>
      </c>
      <c r="AA217" s="368">
        <f t="shared" si="46"/>
        <v>-2.3438023170160305E-3</v>
      </c>
      <c r="AB217" s="368">
        <f t="shared" si="46"/>
        <v>6.6451872734594186E-3</v>
      </c>
      <c r="AC217" s="368">
        <f t="shared" si="46"/>
        <v>2.4271520970860827E-2</v>
      </c>
      <c r="AD217" s="368">
        <f t="shared" si="46"/>
        <v>2.1157476726775704E-2</v>
      </c>
      <c r="AE217" s="368">
        <f t="shared" si="46"/>
        <v>1.4599005482595961E-2</v>
      </c>
      <c r="AF217" s="368">
        <f t="shared" si="46"/>
        <v>1.2692428526547284E-2</v>
      </c>
      <c r="AG217" s="368">
        <f t="shared" si="46"/>
        <v>5.7703046472667996E-3</v>
      </c>
      <c r="AH217" s="368">
        <f t="shared" si="46"/>
        <v>-4.6884639111659521E-3</v>
      </c>
      <c r="AI217" s="368">
        <f t="shared" si="46"/>
        <v>-6.569976447254211E-3</v>
      </c>
      <c r="AJ217" s="368">
        <f t="shared" ref="AJ217:AU217" si="47">SUM(AJ$34:AJ$38)/SUM(AI$34:AI$38)-1</f>
        <v>-6.4886448714749356E-3</v>
      </c>
      <c r="AK217" s="368">
        <f t="shared" si="47"/>
        <v>-5.2122582265762274E-3</v>
      </c>
      <c r="AL217" s="368">
        <f t="shared" si="47"/>
        <v>-4.1032763083138635E-3</v>
      </c>
      <c r="AM217" s="368">
        <f t="shared" si="47"/>
        <v>-3.0425963488843744E-3</v>
      </c>
      <c r="AN217" s="368">
        <f t="shared" si="47"/>
        <v>-2.0981688708036073E-3</v>
      </c>
      <c r="AO217" s="368">
        <f t="shared" si="47"/>
        <v>-1.2742911755335706E-3</v>
      </c>
      <c r="AP217" s="368">
        <f t="shared" si="47"/>
        <v>-8.9314194577350126E-4</v>
      </c>
      <c r="AQ217" s="368">
        <f t="shared" si="47"/>
        <v>-5.1082306366134755E-4</v>
      </c>
      <c r="AR217" s="368">
        <f t="shared" si="47"/>
        <v>-6.3885517153305926E-5</v>
      </c>
      <c r="AS217" s="368">
        <f t="shared" si="47"/>
        <v>6.3889598773236855E-5</v>
      </c>
      <c r="AT217" s="368">
        <f t="shared" si="47"/>
        <v>6.3885517153305926E-5</v>
      </c>
      <c r="AU217" s="368">
        <f t="shared" si="47"/>
        <v>1.9164430816398514E-4</v>
      </c>
    </row>
    <row r="218" spans="1:47" x14ac:dyDescent="0.2">
      <c r="A218" s="343" t="s">
        <v>323</v>
      </c>
      <c r="B218" s="344"/>
      <c r="C218" s="345"/>
      <c r="D218" s="368">
        <f t="shared" ref="D218:AI218" si="48">SUM(D$39:D$43)/SUM(C$39:C$43)-1</f>
        <v>-2.743544600938963E-2</v>
      </c>
      <c r="E218" s="368">
        <f t="shared" si="48"/>
        <v>-2.2326142706290519E-2</v>
      </c>
      <c r="F218" s="368">
        <f t="shared" si="48"/>
        <v>-6.7890757599136098E-3</v>
      </c>
      <c r="G218" s="368">
        <f t="shared" si="48"/>
        <v>5.0489358396768047E-3</v>
      </c>
      <c r="H218" s="368">
        <f t="shared" si="48"/>
        <v>1.6461859494551367E-2</v>
      </c>
      <c r="I218" s="368">
        <f t="shared" si="48"/>
        <v>2.2582116788321116E-2</v>
      </c>
      <c r="J218" s="368">
        <f t="shared" si="48"/>
        <v>2.9295858428135979E-2</v>
      </c>
      <c r="K218" s="368">
        <f t="shared" si="48"/>
        <v>2.1743841652820839E-2</v>
      </c>
      <c r="L218" s="368">
        <f t="shared" si="48"/>
        <v>1.4352375565610753E-2</v>
      </c>
      <c r="M218" s="368">
        <f t="shared" si="48"/>
        <v>9.7581375897399791E-3</v>
      </c>
      <c r="N218" s="368">
        <f t="shared" si="48"/>
        <v>7.8691240422448239E-3</v>
      </c>
      <c r="O218" s="368">
        <f t="shared" si="48"/>
        <v>1.0410245873570201E-2</v>
      </c>
      <c r="P218" s="368">
        <f t="shared" si="48"/>
        <v>1.7284620077272494E-2</v>
      </c>
      <c r="Q218" s="368">
        <f t="shared" si="48"/>
        <v>2.4986673773987222E-2</v>
      </c>
      <c r="R218" s="368">
        <f t="shared" si="48"/>
        <v>3.0618214912565778E-2</v>
      </c>
      <c r="S218" s="368">
        <f t="shared" si="48"/>
        <v>2.2581052100416388E-2</v>
      </c>
      <c r="T218" s="368">
        <f t="shared" si="48"/>
        <v>1.3570194917345235E-2</v>
      </c>
      <c r="U218" s="368">
        <f t="shared" si="48"/>
        <v>4.0165530671860683E-3</v>
      </c>
      <c r="V218" s="368">
        <f t="shared" si="48"/>
        <v>-2.0002424536307295E-3</v>
      </c>
      <c r="W218" s="368">
        <f t="shared" si="48"/>
        <v>-1.1175220163984201E-2</v>
      </c>
      <c r="X218" s="368">
        <f t="shared" si="48"/>
        <v>-1.4556845402616592E-2</v>
      </c>
      <c r="Y218" s="368">
        <f t="shared" si="48"/>
        <v>-1.153079032660187E-2</v>
      </c>
      <c r="Z218" s="368">
        <f t="shared" si="48"/>
        <v>-1.0025852828047133E-2</v>
      </c>
      <c r="AA218" s="368">
        <f t="shared" si="48"/>
        <v>-4.6496815286624082E-3</v>
      </c>
      <c r="AB218" s="368">
        <f t="shared" si="48"/>
        <v>-5.567287387214459E-3</v>
      </c>
      <c r="AC218" s="368">
        <f t="shared" si="48"/>
        <v>-5.7915057915057799E-3</v>
      </c>
      <c r="AD218" s="368">
        <f t="shared" si="48"/>
        <v>-3.9482200647249499E-3</v>
      </c>
      <c r="AE218" s="368">
        <f t="shared" si="48"/>
        <v>3.7039443758528634E-3</v>
      </c>
      <c r="AF218" s="368">
        <f t="shared" si="48"/>
        <v>-2.2012171435970007E-3</v>
      </c>
      <c r="AG218" s="368">
        <f t="shared" si="48"/>
        <v>6.3586815468466007E-3</v>
      </c>
      <c r="AH218" s="368">
        <f t="shared" si="48"/>
        <v>2.346872985170867E-2</v>
      </c>
      <c r="AI218" s="368">
        <f t="shared" si="48"/>
        <v>2.0473730628701059E-2</v>
      </c>
      <c r="AJ218" s="368">
        <f t="shared" ref="AJ218:AU218" si="49">SUM(AJ$39:AJ$43)/SUM(AI$39:AI$43)-1</f>
        <v>1.4136675103401553E-2</v>
      </c>
      <c r="AK218" s="368">
        <f t="shared" si="49"/>
        <v>1.2235208181154089E-2</v>
      </c>
      <c r="AL218" s="368">
        <f t="shared" si="49"/>
        <v>5.71291117926509E-3</v>
      </c>
      <c r="AM218" s="368">
        <f t="shared" si="49"/>
        <v>-4.4845730686439156E-3</v>
      </c>
      <c r="AN218" s="368">
        <f t="shared" si="49"/>
        <v>-6.4268124211663835E-3</v>
      </c>
      <c r="AO218" s="368">
        <f t="shared" si="49"/>
        <v>-6.1056704147020024E-3</v>
      </c>
      <c r="AP218" s="368">
        <f t="shared" si="49"/>
        <v>-5.1700018247065049E-3</v>
      </c>
      <c r="AQ218" s="368">
        <f t="shared" si="49"/>
        <v>-3.8517975055025744E-3</v>
      </c>
      <c r="AR218" s="368">
        <f t="shared" si="49"/>
        <v>-3.0074265021788893E-3</v>
      </c>
      <c r="AS218" s="368">
        <f t="shared" si="49"/>
        <v>-1.9083969465648609E-3</v>
      </c>
      <c r="AT218" s="368">
        <f t="shared" si="49"/>
        <v>-1.2952568926170027E-3</v>
      </c>
      <c r="AU218" s="368">
        <f t="shared" si="49"/>
        <v>-8.0286561264819589E-4</v>
      </c>
    </row>
    <row r="219" spans="1:47" x14ac:dyDescent="0.2">
      <c r="A219" s="343" t="s">
        <v>324</v>
      </c>
      <c r="B219" s="344"/>
      <c r="C219" s="345"/>
      <c r="D219" s="368">
        <f t="shared" ref="D219:AI219" si="50">SUM(D$44:D$48)/SUM(C$44:C$48)-1</f>
        <v>5.0958830628939911E-3</v>
      </c>
      <c r="E219" s="368">
        <f t="shared" si="50"/>
        <v>-7.6717811874582598E-3</v>
      </c>
      <c r="F219" s="368">
        <f t="shared" si="50"/>
        <v>-1.2436974789916011E-2</v>
      </c>
      <c r="G219" s="368">
        <f t="shared" si="50"/>
        <v>-1.8243703199455452E-2</v>
      </c>
      <c r="H219" s="368">
        <f t="shared" si="50"/>
        <v>-2.7458050201081718E-2</v>
      </c>
      <c r="I219" s="368">
        <f t="shared" si="50"/>
        <v>-2.6236988450021426E-2</v>
      </c>
      <c r="J219" s="368">
        <f t="shared" si="50"/>
        <v>-1.9988285254063598E-2</v>
      </c>
      <c r="K219" s="368">
        <f t="shared" si="50"/>
        <v>-6.7986552110571585E-3</v>
      </c>
      <c r="L219" s="368">
        <f t="shared" si="50"/>
        <v>4.8894238002106238E-3</v>
      </c>
      <c r="M219" s="368">
        <f t="shared" si="50"/>
        <v>1.6168874915787113E-2</v>
      </c>
      <c r="N219" s="368">
        <f t="shared" si="50"/>
        <v>2.1804788213628079E-2</v>
      </c>
      <c r="O219" s="368">
        <f t="shared" si="50"/>
        <v>2.8404585105616054E-2</v>
      </c>
      <c r="P219" s="368">
        <f t="shared" si="50"/>
        <v>2.1100595864002702E-2</v>
      </c>
      <c r="Q219" s="368">
        <f t="shared" si="50"/>
        <v>1.3936564602498924E-2</v>
      </c>
      <c r="R219" s="368">
        <f t="shared" si="50"/>
        <v>9.4793147809602019E-3</v>
      </c>
      <c r="S219" s="368">
        <f t="shared" si="50"/>
        <v>7.6463880877322143E-3</v>
      </c>
      <c r="T219" s="368">
        <f t="shared" si="50"/>
        <v>1.0117819343673062E-2</v>
      </c>
      <c r="U219" s="368">
        <f t="shared" si="50"/>
        <v>1.6869851729818697E-2</v>
      </c>
      <c r="V219" s="368">
        <f t="shared" si="50"/>
        <v>2.4172121055019202E-2</v>
      </c>
      <c r="W219" s="368">
        <f t="shared" si="50"/>
        <v>2.9802581624905011E-2</v>
      </c>
      <c r="X219" s="368">
        <f t="shared" si="50"/>
        <v>2.1996927803379362E-2</v>
      </c>
      <c r="Y219" s="368">
        <f t="shared" si="50"/>
        <v>1.3286839415619589E-2</v>
      </c>
      <c r="Z219" s="368">
        <f t="shared" si="50"/>
        <v>3.7379850480598886E-3</v>
      </c>
      <c r="AA219" s="368">
        <f t="shared" si="50"/>
        <v>-1.773364071643857E-3</v>
      </c>
      <c r="AB219" s="368">
        <f t="shared" si="50"/>
        <v>-1.0777521170130866E-2</v>
      </c>
      <c r="AC219" s="368">
        <f t="shared" si="50"/>
        <v>-1.406764441783892E-2</v>
      </c>
      <c r="AD219" s="368">
        <f t="shared" si="50"/>
        <v>-1.1171827565270243E-2</v>
      </c>
      <c r="AE219" s="368">
        <f t="shared" si="50"/>
        <v>-9.7015841827335914E-3</v>
      </c>
      <c r="AF219" s="368">
        <f t="shared" si="50"/>
        <v>-4.4022817460317443E-3</v>
      </c>
      <c r="AG219" s="368">
        <f t="shared" si="50"/>
        <v>-5.5427539390919822E-3</v>
      </c>
      <c r="AH219" s="368">
        <f t="shared" si="50"/>
        <v>-5.448396793587218E-3</v>
      </c>
      <c r="AI219" s="368">
        <f t="shared" si="50"/>
        <v>-3.841067942824794E-3</v>
      </c>
      <c r="AJ219" s="368">
        <f t="shared" ref="AJ219:AU219" si="51">SUM(AJ$44:AJ$48)/SUM(AI$44:AI$48)-1</f>
        <v>3.6030341340076433E-3</v>
      </c>
      <c r="AK219" s="368">
        <f t="shared" si="51"/>
        <v>-2.078478301946185E-3</v>
      </c>
      <c r="AL219" s="368">
        <f t="shared" si="51"/>
        <v>6.1853067407220408E-3</v>
      </c>
      <c r="AM219" s="368">
        <f t="shared" si="51"/>
        <v>2.2770041400075325E-2</v>
      </c>
      <c r="AN219" s="368">
        <f t="shared" si="51"/>
        <v>1.9871205151793969E-2</v>
      </c>
      <c r="AO219" s="368">
        <f t="shared" si="51"/>
        <v>1.3771122737386454E-2</v>
      </c>
      <c r="AP219" s="368">
        <f t="shared" si="51"/>
        <v>1.1982441570767666E-2</v>
      </c>
      <c r="AQ219" s="368">
        <f t="shared" si="51"/>
        <v>5.4513481828839527E-3</v>
      </c>
      <c r="AR219" s="368">
        <f t="shared" si="51"/>
        <v>-4.3141141491284118E-3</v>
      </c>
      <c r="AS219" s="368">
        <f t="shared" si="51"/>
        <v>-6.0893494935300163E-3</v>
      </c>
      <c r="AT219" s="368">
        <f t="shared" si="51"/>
        <v>-6.1855670103092564E-3</v>
      </c>
      <c r="AU219" s="368">
        <f t="shared" si="51"/>
        <v>-4.8014226437462781E-3</v>
      </c>
    </row>
    <row r="220" spans="1:47" x14ac:dyDescent="0.2">
      <c r="A220" s="343" t="s">
        <v>331</v>
      </c>
      <c r="B220" s="344"/>
      <c r="C220" s="345"/>
      <c r="D220" s="368">
        <f t="shared" ref="D220:AI220" si="52">SUM(D$49:D$53)/SUM(C$49:C$53)-1</f>
        <v>-1.4427701186277675E-2</v>
      </c>
      <c r="E220" s="368">
        <f t="shared" si="52"/>
        <v>-1.5159401431359742E-2</v>
      </c>
      <c r="F220" s="368">
        <f t="shared" si="52"/>
        <v>-5.4832529563321186E-3</v>
      </c>
      <c r="G220" s="368">
        <f t="shared" si="52"/>
        <v>-9.9641291351137973E-4</v>
      </c>
      <c r="H220" s="368">
        <f t="shared" si="52"/>
        <v>5.4524901921670921E-3</v>
      </c>
      <c r="I220" s="368">
        <f t="shared" si="52"/>
        <v>5.1583889954367468E-3</v>
      </c>
      <c r="J220" s="368">
        <f t="shared" si="52"/>
        <v>-4.4739785512204477E-3</v>
      </c>
      <c r="K220" s="368">
        <f t="shared" si="52"/>
        <v>-1.4077060339699909E-2</v>
      </c>
      <c r="L220" s="368">
        <f t="shared" si="52"/>
        <v>-1.7696742190642212E-2</v>
      </c>
      <c r="M220" s="368">
        <f t="shared" si="52"/>
        <v>-2.6818616077521451E-2</v>
      </c>
      <c r="N220" s="368">
        <f t="shared" si="52"/>
        <v>-2.559427810111492E-2</v>
      </c>
      <c r="O220" s="368">
        <f t="shared" si="52"/>
        <v>-1.9286125503742091E-2</v>
      </c>
      <c r="P220" s="368">
        <f t="shared" si="52"/>
        <v>-6.6040504842970194E-3</v>
      </c>
      <c r="Q220" s="368">
        <f t="shared" si="52"/>
        <v>4.9490323533756264E-3</v>
      </c>
      <c r="R220" s="368">
        <f t="shared" si="52"/>
        <v>1.5950018375597175E-2</v>
      </c>
      <c r="S220" s="368">
        <f t="shared" si="52"/>
        <v>2.134278686152502E-2</v>
      </c>
      <c r="T220" s="368">
        <f t="shared" si="52"/>
        <v>2.7767939363887439E-2</v>
      </c>
      <c r="U220" s="368">
        <f t="shared" si="52"/>
        <v>2.0745744020952417E-2</v>
      </c>
      <c r="V220" s="368">
        <f t="shared" si="52"/>
        <v>1.3639432815665042E-2</v>
      </c>
      <c r="W220" s="368">
        <f t="shared" si="52"/>
        <v>9.3258726352252186E-3</v>
      </c>
      <c r="X220" s="368">
        <f t="shared" si="52"/>
        <v>7.6557550158395937E-3</v>
      </c>
      <c r="Y220" s="368">
        <f t="shared" si="52"/>
        <v>1.0020958868221186E-2</v>
      </c>
      <c r="Z220" s="368">
        <f t="shared" si="52"/>
        <v>1.653589261396804E-2</v>
      </c>
      <c r="AA220" s="368">
        <f t="shared" si="52"/>
        <v>2.3858127073232982E-2</v>
      </c>
      <c r="AB220" s="368">
        <f t="shared" si="52"/>
        <v>2.9158878504672803E-2</v>
      </c>
      <c r="AC220" s="368">
        <f t="shared" si="52"/>
        <v>2.1612786051580013E-2</v>
      </c>
      <c r="AD220" s="368">
        <f t="shared" si="52"/>
        <v>1.3096296296296384E-2</v>
      </c>
      <c r="AE220" s="368">
        <f t="shared" si="52"/>
        <v>3.8605521759476069E-3</v>
      </c>
      <c r="AF220" s="368">
        <f t="shared" si="52"/>
        <v>-1.8645845472555767E-3</v>
      </c>
      <c r="AG220" s="368">
        <f t="shared" si="52"/>
        <v>-1.0449503794512593E-2</v>
      </c>
      <c r="AH220" s="368">
        <f t="shared" si="52"/>
        <v>-1.3863488879712116E-2</v>
      </c>
      <c r="AI220" s="368">
        <f t="shared" si="52"/>
        <v>-1.0768126346015761E-2</v>
      </c>
      <c r="AJ220" s="368">
        <f t="shared" ref="AJ220:AU220" si="53">SUM(AJ$49:AJ$53)/SUM(AI$49:AI$53)-1</f>
        <v>-9.4944363812288213E-3</v>
      </c>
      <c r="AK220" s="368">
        <f t="shared" si="53"/>
        <v>-4.3958727639049622E-3</v>
      </c>
      <c r="AL220" s="368">
        <f t="shared" si="53"/>
        <v>-5.2124854357024075E-3</v>
      </c>
      <c r="AM220" s="368">
        <f t="shared" si="53"/>
        <v>-5.4247318456417393E-3</v>
      </c>
      <c r="AN220" s="368">
        <f t="shared" si="53"/>
        <v>-3.6568736829056814E-3</v>
      </c>
      <c r="AO220" s="368">
        <f t="shared" si="53"/>
        <v>3.5458786936235498E-3</v>
      </c>
      <c r="AP220" s="368">
        <f t="shared" si="53"/>
        <v>-2.045623605256619E-3</v>
      </c>
      <c r="AQ220" s="368">
        <f t="shared" si="53"/>
        <v>6.0873346170569054E-3</v>
      </c>
      <c r="AR220" s="368">
        <f t="shared" si="53"/>
        <v>2.2411557695869666E-2</v>
      </c>
      <c r="AS220" s="368">
        <f t="shared" si="53"/>
        <v>1.9565217391304346E-2</v>
      </c>
      <c r="AT220" s="368">
        <f t="shared" si="53"/>
        <v>1.3385453683961046E-2</v>
      </c>
      <c r="AU220" s="368">
        <f t="shared" si="53"/>
        <v>1.1864406779660941E-2</v>
      </c>
    </row>
    <row r="221" spans="1:47" x14ac:dyDescent="0.2">
      <c r="A221" s="343" t="s">
        <v>332</v>
      </c>
      <c r="B221" s="344"/>
      <c r="C221" s="345"/>
      <c r="D221" s="368">
        <f t="shared" ref="D221:AI221" si="54">SUM(D$54:D$58)/SUM(C$54:C$58)-1</f>
        <v>2.226394849785418E-2</v>
      </c>
      <c r="E221" s="368">
        <f t="shared" si="54"/>
        <v>1.8433482025715042E-2</v>
      </c>
      <c r="F221" s="368">
        <f t="shared" si="54"/>
        <v>1.1400966183574779E-2</v>
      </c>
      <c r="G221" s="368">
        <f t="shared" si="54"/>
        <v>-7.0054770092986551E-4</v>
      </c>
      <c r="H221" s="368">
        <f t="shared" si="54"/>
        <v>-8.9223121534637295E-3</v>
      </c>
      <c r="I221" s="368">
        <f t="shared" si="54"/>
        <v>-1.4339913831907913E-2</v>
      </c>
      <c r="J221" s="368">
        <f t="shared" si="54"/>
        <v>-1.2004175365344483E-2</v>
      </c>
      <c r="K221" s="368">
        <f t="shared" si="54"/>
        <v>-6.9994717379819882E-3</v>
      </c>
      <c r="L221" s="368">
        <f t="shared" si="54"/>
        <v>-9.3097486367865745E-4</v>
      </c>
      <c r="M221" s="368">
        <f t="shared" si="54"/>
        <v>5.5910543130990309E-3</v>
      </c>
      <c r="N221" s="368">
        <f t="shared" si="54"/>
        <v>5.3613979348690055E-3</v>
      </c>
      <c r="O221" s="368">
        <f t="shared" si="54"/>
        <v>-4.4110869708341438E-3</v>
      </c>
      <c r="P221" s="368">
        <f t="shared" si="54"/>
        <v>-1.37547943393731E-2</v>
      </c>
      <c r="Q221" s="368">
        <f t="shared" si="54"/>
        <v>-1.743328416253187E-2</v>
      </c>
      <c r="R221" s="368">
        <f t="shared" si="54"/>
        <v>-2.6409171557253974E-2</v>
      </c>
      <c r="S221" s="368">
        <f t="shared" si="54"/>
        <v>-2.5233055302446239E-2</v>
      </c>
      <c r="T221" s="368">
        <f t="shared" si="54"/>
        <v>-1.9055152081685511E-2</v>
      </c>
      <c r="U221" s="368">
        <f t="shared" si="54"/>
        <v>-6.3040609881248599E-3</v>
      </c>
      <c r="V221" s="368">
        <f t="shared" si="54"/>
        <v>4.9424609029211641E-3</v>
      </c>
      <c r="W221" s="368">
        <f t="shared" si="54"/>
        <v>1.5782133157160594E-2</v>
      </c>
      <c r="X221" s="368">
        <f t="shared" si="54"/>
        <v>2.1390374331550888E-2</v>
      </c>
      <c r="Y221" s="368">
        <f t="shared" si="54"/>
        <v>2.7734540823546094E-2</v>
      </c>
      <c r="Z221" s="368">
        <f t="shared" si="54"/>
        <v>2.0583780806829211E-2</v>
      </c>
      <c r="AA221" s="368">
        <f t="shared" si="54"/>
        <v>1.3760539629005031E-2</v>
      </c>
      <c r="AB221" s="368">
        <f t="shared" si="54"/>
        <v>9.2487856810166136E-3</v>
      </c>
      <c r="AC221" s="368">
        <f t="shared" si="54"/>
        <v>7.6476793248945185E-3</v>
      </c>
      <c r="AD221" s="368">
        <f t="shared" si="54"/>
        <v>1.0075896362208736E-2</v>
      </c>
      <c r="AE221" s="368">
        <f t="shared" si="54"/>
        <v>1.6452908407824873E-2</v>
      </c>
      <c r="AF221" s="368">
        <f t="shared" si="54"/>
        <v>2.3770073923017998E-2</v>
      </c>
      <c r="AG221" s="368">
        <f t="shared" si="54"/>
        <v>2.906940553999382E-2</v>
      </c>
      <c r="AH221" s="368">
        <f t="shared" si="54"/>
        <v>2.1473505927897429E-2</v>
      </c>
      <c r="AI221" s="368">
        <f t="shared" si="54"/>
        <v>1.29685556937289E-2</v>
      </c>
      <c r="AJ221" s="368">
        <f t="shared" ref="AJ221:AU221" si="55">SUM(AJ$54:AJ$58)/SUM(AI$54:AI$58)-1</f>
        <v>3.7998363147433434E-3</v>
      </c>
      <c r="AK221" s="368">
        <f t="shared" si="55"/>
        <v>-1.6306563391764728E-3</v>
      </c>
      <c r="AL221" s="368">
        <f t="shared" si="55"/>
        <v>-1.0383246806276669E-2</v>
      </c>
      <c r="AM221" s="368">
        <f t="shared" si="55"/>
        <v>-1.3734158561744758E-2</v>
      </c>
      <c r="AN221" s="368">
        <f t="shared" si="55"/>
        <v>-1.0698063590724338E-2</v>
      </c>
      <c r="AO221" s="368">
        <f t="shared" si="55"/>
        <v>-9.243037515858199E-3</v>
      </c>
      <c r="AP221" s="368">
        <f t="shared" si="55"/>
        <v>-4.3292682926828752E-3</v>
      </c>
      <c r="AQ221" s="368">
        <f t="shared" si="55"/>
        <v>-5.1442219364321584E-3</v>
      </c>
      <c r="AR221" s="368">
        <f t="shared" si="55"/>
        <v>-5.3554939981532712E-3</v>
      </c>
      <c r="AS221" s="368">
        <f t="shared" si="55"/>
        <v>-3.5895531625200761E-3</v>
      </c>
      <c r="AT221" s="368">
        <f t="shared" si="55"/>
        <v>3.5403726708074235E-3</v>
      </c>
      <c r="AU221" s="368">
        <f t="shared" si="55"/>
        <v>-1.9805656990777853E-3</v>
      </c>
    </row>
    <row r="222" spans="1:47" x14ac:dyDescent="0.2">
      <c r="A222" s="343" t="s">
        <v>333</v>
      </c>
      <c r="B222" s="344"/>
      <c r="C222" s="345"/>
      <c r="D222" s="368">
        <f t="shared" ref="D222:AI222" si="56">SUM(D$59:D$63)/SUM(C$59:C$63)-1</f>
        <v>2.2781497729546629E-2</v>
      </c>
      <c r="E222" s="368">
        <f t="shared" si="56"/>
        <v>2.0618556701030855E-2</v>
      </c>
      <c r="F222" s="368">
        <f t="shared" si="56"/>
        <v>2.9344540293445354E-2</v>
      </c>
      <c r="G222" s="368">
        <f t="shared" si="56"/>
        <v>2.5356349831674008E-2</v>
      </c>
      <c r="H222" s="368">
        <f t="shared" si="56"/>
        <v>2.3402025847013563E-2</v>
      </c>
      <c r="I222" s="368">
        <f t="shared" si="56"/>
        <v>2.3344709897610949E-2</v>
      </c>
      <c r="J222" s="368">
        <f t="shared" si="56"/>
        <v>2.1077908217716157E-2</v>
      </c>
      <c r="K222" s="368">
        <f t="shared" si="56"/>
        <v>9.4721714136398738E-3</v>
      </c>
      <c r="L222" s="368">
        <f t="shared" si="56"/>
        <v>-5.8241118229473976E-4</v>
      </c>
      <c r="M222" s="368">
        <f t="shared" si="56"/>
        <v>-8.6765086765087096E-3</v>
      </c>
      <c r="N222" s="368">
        <f t="shared" si="56"/>
        <v>-1.4239059438275636E-2</v>
      </c>
      <c r="O222" s="368">
        <f t="shared" si="56"/>
        <v>-1.1661807580174877E-2</v>
      </c>
      <c r="P222" s="368">
        <f t="shared" si="56"/>
        <v>-6.8382944489139286E-3</v>
      </c>
      <c r="Q222" s="368">
        <f t="shared" si="56"/>
        <v>-7.4254083974623075E-4</v>
      </c>
      <c r="R222" s="368">
        <f t="shared" si="56"/>
        <v>5.9447409308923671E-3</v>
      </c>
      <c r="S222" s="368">
        <f t="shared" si="56"/>
        <v>5.5066818883888757E-3</v>
      </c>
      <c r="T222" s="368">
        <f t="shared" si="56"/>
        <v>-4.1407867494823725E-3</v>
      </c>
      <c r="U222" s="368">
        <f t="shared" si="56"/>
        <v>-1.3681174971497567E-2</v>
      </c>
      <c r="V222" s="368">
        <f t="shared" si="56"/>
        <v>-1.7270687427755504E-2</v>
      </c>
      <c r="W222" s="368">
        <f t="shared" si="56"/>
        <v>-2.6361309070781158E-2</v>
      </c>
      <c r="X222" s="368">
        <f t="shared" si="56"/>
        <v>-2.5014212620807275E-2</v>
      </c>
      <c r="Y222" s="368">
        <f t="shared" si="56"/>
        <v>-1.9023323615160348E-2</v>
      </c>
      <c r="Z222" s="368">
        <f t="shared" si="56"/>
        <v>-6.1668771825543756E-3</v>
      </c>
      <c r="AA222" s="368">
        <f t="shared" si="56"/>
        <v>5.2332535885166731E-3</v>
      </c>
      <c r="AB222" s="368">
        <f t="shared" si="56"/>
        <v>1.5989885467797116E-2</v>
      </c>
      <c r="AC222" s="368">
        <f t="shared" si="56"/>
        <v>2.1521118512553894E-2</v>
      </c>
      <c r="AD222" s="368">
        <f t="shared" si="56"/>
        <v>2.7875313507703225E-2</v>
      </c>
      <c r="AE222" s="368">
        <f t="shared" si="56"/>
        <v>2.0844952593418897E-2</v>
      </c>
      <c r="AF222" s="368">
        <f t="shared" si="56"/>
        <v>1.3794987365976841E-2</v>
      </c>
      <c r="AG222" s="368">
        <f t="shared" si="56"/>
        <v>9.3634220276186397E-3</v>
      </c>
      <c r="AH222" s="368">
        <f t="shared" si="56"/>
        <v>7.741591030432371E-3</v>
      </c>
      <c r="AI222" s="368">
        <f t="shared" si="56"/>
        <v>1.0264900662251719E-2</v>
      </c>
      <c r="AJ222" s="368">
        <f t="shared" ref="AJ222:AU222" si="57">SUM(AJ$59:AJ$63)/SUM(AI$59:AI$63)-1</f>
        <v>1.6650278597181156E-2</v>
      </c>
      <c r="AK222" s="368">
        <f t="shared" si="57"/>
        <v>2.3857115223418601E-2</v>
      </c>
      <c r="AL222" s="368">
        <f t="shared" si="57"/>
        <v>2.9220983689149271E-2</v>
      </c>
      <c r="AM222" s="368">
        <f t="shared" si="57"/>
        <v>2.1477084990515927E-2</v>
      </c>
      <c r="AN222" s="368">
        <f t="shared" si="57"/>
        <v>1.3058583922367362E-2</v>
      </c>
      <c r="AO222" s="368">
        <f t="shared" si="57"/>
        <v>4.0208136234627379E-3</v>
      </c>
      <c r="AP222" s="368">
        <f t="shared" si="57"/>
        <v>-1.5901060070671047E-3</v>
      </c>
      <c r="AQ222" s="368">
        <f t="shared" si="57"/>
        <v>-1.0322656756916126E-2</v>
      </c>
      <c r="AR222" s="368">
        <f t="shared" si="57"/>
        <v>-1.3648825843366352E-2</v>
      </c>
      <c r="AS222" s="368">
        <f t="shared" si="57"/>
        <v>-1.0755936914617181E-2</v>
      </c>
      <c r="AT222" s="368">
        <f t="shared" si="57"/>
        <v>-9.2847107690428032E-3</v>
      </c>
      <c r="AU222" s="368">
        <f t="shared" si="57"/>
        <v>-4.1926136013317183E-3</v>
      </c>
    </row>
    <row r="223" spans="1:47" x14ac:dyDescent="0.2">
      <c r="A223" s="343" t="s">
        <v>334</v>
      </c>
      <c r="B223" s="344"/>
      <c r="C223" s="345"/>
      <c r="D223" s="368">
        <f t="shared" ref="D223:AI223" si="58">SUM(D$64:D$68)/SUM(C$64:C$68)-1</f>
        <v>-8.3277814790116977E-5</v>
      </c>
      <c r="E223" s="368">
        <f t="shared" si="58"/>
        <v>2.5818272674273945E-3</v>
      </c>
      <c r="F223" s="368">
        <f t="shared" si="58"/>
        <v>1.1629838843661755E-2</v>
      </c>
      <c r="G223" s="368">
        <f t="shared" si="58"/>
        <v>1.4205945146986476E-2</v>
      </c>
      <c r="H223" s="368">
        <f t="shared" si="58"/>
        <v>2.3965670795887073E-2</v>
      </c>
      <c r="I223" s="368">
        <f t="shared" si="58"/>
        <v>2.3879180833399127E-2</v>
      </c>
      <c r="J223" s="368">
        <f t="shared" si="58"/>
        <v>2.3013360105027525E-2</v>
      </c>
      <c r="K223" s="368">
        <f t="shared" si="58"/>
        <v>2.8006341058352868E-2</v>
      </c>
      <c r="L223" s="368">
        <f t="shared" si="58"/>
        <v>2.5848142164781818E-2</v>
      </c>
      <c r="M223" s="368">
        <f t="shared" si="58"/>
        <v>2.3979957050823231E-2</v>
      </c>
      <c r="N223" s="368">
        <f t="shared" si="58"/>
        <v>2.3767913317022105E-2</v>
      </c>
      <c r="O223" s="368">
        <f t="shared" si="58"/>
        <v>2.1235916695117707E-2</v>
      </c>
      <c r="P223" s="368">
        <f t="shared" si="58"/>
        <v>9.962556833377878E-3</v>
      </c>
      <c r="Q223" s="368">
        <f t="shared" si="58"/>
        <v>-2.6481297583580421E-4</v>
      </c>
      <c r="R223" s="368">
        <f t="shared" si="58"/>
        <v>-8.4762598503410613E-3</v>
      </c>
      <c r="S223" s="368">
        <f t="shared" si="58"/>
        <v>-1.3891671675682948E-2</v>
      </c>
      <c r="T223" s="368">
        <f t="shared" si="58"/>
        <v>-1.1513714866237756E-2</v>
      </c>
      <c r="U223" s="368">
        <f t="shared" si="58"/>
        <v>-6.4405618362453065E-3</v>
      </c>
      <c r="V223" s="368">
        <f t="shared" si="58"/>
        <v>-4.8272532928761436E-4</v>
      </c>
      <c r="W223" s="368">
        <f t="shared" si="58"/>
        <v>6.2784600524354861E-3</v>
      </c>
      <c r="X223" s="368">
        <f t="shared" si="58"/>
        <v>5.7593417895098753E-3</v>
      </c>
      <c r="Y223" s="368">
        <f t="shared" si="58"/>
        <v>-4.090258367986932E-3</v>
      </c>
      <c r="Z223" s="368">
        <f t="shared" si="58"/>
        <v>-1.3347936203709998E-2</v>
      </c>
      <c r="AA223" s="368">
        <f t="shared" si="58"/>
        <v>-1.7274871652560031E-2</v>
      </c>
      <c r="AB223" s="368">
        <f t="shared" si="58"/>
        <v>-2.619131662548535E-2</v>
      </c>
      <c r="AC223" s="368">
        <f t="shared" si="58"/>
        <v>-2.4865883717558379E-2</v>
      </c>
      <c r="AD223" s="368">
        <f t="shared" si="58"/>
        <v>-1.8809010482492061E-2</v>
      </c>
      <c r="AE223" s="368">
        <f t="shared" si="58"/>
        <v>-5.9099863615699189E-3</v>
      </c>
      <c r="AF223" s="368">
        <f t="shared" si="58"/>
        <v>5.4115853658536217E-3</v>
      </c>
      <c r="AG223" s="368">
        <f t="shared" si="58"/>
        <v>1.6223182472898223E-2</v>
      </c>
      <c r="AH223" s="368">
        <f t="shared" si="58"/>
        <v>2.1708317791868659E-2</v>
      </c>
      <c r="AI223" s="368">
        <f t="shared" si="58"/>
        <v>2.8183411214953269E-2</v>
      </c>
      <c r="AJ223" s="368">
        <f t="shared" ref="AJ223:AU223" si="59">SUM(AJ$64:AJ$68)/SUM(AI$64:AI$68)-1</f>
        <v>2.1090754154239555E-2</v>
      </c>
      <c r="AK223" s="368">
        <f t="shared" si="59"/>
        <v>1.3839627234160989E-2</v>
      </c>
      <c r="AL223" s="368">
        <f t="shared" si="59"/>
        <v>9.5349156262862778E-3</v>
      </c>
      <c r="AM223" s="368">
        <f t="shared" si="59"/>
        <v>8.0179384385403729E-3</v>
      </c>
      <c r="AN223" s="368">
        <f t="shared" si="59"/>
        <v>1.0246039770812176E-2</v>
      </c>
      <c r="AO223" s="368">
        <f t="shared" si="59"/>
        <v>1.6881297124174299E-2</v>
      </c>
      <c r="AP223" s="368">
        <f t="shared" si="59"/>
        <v>2.4015748031495976E-2</v>
      </c>
      <c r="AQ223" s="368">
        <f t="shared" si="59"/>
        <v>2.9475842624631543E-2</v>
      </c>
      <c r="AR223" s="368">
        <f t="shared" si="59"/>
        <v>2.1598406572886919E-2</v>
      </c>
      <c r="AS223" s="368">
        <f t="shared" si="59"/>
        <v>1.328215438981295E-2</v>
      </c>
      <c r="AT223" s="368">
        <f t="shared" si="59"/>
        <v>3.9684925741085841E-3</v>
      </c>
      <c r="AU223" s="368">
        <f t="shared" si="59"/>
        <v>-1.6170569563395132E-3</v>
      </c>
    </row>
    <row r="224" spans="1:47" x14ac:dyDescent="0.2">
      <c r="A224" s="343" t="s">
        <v>335</v>
      </c>
      <c r="B224" s="344"/>
      <c r="C224" s="345"/>
      <c r="D224" s="368">
        <f t="shared" ref="D224:AI224" si="60">SUM(D$69:D$73)/SUM(C$69:C$73)-1</f>
        <v>5.7997823721436248E-2</v>
      </c>
      <c r="E224" s="368">
        <f t="shared" si="60"/>
        <v>7.0657204566491716E-2</v>
      </c>
      <c r="F224" s="368">
        <f t="shared" si="60"/>
        <v>4.3131604226705145E-2</v>
      </c>
      <c r="G224" s="368">
        <f t="shared" si="60"/>
        <v>3.858550511096781E-2</v>
      </c>
      <c r="H224" s="368">
        <f t="shared" si="60"/>
        <v>2.8196488739138159E-2</v>
      </c>
      <c r="I224" s="368">
        <f t="shared" si="60"/>
        <v>6.0365643325277496E-4</v>
      </c>
      <c r="J224" s="368">
        <f t="shared" si="60"/>
        <v>4.6539688011721925E-3</v>
      </c>
      <c r="K224" s="368">
        <f t="shared" si="60"/>
        <v>1.1581024277258267E-2</v>
      </c>
      <c r="L224" s="368">
        <f t="shared" si="60"/>
        <v>1.4840569877883292E-2</v>
      </c>
      <c r="M224" s="368">
        <f t="shared" si="60"/>
        <v>2.4483997660232237E-2</v>
      </c>
      <c r="N224" s="368">
        <f t="shared" si="60"/>
        <v>2.4469820554649191E-2</v>
      </c>
      <c r="O224" s="368">
        <f t="shared" si="60"/>
        <v>2.3487261146496907E-2</v>
      </c>
      <c r="P224" s="368">
        <f t="shared" si="60"/>
        <v>2.8549202644885252E-2</v>
      </c>
      <c r="Q224" s="368">
        <f t="shared" si="60"/>
        <v>2.6319770080169391E-2</v>
      </c>
      <c r="R224" s="368">
        <f t="shared" si="60"/>
        <v>2.446573323507728E-2</v>
      </c>
      <c r="S224" s="368">
        <f t="shared" si="60"/>
        <v>2.4313048482232702E-2</v>
      </c>
      <c r="T224" s="368">
        <f t="shared" si="60"/>
        <v>2.169943820224729E-2</v>
      </c>
      <c r="U224" s="368">
        <f t="shared" si="60"/>
        <v>1.0241253694412089E-2</v>
      </c>
      <c r="V224" s="368">
        <f t="shared" si="60"/>
        <v>6.8036467546495061E-5</v>
      </c>
      <c r="W224" s="368">
        <f t="shared" si="60"/>
        <v>-8.0277569902714729E-3</v>
      </c>
      <c r="X224" s="368">
        <f t="shared" si="60"/>
        <v>-1.3510733145874809E-2</v>
      </c>
      <c r="Y224" s="368">
        <f t="shared" si="60"/>
        <v>-1.0914905450500556E-2</v>
      </c>
      <c r="Z224" s="368">
        <f t="shared" si="60"/>
        <v>-6.185422084768355E-3</v>
      </c>
      <c r="AA224" s="368">
        <f t="shared" si="60"/>
        <v>0</v>
      </c>
      <c r="AB224" s="368">
        <f t="shared" si="60"/>
        <v>6.5775514534267554E-3</v>
      </c>
      <c r="AC224" s="368">
        <f t="shared" si="60"/>
        <v>6.0427206295672331E-3</v>
      </c>
      <c r="AD224" s="368">
        <f t="shared" si="60"/>
        <v>-3.7714764631932018E-3</v>
      </c>
      <c r="AE224" s="368">
        <f t="shared" si="60"/>
        <v>-1.3109927089175577E-2</v>
      </c>
      <c r="AF224" s="368">
        <f t="shared" si="60"/>
        <v>-1.6907011437095942E-2</v>
      </c>
      <c r="AG224" s="368">
        <f t="shared" si="60"/>
        <v>-2.594118072115037E-2</v>
      </c>
      <c r="AH224" s="368">
        <f t="shared" si="60"/>
        <v>-2.4629080118694358E-2</v>
      </c>
      <c r="AI224" s="368">
        <f t="shared" si="60"/>
        <v>-1.8405841192576822E-2</v>
      </c>
      <c r="AJ224" s="368">
        <f t="shared" ref="AJ224:AU224" si="61">SUM(AJ$69:AJ$73)/SUM(AI$69:AI$73)-1</f>
        <v>-5.6562838989617781E-3</v>
      </c>
      <c r="AK224" s="368">
        <f t="shared" si="61"/>
        <v>5.7663835424297538E-3</v>
      </c>
      <c r="AL224" s="368">
        <f t="shared" si="61"/>
        <v>1.6425195630278111E-2</v>
      </c>
      <c r="AM224" s="368">
        <f t="shared" si="61"/>
        <v>2.1876667428919916E-2</v>
      </c>
      <c r="AN224" s="368">
        <f t="shared" si="61"/>
        <v>2.8345516932716697E-2</v>
      </c>
      <c r="AO224" s="368">
        <f t="shared" si="61"/>
        <v>2.1108370810967614E-2</v>
      </c>
      <c r="AP224" s="368">
        <f t="shared" si="61"/>
        <v>1.4065496909853037E-2</v>
      </c>
      <c r="AQ224" s="368">
        <f t="shared" si="61"/>
        <v>9.7373029772329645E-3</v>
      </c>
      <c r="AR224" s="368">
        <f t="shared" si="61"/>
        <v>7.9089773830998134E-3</v>
      </c>
      <c r="AS224" s="368">
        <f t="shared" si="61"/>
        <v>1.0462555066079293E-2</v>
      </c>
      <c r="AT224" s="368">
        <f t="shared" si="61"/>
        <v>1.7029972752043543E-2</v>
      </c>
      <c r="AU224" s="368">
        <f t="shared" si="61"/>
        <v>2.417950435365035E-2</v>
      </c>
    </row>
    <row r="225" spans="1:47" x14ac:dyDescent="0.2">
      <c r="A225" s="343" t="s">
        <v>336</v>
      </c>
      <c r="B225" s="346"/>
      <c r="C225" s="345"/>
      <c r="D225" s="368">
        <f t="shared" ref="D225:AI225" si="62">SUM(D$74:D$99)/SUM(C$74:C$99)-1</f>
        <v>3.4417995195457518E-2</v>
      </c>
      <c r="E225" s="368">
        <f t="shared" si="62"/>
        <v>2.4785711269687205E-2</v>
      </c>
      <c r="F225" s="368">
        <f t="shared" si="62"/>
        <v>3.1437989287185886E-2</v>
      </c>
      <c r="G225" s="368">
        <f t="shared" si="62"/>
        <v>3.1997762952902242E-2</v>
      </c>
      <c r="H225" s="368">
        <f t="shared" si="62"/>
        <v>3.363784160408767E-2</v>
      </c>
      <c r="I225" s="368">
        <f t="shared" si="62"/>
        <v>4.4788975021533117E-2</v>
      </c>
      <c r="J225" s="368">
        <f t="shared" si="62"/>
        <v>4.0969210365962905E-2</v>
      </c>
      <c r="K225" s="368">
        <f t="shared" si="62"/>
        <v>3.7876179326492565E-2</v>
      </c>
      <c r="L225" s="368">
        <f t="shared" si="62"/>
        <v>3.6261694645345344E-2</v>
      </c>
      <c r="M225" s="368">
        <f t="shared" si="62"/>
        <v>3.3776212582039333E-2</v>
      </c>
      <c r="N225" s="368">
        <f t="shared" si="62"/>
        <v>3.3323010219882265E-2</v>
      </c>
      <c r="O225" s="368">
        <f t="shared" si="62"/>
        <v>3.188874902595451E-2</v>
      </c>
      <c r="P225" s="368">
        <f t="shared" si="62"/>
        <v>3.1658437409236129E-2</v>
      </c>
      <c r="Q225" s="368">
        <f t="shared" si="62"/>
        <v>3.1672297297297369E-2</v>
      </c>
      <c r="R225" s="368">
        <f t="shared" si="62"/>
        <v>3.2664756446991294E-2</v>
      </c>
      <c r="S225" s="368">
        <f t="shared" si="62"/>
        <v>3.2160033824850665E-2</v>
      </c>
      <c r="T225" s="368">
        <f t="shared" si="62"/>
        <v>3.0722752758647109E-2</v>
      </c>
      <c r="U225" s="368">
        <f t="shared" si="62"/>
        <v>3.2042524652872606E-2</v>
      </c>
      <c r="V225" s="368">
        <f t="shared" si="62"/>
        <v>3.1192086452140888E-2</v>
      </c>
      <c r="W225" s="368">
        <f t="shared" si="62"/>
        <v>3.1345547905239801E-2</v>
      </c>
      <c r="X225" s="368">
        <f t="shared" si="62"/>
        <v>3.0822847831990519E-2</v>
      </c>
      <c r="Y225" s="368">
        <f t="shared" si="62"/>
        <v>2.8649835345773811E-2</v>
      </c>
      <c r="Z225" s="368">
        <f t="shared" si="62"/>
        <v>2.6485967346067563E-2</v>
      </c>
      <c r="AA225" s="368">
        <f t="shared" si="62"/>
        <v>2.2663007318695971E-2</v>
      </c>
      <c r="AB225" s="368">
        <f t="shared" si="62"/>
        <v>2.0696946285528428E-2</v>
      </c>
      <c r="AC225" s="368">
        <f t="shared" si="62"/>
        <v>1.8942713727989835E-2</v>
      </c>
      <c r="AD225" s="368">
        <f t="shared" si="62"/>
        <v>1.8140944189228847E-2</v>
      </c>
      <c r="AE225" s="368">
        <f t="shared" si="62"/>
        <v>1.7932914770654618E-2</v>
      </c>
      <c r="AF225" s="368">
        <f t="shared" si="62"/>
        <v>1.6428692683478907E-2</v>
      </c>
      <c r="AG225" s="368">
        <f t="shared" si="62"/>
        <v>1.6385837292161476E-2</v>
      </c>
      <c r="AH225" s="368">
        <f t="shared" si="62"/>
        <v>1.4880137298935558E-2</v>
      </c>
      <c r="AI225" s="368">
        <f t="shared" si="62"/>
        <v>1.1819522901449941E-2</v>
      </c>
      <c r="AJ225" s="368">
        <f t="shared" ref="AJ225:AU225" si="63">SUM(AJ$74:AJ$99)/SUM(AI$74:AI$99)-1</f>
        <v>9.3522749497714219E-3</v>
      </c>
      <c r="AK225" s="368">
        <f t="shared" si="63"/>
        <v>7.4512498018284301E-3</v>
      </c>
      <c r="AL225" s="368">
        <f t="shared" si="63"/>
        <v>5.5777031752692885E-3</v>
      </c>
      <c r="AM225" s="368">
        <f t="shared" si="63"/>
        <v>4.9381857383805627E-3</v>
      </c>
      <c r="AN225" s="368">
        <f t="shared" si="63"/>
        <v>3.9622804740895301E-3</v>
      </c>
      <c r="AO225" s="368">
        <f t="shared" si="63"/>
        <v>4.6187784365090412E-3</v>
      </c>
      <c r="AP225" s="368">
        <f t="shared" si="63"/>
        <v>5.2665888972758257E-3</v>
      </c>
      <c r="AQ225" s="368">
        <f t="shared" si="63"/>
        <v>6.0922541340295844E-3</v>
      </c>
      <c r="AR225" s="368">
        <f t="shared" si="63"/>
        <v>6.7168736006513186E-3</v>
      </c>
      <c r="AS225" s="368">
        <f t="shared" si="63"/>
        <v>7.3123062407332018E-3</v>
      </c>
      <c r="AT225" s="368">
        <f t="shared" si="63"/>
        <v>6.5734452881944794E-3</v>
      </c>
      <c r="AU225" s="368">
        <f t="shared" si="63"/>
        <v>5.8990677811197045E-3</v>
      </c>
    </row>
    <row r="226" spans="1:47" x14ac:dyDescent="0.2">
      <c r="C226" s="342"/>
      <c r="D226" s="342"/>
      <c r="E226" s="342"/>
      <c r="F226" s="342"/>
      <c r="G226" s="342"/>
      <c r="H226" s="342"/>
      <c r="I226" s="342"/>
    </row>
    <row r="227" spans="1:47" ht="18.75" x14ac:dyDescent="0.3">
      <c r="A227" s="1" t="s">
        <v>227</v>
      </c>
      <c r="C227" s="373"/>
      <c r="D227" s="373"/>
      <c r="E227" s="373"/>
      <c r="F227" s="373"/>
      <c r="G227" s="373"/>
      <c r="H227" s="373"/>
      <c r="I227" s="373"/>
      <c r="J227" s="373"/>
    </row>
    <row r="228" spans="1:47" ht="15.75" x14ac:dyDescent="0.25">
      <c r="A228" s="11" t="s">
        <v>624</v>
      </c>
    </row>
    <row r="229" spans="1:47" s="103" customFormat="1" x14ac:dyDescent="0.2">
      <c r="A229" s="333" t="s">
        <v>769</v>
      </c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</row>
    <row r="230" spans="1:47" s="103" customFormat="1" x14ac:dyDescent="0.2">
      <c r="A230" s="334" t="s">
        <v>379</v>
      </c>
      <c r="B230" s="22"/>
      <c r="C230" s="335">
        <v>0.53775598299981164</v>
      </c>
      <c r="D230" s="335">
        <v>0.53632305494100296</v>
      </c>
      <c r="E230" s="335">
        <v>0.54326901183970855</v>
      </c>
      <c r="F230" s="335">
        <v>0.53397220126479061</v>
      </c>
      <c r="G230" s="335">
        <v>0.52011835799675055</v>
      </c>
      <c r="H230" s="335">
        <v>0.50906512621444544</v>
      </c>
      <c r="I230" s="335">
        <v>0.50869181250037876</v>
      </c>
      <c r="J230" s="335">
        <v>0.5133510872357373</v>
      </c>
      <c r="K230" s="335">
        <f t="shared" ref="K230:AU230" si="64">J230*K264/J264</f>
        <v>0.5133510872357373</v>
      </c>
      <c r="L230" s="335">
        <f t="shared" si="64"/>
        <v>0.5133510872357373</v>
      </c>
      <c r="M230" s="335">
        <f t="shared" si="64"/>
        <v>0.5133510872357373</v>
      </c>
      <c r="N230" s="335">
        <f t="shared" si="64"/>
        <v>0.5133510872357373</v>
      </c>
      <c r="O230" s="335">
        <f t="shared" si="64"/>
        <v>0.5133510872357373</v>
      </c>
      <c r="P230" s="335">
        <f t="shared" si="64"/>
        <v>0.5133510872357373</v>
      </c>
      <c r="Q230" s="335">
        <f t="shared" si="64"/>
        <v>0.5133510872357373</v>
      </c>
      <c r="R230" s="335">
        <f t="shared" si="64"/>
        <v>0.5133510872357373</v>
      </c>
      <c r="S230" s="335">
        <f t="shared" si="64"/>
        <v>0.5133510872357373</v>
      </c>
      <c r="T230" s="335">
        <f t="shared" si="64"/>
        <v>0.5133510872357373</v>
      </c>
      <c r="U230" s="335">
        <f t="shared" si="64"/>
        <v>0.5133510872357373</v>
      </c>
      <c r="V230" s="335">
        <f t="shared" si="64"/>
        <v>0.5133510872357373</v>
      </c>
      <c r="W230" s="335">
        <f t="shared" si="64"/>
        <v>0.5133510872357373</v>
      </c>
      <c r="X230" s="335">
        <f t="shared" si="64"/>
        <v>0.5133510872357373</v>
      </c>
      <c r="Y230" s="335">
        <f t="shared" si="64"/>
        <v>0.5133510872357373</v>
      </c>
      <c r="Z230" s="335">
        <f t="shared" si="64"/>
        <v>0.5133510872357373</v>
      </c>
      <c r="AA230" s="335">
        <f t="shared" si="64"/>
        <v>0.5133510872357373</v>
      </c>
      <c r="AB230" s="335">
        <f t="shared" si="64"/>
        <v>0.5133510872357373</v>
      </c>
      <c r="AC230" s="335">
        <f t="shared" si="64"/>
        <v>0.5133510872357373</v>
      </c>
      <c r="AD230" s="335">
        <f t="shared" si="64"/>
        <v>0.5133510872357373</v>
      </c>
      <c r="AE230" s="335">
        <f t="shared" si="64"/>
        <v>0.5133510872357373</v>
      </c>
      <c r="AF230" s="335">
        <f t="shared" si="64"/>
        <v>0.5133510872357373</v>
      </c>
      <c r="AG230" s="335">
        <f t="shared" si="64"/>
        <v>0.5133510872357373</v>
      </c>
      <c r="AH230" s="335">
        <f t="shared" si="64"/>
        <v>0.5133510872357373</v>
      </c>
      <c r="AI230" s="335">
        <f t="shared" si="64"/>
        <v>0.5133510872357373</v>
      </c>
      <c r="AJ230" s="335">
        <f t="shared" si="64"/>
        <v>0.5133510872357373</v>
      </c>
      <c r="AK230" s="335">
        <f t="shared" si="64"/>
        <v>0.5133510872357373</v>
      </c>
      <c r="AL230" s="335">
        <f t="shared" si="64"/>
        <v>0.5133510872357373</v>
      </c>
      <c r="AM230" s="335">
        <f t="shared" si="64"/>
        <v>0.5133510872357373</v>
      </c>
      <c r="AN230" s="335">
        <f t="shared" si="64"/>
        <v>0.5133510872357373</v>
      </c>
      <c r="AO230" s="335">
        <f t="shared" si="64"/>
        <v>0.5133510872357373</v>
      </c>
      <c r="AP230" s="335">
        <f t="shared" si="64"/>
        <v>0.5133510872357373</v>
      </c>
      <c r="AQ230" s="335">
        <f t="shared" si="64"/>
        <v>0.5133510872357373</v>
      </c>
      <c r="AR230" s="335">
        <f t="shared" si="64"/>
        <v>0.5133510872357373</v>
      </c>
      <c r="AS230" s="335">
        <f t="shared" si="64"/>
        <v>0.5133510872357373</v>
      </c>
      <c r="AT230" s="335">
        <f t="shared" si="64"/>
        <v>0.5133510872357373</v>
      </c>
      <c r="AU230" s="335">
        <f t="shared" si="64"/>
        <v>0.5133510872357373</v>
      </c>
    </row>
    <row r="231" spans="1:47" s="103" customFormat="1" x14ac:dyDescent="0.2">
      <c r="A231" s="334" t="s">
        <v>380</v>
      </c>
      <c r="B231" s="22"/>
      <c r="C231" s="335">
        <v>0.79758964689749734</v>
      </c>
      <c r="D231" s="335">
        <v>0.80915164324030686</v>
      </c>
      <c r="E231" s="335">
        <v>0.78223232761497896</v>
      </c>
      <c r="F231" s="335">
        <v>0.77814455026948459</v>
      </c>
      <c r="G231" s="335">
        <v>0.763103461162283</v>
      </c>
      <c r="H231" s="335">
        <v>0.74972946593011913</v>
      </c>
      <c r="I231" s="335">
        <v>0.74642677328624996</v>
      </c>
      <c r="J231" s="335">
        <v>0.74863867251865379</v>
      </c>
      <c r="K231" s="335">
        <f t="shared" ref="K231:AU231" si="65">J231*K265/J265</f>
        <v>0.74935738333561486</v>
      </c>
      <c r="L231" s="335">
        <f t="shared" si="65"/>
        <v>0.75007609415257592</v>
      </c>
      <c r="M231" s="335">
        <f t="shared" si="65"/>
        <v>0.75079480496953699</v>
      </c>
      <c r="N231" s="335">
        <f t="shared" si="65"/>
        <v>0.75151351578649805</v>
      </c>
      <c r="O231" s="335">
        <f t="shared" si="65"/>
        <v>0.75173465757633229</v>
      </c>
      <c r="P231" s="335">
        <f t="shared" si="65"/>
        <v>0.75195579936616641</v>
      </c>
      <c r="Q231" s="335">
        <f t="shared" si="65"/>
        <v>0.75217694115600053</v>
      </c>
      <c r="R231" s="335">
        <f t="shared" si="65"/>
        <v>0.75239808294583477</v>
      </c>
      <c r="S231" s="335">
        <f t="shared" si="65"/>
        <v>0.752619224735669</v>
      </c>
      <c r="T231" s="335">
        <f t="shared" si="65"/>
        <v>0.752619224735669</v>
      </c>
      <c r="U231" s="335">
        <f t="shared" si="65"/>
        <v>0.752619224735669</v>
      </c>
      <c r="V231" s="335">
        <f t="shared" si="65"/>
        <v>0.752619224735669</v>
      </c>
      <c r="W231" s="335">
        <f t="shared" si="65"/>
        <v>0.752619224735669</v>
      </c>
      <c r="X231" s="335">
        <f t="shared" si="65"/>
        <v>0.752619224735669</v>
      </c>
      <c r="Y231" s="335">
        <f t="shared" si="65"/>
        <v>0.752619224735669</v>
      </c>
      <c r="Z231" s="335">
        <f t="shared" si="65"/>
        <v>0.752619224735669</v>
      </c>
      <c r="AA231" s="335">
        <f t="shared" si="65"/>
        <v>0.752619224735669</v>
      </c>
      <c r="AB231" s="335">
        <f t="shared" si="65"/>
        <v>0.752619224735669</v>
      </c>
      <c r="AC231" s="335">
        <f t="shared" si="65"/>
        <v>0.752619224735669</v>
      </c>
      <c r="AD231" s="335">
        <f t="shared" si="65"/>
        <v>0.752619224735669</v>
      </c>
      <c r="AE231" s="335">
        <f t="shared" si="65"/>
        <v>0.752619224735669</v>
      </c>
      <c r="AF231" s="335">
        <f t="shared" si="65"/>
        <v>0.752619224735669</v>
      </c>
      <c r="AG231" s="335">
        <f t="shared" si="65"/>
        <v>0.752619224735669</v>
      </c>
      <c r="AH231" s="335">
        <f t="shared" si="65"/>
        <v>0.752619224735669</v>
      </c>
      <c r="AI231" s="335">
        <f t="shared" si="65"/>
        <v>0.752619224735669</v>
      </c>
      <c r="AJ231" s="335">
        <f t="shared" si="65"/>
        <v>0.752619224735669</v>
      </c>
      <c r="AK231" s="335">
        <f t="shared" si="65"/>
        <v>0.752619224735669</v>
      </c>
      <c r="AL231" s="335">
        <f t="shared" si="65"/>
        <v>0.752619224735669</v>
      </c>
      <c r="AM231" s="335">
        <f t="shared" si="65"/>
        <v>0.752619224735669</v>
      </c>
      <c r="AN231" s="335">
        <f t="shared" si="65"/>
        <v>0.752619224735669</v>
      </c>
      <c r="AO231" s="335">
        <f t="shared" si="65"/>
        <v>0.752619224735669</v>
      </c>
      <c r="AP231" s="335">
        <f t="shared" si="65"/>
        <v>0.752619224735669</v>
      </c>
      <c r="AQ231" s="335">
        <f t="shared" si="65"/>
        <v>0.752619224735669</v>
      </c>
      <c r="AR231" s="335">
        <f t="shared" si="65"/>
        <v>0.752619224735669</v>
      </c>
      <c r="AS231" s="335">
        <f t="shared" si="65"/>
        <v>0.752619224735669</v>
      </c>
      <c r="AT231" s="335">
        <f t="shared" si="65"/>
        <v>0.752619224735669</v>
      </c>
      <c r="AU231" s="335">
        <f t="shared" si="65"/>
        <v>0.752619224735669</v>
      </c>
    </row>
    <row r="232" spans="1:47" s="103" customFormat="1" x14ac:dyDescent="0.2">
      <c r="A232" s="334" t="s">
        <v>381</v>
      </c>
      <c r="B232" s="22"/>
      <c r="C232" s="335">
        <v>0.8927001498659094</v>
      </c>
      <c r="D232" s="335">
        <v>0.90247024038461521</v>
      </c>
      <c r="E232" s="335">
        <v>0.90946347287515861</v>
      </c>
      <c r="F232" s="335">
        <v>0.89204103778573174</v>
      </c>
      <c r="G232" s="335">
        <v>0.88062247917189751</v>
      </c>
      <c r="H232" s="335">
        <v>0.87111912010970294</v>
      </c>
      <c r="I232" s="335">
        <v>0.87053443381627182</v>
      </c>
      <c r="J232" s="335">
        <v>0.87447206917096798</v>
      </c>
      <c r="K232" s="335">
        <f t="shared" ref="K232:AU232" si="66">J232*K266/J266</f>
        <v>0.87456348775347337</v>
      </c>
      <c r="L232" s="335">
        <f t="shared" si="66"/>
        <v>0.87465490633597887</v>
      </c>
      <c r="M232" s="335">
        <f t="shared" si="66"/>
        <v>0.87474632491848425</v>
      </c>
      <c r="N232" s="335">
        <f t="shared" si="66"/>
        <v>0.87483774350098964</v>
      </c>
      <c r="O232" s="335">
        <f t="shared" si="66"/>
        <v>0.87513485389413226</v>
      </c>
      <c r="P232" s="335">
        <f t="shared" si="66"/>
        <v>0.87543196428727499</v>
      </c>
      <c r="Q232" s="335">
        <f t="shared" si="66"/>
        <v>0.87572907468041772</v>
      </c>
      <c r="R232" s="335">
        <f t="shared" si="66"/>
        <v>0.87602618507356045</v>
      </c>
      <c r="S232" s="335">
        <f t="shared" si="66"/>
        <v>0.87632329546670307</v>
      </c>
      <c r="T232" s="335">
        <f t="shared" si="66"/>
        <v>0.87641471404920845</v>
      </c>
      <c r="U232" s="335">
        <f t="shared" si="66"/>
        <v>0.87650613263171384</v>
      </c>
      <c r="V232" s="335">
        <f t="shared" si="66"/>
        <v>0.87659755121421934</v>
      </c>
      <c r="W232" s="335">
        <f t="shared" si="66"/>
        <v>0.87668896979672473</v>
      </c>
      <c r="X232" s="335">
        <f t="shared" si="66"/>
        <v>0.87678038837923011</v>
      </c>
      <c r="Y232" s="335">
        <f t="shared" si="66"/>
        <v>0.87678038837923011</v>
      </c>
      <c r="Z232" s="335">
        <f t="shared" si="66"/>
        <v>0.87678038837923011</v>
      </c>
      <c r="AA232" s="335">
        <f t="shared" si="66"/>
        <v>0.87678038837923011</v>
      </c>
      <c r="AB232" s="335">
        <f t="shared" si="66"/>
        <v>0.87678038837923011</v>
      </c>
      <c r="AC232" s="335">
        <f t="shared" si="66"/>
        <v>0.87678038837923011</v>
      </c>
      <c r="AD232" s="335">
        <f t="shared" si="66"/>
        <v>0.87678038837923011</v>
      </c>
      <c r="AE232" s="335">
        <f t="shared" si="66"/>
        <v>0.87678038837923011</v>
      </c>
      <c r="AF232" s="335">
        <f t="shared" si="66"/>
        <v>0.87678038837923011</v>
      </c>
      <c r="AG232" s="335">
        <f t="shared" si="66"/>
        <v>0.87678038837923011</v>
      </c>
      <c r="AH232" s="335">
        <f t="shared" si="66"/>
        <v>0.87678038837923011</v>
      </c>
      <c r="AI232" s="335">
        <f t="shared" si="66"/>
        <v>0.87678038837923011</v>
      </c>
      <c r="AJ232" s="335">
        <f t="shared" si="66"/>
        <v>0.87678038837923011</v>
      </c>
      <c r="AK232" s="335">
        <f t="shared" si="66"/>
        <v>0.87678038837923011</v>
      </c>
      <c r="AL232" s="335">
        <f t="shared" si="66"/>
        <v>0.87678038837923011</v>
      </c>
      <c r="AM232" s="335">
        <f t="shared" si="66"/>
        <v>0.87678038837923011</v>
      </c>
      <c r="AN232" s="335">
        <f t="shared" si="66"/>
        <v>0.87678038837923011</v>
      </c>
      <c r="AO232" s="335">
        <f t="shared" si="66"/>
        <v>0.87678038837923011</v>
      </c>
      <c r="AP232" s="335">
        <f t="shared" si="66"/>
        <v>0.87678038837923011</v>
      </c>
      <c r="AQ232" s="335">
        <f t="shared" si="66"/>
        <v>0.87678038837923011</v>
      </c>
      <c r="AR232" s="335">
        <f t="shared" si="66"/>
        <v>0.87678038837923011</v>
      </c>
      <c r="AS232" s="335">
        <f t="shared" si="66"/>
        <v>0.87678038837923011</v>
      </c>
      <c r="AT232" s="335">
        <f t="shared" si="66"/>
        <v>0.87678038837923011</v>
      </c>
      <c r="AU232" s="335">
        <f t="shared" si="66"/>
        <v>0.87678038837923011</v>
      </c>
    </row>
    <row r="233" spans="1:47" s="103" customFormat="1" x14ac:dyDescent="0.2">
      <c r="A233" s="334" t="s">
        <v>382</v>
      </c>
      <c r="B233" s="22"/>
      <c r="C233" s="335">
        <v>0.91078913585680754</v>
      </c>
      <c r="D233" s="335">
        <v>0.90854908357218267</v>
      </c>
      <c r="E233" s="335">
        <v>0.90858914519364298</v>
      </c>
      <c r="F233" s="335">
        <v>0.90612349342669762</v>
      </c>
      <c r="G233" s="335">
        <v>0.89624295765080708</v>
      </c>
      <c r="H233" s="335">
        <v>0.88802192716479711</v>
      </c>
      <c r="I233" s="335">
        <v>0.8879691172562193</v>
      </c>
      <c r="J233" s="335">
        <v>0.89222113236115574</v>
      </c>
      <c r="K233" s="335">
        <f t="shared" ref="K233:AU233" si="67">J233*K267/J267</f>
        <v>0.89266864778588484</v>
      </c>
      <c r="L233" s="335">
        <f t="shared" si="67"/>
        <v>0.89311616321061393</v>
      </c>
      <c r="M233" s="335">
        <f t="shared" si="67"/>
        <v>0.89356367863534303</v>
      </c>
      <c r="N233" s="335">
        <f t="shared" si="67"/>
        <v>0.89401119406007212</v>
      </c>
      <c r="O233" s="335">
        <f t="shared" si="67"/>
        <v>0.89406557568130496</v>
      </c>
      <c r="P233" s="335">
        <f t="shared" si="67"/>
        <v>0.8941199573025379</v>
      </c>
      <c r="Q233" s="335">
        <f t="shared" si="67"/>
        <v>0.89417433892377074</v>
      </c>
      <c r="R233" s="335">
        <f t="shared" si="67"/>
        <v>0.89422872054500357</v>
      </c>
      <c r="S233" s="335">
        <f t="shared" si="67"/>
        <v>0.89428310216623652</v>
      </c>
      <c r="T233" s="335">
        <f t="shared" si="67"/>
        <v>0.89445984243524346</v>
      </c>
      <c r="U233" s="335">
        <f t="shared" si="67"/>
        <v>0.89463658270425039</v>
      </c>
      <c r="V233" s="335">
        <f t="shared" si="67"/>
        <v>0.89481332297325744</v>
      </c>
      <c r="W233" s="335">
        <f t="shared" si="67"/>
        <v>0.89499006324226427</v>
      </c>
      <c r="X233" s="335">
        <f t="shared" si="67"/>
        <v>0.8951668035112712</v>
      </c>
      <c r="Y233" s="335">
        <f t="shared" si="67"/>
        <v>0.89522118513250415</v>
      </c>
      <c r="Z233" s="335">
        <f t="shared" si="67"/>
        <v>0.8952755667537371</v>
      </c>
      <c r="AA233" s="335">
        <f t="shared" si="67"/>
        <v>0.89532994837497004</v>
      </c>
      <c r="AB233" s="335">
        <f t="shared" si="67"/>
        <v>0.89538432999620288</v>
      </c>
      <c r="AC233" s="335">
        <f t="shared" si="67"/>
        <v>0.89543871161743582</v>
      </c>
      <c r="AD233" s="335">
        <f t="shared" si="67"/>
        <v>0.89543871161743582</v>
      </c>
      <c r="AE233" s="335">
        <f t="shared" si="67"/>
        <v>0.89543871161743582</v>
      </c>
      <c r="AF233" s="335">
        <f t="shared" si="67"/>
        <v>0.89543871161743582</v>
      </c>
      <c r="AG233" s="335">
        <f t="shared" si="67"/>
        <v>0.89543871161743582</v>
      </c>
      <c r="AH233" s="335">
        <f t="shared" si="67"/>
        <v>0.89543871161743582</v>
      </c>
      <c r="AI233" s="335">
        <f t="shared" si="67"/>
        <v>0.89543871161743582</v>
      </c>
      <c r="AJ233" s="335">
        <f t="shared" si="67"/>
        <v>0.89543871161743582</v>
      </c>
      <c r="AK233" s="335">
        <f t="shared" si="67"/>
        <v>0.89543871161743582</v>
      </c>
      <c r="AL233" s="335">
        <f t="shared" si="67"/>
        <v>0.89543871161743582</v>
      </c>
      <c r="AM233" s="335">
        <f t="shared" si="67"/>
        <v>0.89543871161743582</v>
      </c>
      <c r="AN233" s="335">
        <f t="shared" si="67"/>
        <v>0.89543871161743582</v>
      </c>
      <c r="AO233" s="335">
        <f t="shared" si="67"/>
        <v>0.89543871161743582</v>
      </c>
      <c r="AP233" s="335">
        <f t="shared" si="67"/>
        <v>0.89543871161743582</v>
      </c>
      <c r="AQ233" s="335">
        <f t="shared" si="67"/>
        <v>0.89543871161743582</v>
      </c>
      <c r="AR233" s="335">
        <f t="shared" si="67"/>
        <v>0.89543871161743582</v>
      </c>
      <c r="AS233" s="335">
        <f t="shared" si="67"/>
        <v>0.89543871161743582</v>
      </c>
      <c r="AT233" s="335">
        <f t="shared" si="67"/>
        <v>0.89543871161743582</v>
      </c>
      <c r="AU233" s="335">
        <f t="shared" si="67"/>
        <v>0.89543871161743582</v>
      </c>
    </row>
    <row r="234" spans="1:47" s="103" customFormat="1" x14ac:dyDescent="0.2">
      <c r="A234" s="334" t="s">
        <v>383</v>
      </c>
      <c r="B234" s="22"/>
      <c r="C234" s="335">
        <v>0.90738986857985782</v>
      </c>
      <c r="D234" s="335">
        <v>0.90220667945296862</v>
      </c>
      <c r="E234" s="335">
        <v>0.90674705882352946</v>
      </c>
      <c r="F234" s="335">
        <v>0.90431606201263337</v>
      </c>
      <c r="G234" s="335">
        <v>0.8924968787818538</v>
      </c>
      <c r="H234" s="335">
        <v>0.88345938689931214</v>
      </c>
      <c r="I234" s="335">
        <v>0.88363159864963137</v>
      </c>
      <c r="J234" s="335">
        <v>0.8879710010485905</v>
      </c>
      <c r="K234" s="335">
        <f t="shared" ref="K234:AU234" si="68">J234*K268/J268</f>
        <v>0.89086913939614609</v>
      </c>
      <c r="L234" s="335">
        <f t="shared" si="68"/>
        <v>0.89376727774370179</v>
      </c>
      <c r="M234" s="335">
        <f t="shared" si="68"/>
        <v>0.89666541609125738</v>
      </c>
      <c r="N234" s="335">
        <f t="shared" si="68"/>
        <v>0.8995635544388132</v>
      </c>
      <c r="O234" s="335">
        <f t="shared" si="68"/>
        <v>0.89987505502310827</v>
      </c>
      <c r="P234" s="335">
        <f t="shared" si="68"/>
        <v>0.90018655560740335</v>
      </c>
      <c r="Q234" s="335">
        <f t="shared" si="68"/>
        <v>0.90049805619169843</v>
      </c>
      <c r="R234" s="335">
        <f t="shared" si="68"/>
        <v>0.9008095567759935</v>
      </c>
      <c r="S234" s="335">
        <f t="shared" si="68"/>
        <v>0.90112105736028858</v>
      </c>
      <c r="T234" s="335">
        <f t="shared" si="68"/>
        <v>0.90115891059584852</v>
      </c>
      <c r="U234" s="335">
        <f t="shared" si="68"/>
        <v>0.90119676383140834</v>
      </c>
      <c r="V234" s="335">
        <f t="shared" si="68"/>
        <v>0.90123461706696817</v>
      </c>
      <c r="W234" s="335">
        <f t="shared" si="68"/>
        <v>0.90127247030252799</v>
      </c>
      <c r="X234" s="335">
        <f t="shared" si="68"/>
        <v>0.90131032353808782</v>
      </c>
      <c r="Y234" s="335">
        <f t="shared" si="68"/>
        <v>0.90143334655365748</v>
      </c>
      <c r="Z234" s="335">
        <f t="shared" si="68"/>
        <v>0.90155636956922725</v>
      </c>
      <c r="AA234" s="335">
        <f t="shared" si="68"/>
        <v>0.9016793925847969</v>
      </c>
      <c r="AB234" s="335">
        <f t="shared" si="68"/>
        <v>0.90180241560036667</v>
      </c>
      <c r="AC234" s="335">
        <f t="shared" si="68"/>
        <v>0.90192543861593633</v>
      </c>
      <c r="AD234" s="335">
        <f t="shared" si="68"/>
        <v>0.90196329185149626</v>
      </c>
      <c r="AE234" s="335">
        <f t="shared" si="68"/>
        <v>0.9020011450870562</v>
      </c>
      <c r="AF234" s="335">
        <f t="shared" si="68"/>
        <v>0.90203899832261603</v>
      </c>
      <c r="AG234" s="335">
        <f t="shared" si="68"/>
        <v>0.90207685155817585</v>
      </c>
      <c r="AH234" s="335">
        <f t="shared" si="68"/>
        <v>0.90211470479373579</v>
      </c>
      <c r="AI234" s="335">
        <f t="shared" si="68"/>
        <v>0.90211470479373579</v>
      </c>
      <c r="AJ234" s="335">
        <f t="shared" si="68"/>
        <v>0.90211470479373579</v>
      </c>
      <c r="AK234" s="335">
        <f t="shared" si="68"/>
        <v>0.90211470479373579</v>
      </c>
      <c r="AL234" s="335">
        <f t="shared" si="68"/>
        <v>0.90211470479373579</v>
      </c>
      <c r="AM234" s="335">
        <f t="shared" si="68"/>
        <v>0.90211470479373579</v>
      </c>
      <c r="AN234" s="335">
        <f t="shared" si="68"/>
        <v>0.90211470479373579</v>
      </c>
      <c r="AO234" s="335">
        <f t="shared" si="68"/>
        <v>0.90211470479373579</v>
      </c>
      <c r="AP234" s="335">
        <f t="shared" si="68"/>
        <v>0.90211470479373579</v>
      </c>
      <c r="AQ234" s="335">
        <f t="shared" si="68"/>
        <v>0.90211470479373579</v>
      </c>
      <c r="AR234" s="335">
        <f t="shared" si="68"/>
        <v>0.90211470479373579</v>
      </c>
      <c r="AS234" s="335">
        <f t="shared" si="68"/>
        <v>0.90211470479373579</v>
      </c>
      <c r="AT234" s="335">
        <f t="shared" si="68"/>
        <v>0.90211470479373579</v>
      </c>
      <c r="AU234" s="335">
        <f t="shared" si="68"/>
        <v>0.90211470479373579</v>
      </c>
    </row>
    <row r="235" spans="1:47" s="103" customFormat="1" x14ac:dyDescent="0.2">
      <c r="A235" s="334" t="s">
        <v>384</v>
      </c>
      <c r="B235" s="22"/>
      <c r="C235" s="335">
        <v>0.91954913433792884</v>
      </c>
      <c r="D235" s="335">
        <v>0.91622641509433944</v>
      </c>
      <c r="E235" s="335">
        <v>0.90874620136090378</v>
      </c>
      <c r="F235" s="335">
        <v>0.90914034469004779</v>
      </c>
      <c r="G235" s="335">
        <v>0.89723682261709348</v>
      </c>
      <c r="H235" s="335">
        <v>0.88750566960022259</v>
      </c>
      <c r="I235" s="335">
        <v>0.88742324808223882</v>
      </c>
      <c r="J235" s="335">
        <v>0.89242969085430679</v>
      </c>
      <c r="K235" s="335">
        <f t="shared" ref="K235:AU235" si="69">J235*K269/J269</f>
        <v>0.89416762598742128</v>
      </c>
      <c r="L235" s="335">
        <f t="shared" si="69"/>
        <v>0.89590556112053588</v>
      </c>
      <c r="M235" s="335">
        <f t="shared" si="69"/>
        <v>0.89764349625365036</v>
      </c>
      <c r="N235" s="335">
        <f t="shared" si="69"/>
        <v>0.89938143138676485</v>
      </c>
      <c r="O235" s="335">
        <f t="shared" si="69"/>
        <v>0.90171404258499299</v>
      </c>
      <c r="P235" s="335">
        <f t="shared" si="69"/>
        <v>0.90404665378322102</v>
      </c>
      <c r="Q235" s="335">
        <f t="shared" si="69"/>
        <v>0.90637926498144905</v>
      </c>
      <c r="R235" s="335">
        <f t="shared" si="69"/>
        <v>0.90871187617967708</v>
      </c>
      <c r="S235" s="335">
        <f t="shared" si="69"/>
        <v>0.91104448737790522</v>
      </c>
      <c r="T235" s="335">
        <f t="shared" si="69"/>
        <v>0.9112952034114562</v>
      </c>
      <c r="U235" s="335">
        <f t="shared" si="69"/>
        <v>0.91154591944500729</v>
      </c>
      <c r="V235" s="335">
        <f t="shared" si="69"/>
        <v>0.91179663547855827</v>
      </c>
      <c r="W235" s="335">
        <f t="shared" si="69"/>
        <v>0.91204735151210936</v>
      </c>
      <c r="X235" s="335">
        <f t="shared" si="69"/>
        <v>0.91229806754566034</v>
      </c>
      <c r="Y235" s="335">
        <f t="shared" si="69"/>
        <v>0.91232853430416783</v>
      </c>
      <c r="Z235" s="335">
        <f t="shared" si="69"/>
        <v>0.91235900106267531</v>
      </c>
      <c r="AA235" s="335">
        <f t="shared" si="69"/>
        <v>0.91238946782118269</v>
      </c>
      <c r="AB235" s="335">
        <f t="shared" si="69"/>
        <v>0.91241993457969017</v>
      </c>
      <c r="AC235" s="335">
        <f t="shared" si="69"/>
        <v>0.91245040133819766</v>
      </c>
      <c r="AD235" s="335">
        <f t="shared" si="69"/>
        <v>0.9125494183033469</v>
      </c>
      <c r="AE235" s="335">
        <f t="shared" si="69"/>
        <v>0.91264843526849626</v>
      </c>
      <c r="AF235" s="335">
        <f t="shared" si="69"/>
        <v>0.91274745223364562</v>
      </c>
      <c r="AG235" s="335">
        <f t="shared" si="69"/>
        <v>0.91284646919879486</v>
      </c>
      <c r="AH235" s="335">
        <f t="shared" si="69"/>
        <v>0.91294548616394411</v>
      </c>
      <c r="AI235" s="335">
        <f t="shared" si="69"/>
        <v>0.91297595292245159</v>
      </c>
      <c r="AJ235" s="335">
        <f t="shared" si="69"/>
        <v>0.91300641968095908</v>
      </c>
      <c r="AK235" s="335">
        <f t="shared" si="69"/>
        <v>0.91303688643946646</v>
      </c>
      <c r="AL235" s="335">
        <f t="shared" si="69"/>
        <v>0.91306735319797394</v>
      </c>
      <c r="AM235" s="335">
        <f t="shared" si="69"/>
        <v>0.91309781995648143</v>
      </c>
      <c r="AN235" s="335">
        <f t="shared" si="69"/>
        <v>0.91309781995648143</v>
      </c>
      <c r="AO235" s="335">
        <f t="shared" si="69"/>
        <v>0.91309781995648143</v>
      </c>
      <c r="AP235" s="335">
        <f t="shared" si="69"/>
        <v>0.91309781995648143</v>
      </c>
      <c r="AQ235" s="335">
        <f t="shared" si="69"/>
        <v>0.91309781995648143</v>
      </c>
      <c r="AR235" s="335">
        <f t="shared" si="69"/>
        <v>0.91309781995648143</v>
      </c>
      <c r="AS235" s="335">
        <f t="shared" si="69"/>
        <v>0.91309781995648143</v>
      </c>
      <c r="AT235" s="335">
        <f t="shared" si="69"/>
        <v>0.91309781995648143</v>
      </c>
      <c r="AU235" s="335">
        <f t="shared" si="69"/>
        <v>0.91309781995648143</v>
      </c>
    </row>
    <row r="236" spans="1:47" s="103" customFormat="1" x14ac:dyDescent="0.2">
      <c r="A236" s="334" t="s">
        <v>385</v>
      </c>
      <c r="B236" s="22"/>
      <c r="C236" s="335">
        <v>0.90525943870708137</v>
      </c>
      <c r="D236" s="335">
        <v>0.90562512299921272</v>
      </c>
      <c r="E236" s="335">
        <v>0.90089581320450873</v>
      </c>
      <c r="F236" s="335">
        <v>0.89911515617337134</v>
      </c>
      <c r="G236" s="335">
        <v>0.88565580021003298</v>
      </c>
      <c r="H236" s="335">
        <v>0.87480197121626058</v>
      </c>
      <c r="I236" s="335">
        <v>0.87413623517179462</v>
      </c>
      <c r="J236" s="335">
        <v>0.87828690527858699</v>
      </c>
      <c r="K236" s="335">
        <f t="shared" ref="K236:AU236" si="70">J236*K270/J270</f>
        <v>0.8805226801753504</v>
      </c>
      <c r="L236" s="335">
        <f t="shared" si="70"/>
        <v>0.88275845507211392</v>
      </c>
      <c r="M236" s="335">
        <f t="shared" si="70"/>
        <v>0.88499422996887733</v>
      </c>
      <c r="N236" s="335">
        <f t="shared" si="70"/>
        <v>0.88723000486564085</v>
      </c>
      <c r="O236" s="335">
        <f t="shared" si="70"/>
        <v>0.88860128013565587</v>
      </c>
      <c r="P236" s="335">
        <f t="shared" si="70"/>
        <v>0.88997255540567077</v>
      </c>
      <c r="Q236" s="335">
        <f t="shared" si="70"/>
        <v>0.89134383067568568</v>
      </c>
      <c r="R236" s="335">
        <f t="shared" si="70"/>
        <v>0.89271510594570058</v>
      </c>
      <c r="S236" s="335">
        <f t="shared" si="70"/>
        <v>0.89408638121571549</v>
      </c>
      <c r="T236" s="335">
        <f t="shared" si="70"/>
        <v>0.89592687111073122</v>
      </c>
      <c r="U236" s="335">
        <f t="shared" si="70"/>
        <v>0.89776736100574694</v>
      </c>
      <c r="V236" s="335">
        <f t="shared" si="70"/>
        <v>0.89960785090076256</v>
      </c>
      <c r="W236" s="335">
        <f t="shared" si="70"/>
        <v>0.90144834079577829</v>
      </c>
      <c r="X236" s="335">
        <f t="shared" si="70"/>
        <v>0.90328883069079402</v>
      </c>
      <c r="Y236" s="335">
        <f t="shared" si="70"/>
        <v>0.90348665205365974</v>
      </c>
      <c r="Z236" s="335">
        <f t="shared" si="70"/>
        <v>0.90368447341652547</v>
      </c>
      <c r="AA236" s="335">
        <f t="shared" si="70"/>
        <v>0.90388229477939097</v>
      </c>
      <c r="AB236" s="335">
        <f t="shared" si="70"/>
        <v>0.90408011614225658</v>
      </c>
      <c r="AC236" s="335">
        <f t="shared" si="70"/>
        <v>0.9042779375051222</v>
      </c>
      <c r="AD236" s="335">
        <f t="shared" si="70"/>
        <v>0.90430197655681221</v>
      </c>
      <c r="AE236" s="335">
        <f t="shared" si="70"/>
        <v>0.90432601560850212</v>
      </c>
      <c r="AF236" s="335">
        <f t="shared" si="70"/>
        <v>0.90435005466019214</v>
      </c>
      <c r="AG236" s="335">
        <f t="shared" si="70"/>
        <v>0.90437409371188215</v>
      </c>
      <c r="AH236" s="335">
        <f t="shared" si="70"/>
        <v>0.90439813276357217</v>
      </c>
      <c r="AI236" s="335">
        <f t="shared" si="70"/>
        <v>0.90447625968156464</v>
      </c>
      <c r="AJ236" s="335">
        <f t="shared" si="70"/>
        <v>0.90455438659955723</v>
      </c>
      <c r="AK236" s="335">
        <f t="shared" si="70"/>
        <v>0.9046325135175497</v>
      </c>
      <c r="AL236" s="335">
        <f t="shared" si="70"/>
        <v>0.90471064043554228</v>
      </c>
      <c r="AM236" s="335">
        <f t="shared" si="70"/>
        <v>0.90478876735353464</v>
      </c>
      <c r="AN236" s="335">
        <f t="shared" si="70"/>
        <v>0.90481280640522466</v>
      </c>
      <c r="AO236" s="335">
        <f t="shared" si="70"/>
        <v>0.90483684545691456</v>
      </c>
      <c r="AP236" s="335">
        <f t="shared" si="70"/>
        <v>0.90486088450860458</v>
      </c>
      <c r="AQ236" s="335">
        <f t="shared" si="70"/>
        <v>0.90488492356029449</v>
      </c>
      <c r="AR236" s="335">
        <f t="shared" si="70"/>
        <v>0.9049089626119845</v>
      </c>
      <c r="AS236" s="335">
        <f t="shared" si="70"/>
        <v>0.9049089626119845</v>
      </c>
      <c r="AT236" s="335">
        <f t="shared" si="70"/>
        <v>0.9049089626119845</v>
      </c>
      <c r="AU236" s="335">
        <f t="shared" si="70"/>
        <v>0.9049089626119845</v>
      </c>
    </row>
    <row r="237" spans="1:47" s="103" customFormat="1" x14ac:dyDescent="0.2">
      <c r="A237" s="334" t="s">
        <v>386</v>
      </c>
      <c r="B237" s="22"/>
      <c r="C237" s="335">
        <v>0.89670101208342956</v>
      </c>
      <c r="D237" s="335">
        <v>0.88917751523816679</v>
      </c>
      <c r="E237" s="335">
        <v>0.88659081692840813</v>
      </c>
      <c r="F237" s="335">
        <v>0.89128355695410355</v>
      </c>
      <c r="G237" s="335">
        <v>0.88062226552643541</v>
      </c>
      <c r="H237" s="335">
        <v>0.87166368590698506</v>
      </c>
      <c r="I237" s="335">
        <v>0.87187045295707943</v>
      </c>
      <c r="J237" s="335">
        <v>0.87703895672459664</v>
      </c>
      <c r="K237" s="335">
        <f t="shared" ref="K237:AU237" si="71">J237*K271/J271</f>
        <v>0.87885381839899568</v>
      </c>
      <c r="L237" s="335">
        <f t="shared" si="71"/>
        <v>0.88066868007339461</v>
      </c>
      <c r="M237" s="335">
        <f t="shared" si="71"/>
        <v>0.88248354174779364</v>
      </c>
      <c r="N237" s="335">
        <f t="shared" si="71"/>
        <v>0.88429840342219268</v>
      </c>
      <c r="O237" s="335">
        <f t="shared" si="71"/>
        <v>0.88655522622973548</v>
      </c>
      <c r="P237" s="335">
        <f t="shared" si="71"/>
        <v>0.88881204903727828</v>
      </c>
      <c r="Q237" s="335">
        <f t="shared" si="71"/>
        <v>0.89106887184482131</v>
      </c>
      <c r="R237" s="335">
        <f t="shared" si="71"/>
        <v>0.89332569465236411</v>
      </c>
      <c r="S237" s="335">
        <f t="shared" si="71"/>
        <v>0.89558251745990691</v>
      </c>
      <c r="T237" s="335">
        <f t="shared" si="71"/>
        <v>0.8969667021151998</v>
      </c>
      <c r="U237" s="335">
        <f t="shared" si="71"/>
        <v>0.89835088677049268</v>
      </c>
      <c r="V237" s="335">
        <f t="shared" si="71"/>
        <v>0.89973507142578568</v>
      </c>
      <c r="W237" s="335">
        <f t="shared" si="71"/>
        <v>0.90111925608107868</v>
      </c>
      <c r="X237" s="335">
        <f t="shared" si="71"/>
        <v>0.90250344073637156</v>
      </c>
      <c r="Y237" s="335">
        <f t="shared" si="71"/>
        <v>0.90436125727154082</v>
      </c>
      <c r="Z237" s="335">
        <f t="shared" si="71"/>
        <v>0.90621907380671007</v>
      </c>
      <c r="AA237" s="335">
        <f t="shared" si="71"/>
        <v>0.90807689034187933</v>
      </c>
      <c r="AB237" s="335">
        <f t="shared" si="71"/>
        <v>0.90993470687704858</v>
      </c>
      <c r="AC237" s="335">
        <f t="shared" si="71"/>
        <v>0.91179252341221795</v>
      </c>
      <c r="AD237" s="335">
        <f t="shared" si="71"/>
        <v>0.91199220709422935</v>
      </c>
      <c r="AE237" s="335">
        <f t="shared" si="71"/>
        <v>0.91219189077624074</v>
      </c>
      <c r="AF237" s="335">
        <f t="shared" si="71"/>
        <v>0.91239157445825214</v>
      </c>
      <c r="AG237" s="335">
        <f t="shared" si="71"/>
        <v>0.91259125814026354</v>
      </c>
      <c r="AH237" s="335">
        <f t="shared" si="71"/>
        <v>0.91279094182227494</v>
      </c>
      <c r="AI237" s="335">
        <f t="shared" si="71"/>
        <v>0.91281520718110165</v>
      </c>
      <c r="AJ237" s="335">
        <f t="shared" si="71"/>
        <v>0.91283947253992836</v>
      </c>
      <c r="AK237" s="335">
        <f t="shared" si="71"/>
        <v>0.91286373789875508</v>
      </c>
      <c r="AL237" s="335">
        <f t="shared" si="71"/>
        <v>0.91288800325758168</v>
      </c>
      <c r="AM237" s="335">
        <f t="shared" si="71"/>
        <v>0.9129122686164084</v>
      </c>
      <c r="AN237" s="335">
        <f t="shared" si="71"/>
        <v>0.91299113103259522</v>
      </c>
      <c r="AO237" s="335">
        <f t="shared" si="71"/>
        <v>0.91306999344878204</v>
      </c>
      <c r="AP237" s="335">
        <f t="shared" si="71"/>
        <v>0.91314885586496874</v>
      </c>
      <c r="AQ237" s="335">
        <f t="shared" si="71"/>
        <v>0.91322771828115545</v>
      </c>
      <c r="AR237" s="335">
        <f t="shared" si="71"/>
        <v>0.91330658069734227</v>
      </c>
      <c r="AS237" s="335">
        <f t="shared" si="71"/>
        <v>0.91333084605616899</v>
      </c>
      <c r="AT237" s="335">
        <f t="shared" si="71"/>
        <v>0.9133551114149957</v>
      </c>
      <c r="AU237" s="335">
        <f t="shared" si="71"/>
        <v>0.91337937677382242</v>
      </c>
    </row>
    <row r="238" spans="1:47" s="103" customFormat="1" x14ac:dyDescent="0.2">
      <c r="A238" s="334" t="s">
        <v>387</v>
      </c>
      <c r="B238" s="22"/>
      <c r="C238" s="335">
        <v>0.84680025816122595</v>
      </c>
      <c r="D238" s="335">
        <v>0.86526973848588329</v>
      </c>
      <c r="E238" s="335">
        <v>0.86591107326798455</v>
      </c>
      <c r="F238" s="335">
        <v>0.86363785184971775</v>
      </c>
      <c r="G238" s="335">
        <v>0.85924102465990926</v>
      </c>
      <c r="H238" s="335">
        <v>0.85629537253049914</v>
      </c>
      <c r="I238" s="335">
        <v>0.86125758236838412</v>
      </c>
      <c r="J238" s="335">
        <v>0.87048547451518044</v>
      </c>
      <c r="K238" s="335">
        <f t="shared" ref="K238:AU238" si="72">J238*K272/J272</f>
        <v>0.87055898339519577</v>
      </c>
      <c r="L238" s="335">
        <f t="shared" si="72"/>
        <v>0.87063249227521111</v>
      </c>
      <c r="M238" s="335">
        <f t="shared" si="72"/>
        <v>0.87070600115522645</v>
      </c>
      <c r="N238" s="335">
        <f t="shared" si="72"/>
        <v>0.87077951003524179</v>
      </c>
      <c r="O238" s="335">
        <f t="shared" si="72"/>
        <v>0.87258515543343462</v>
      </c>
      <c r="P238" s="335">
        <f t="shared" si="72"/>
        <v>0.87439080083162746</v>
      </c>
      <c r="Q238" s="335">
        <f t="shared" si="72"/>
        <v>0.8761964462298204</v>
      </c>
      <c r="R238" s="335">
        <f t="shared" si="72"/>
        <v>0.87800209162801313</v>
      </c>
      <c r="S238" s="335">
        <f t="shared" si="72"/>
        <v>0.87980773702620596</v>
      </c>
      <c r="T238" s="335">
        <f t="shared" si="72"/>
        <v>0.88205309917939922</v>
      </c>
      <c r="U238" s="335">
        <f t="shared" si="72"/>
        <v>0.88429846133259249</v>
      </c>
      <c r="V238" s="335">
        <f t="shared" si="72"/>
        <v>0.88654382348578564</v>
      </c>
      <c r="W238" s="335">
        <f t="shared" si="72"/>
        <v>0.88878918563897891</v>
      </c>
      <c r="X238" s="335">
        <f t="shared" si="72"/>
        <v>0.89103454779217217</v>
      </c>
      <c r="Y238" s="335">
        <f t="shared" si="72"/>
        <v>0.89241170324613062</v>
      </c>
      <c r="Z238" s="335">
        <f t="shared" si="72"/>
        <v>0.89378885870008917</v>
      </c>
      <c r="AA238" s="335">
        <f t="shared" si="72"/>
        <v>0.89516601415404762</v>
      </c>
      <c r="AB238" s="335">
        <f t="shared" si="72"/>
        <v>0.89654316960800617</v>
      </c>
      <c r="AC238" s="335">
        <f t="shared" si="72"/>
        <v>0.89792032506196462</v>
      </c>
      <c r="AD238" s="335">
        <f t="shared" si="72"/>
        <v>0.89976870718647328</v>
      </c>
      <c r="AE238" s="335">
        <f t="shared" si="72"/>
        <v>0.90161708931098183</v>
      </c>
      <c r="AF238" s="335">
        <f t="shared" si="72"/>
        <v>0.9034654714354905</v>
      </c>
      <c r="AG238" s="335">
        <f t="shared" si="72"/>
        <v>0.90531385355999905</v>
      </c>
      <c r="AH238" s="335">
        <f t="shared" si="72"/>
        <v>0.90716223568450771</v>
      </c>
      <c r="AI238" s="335">
        <f t="shared" si="72"/>
        <v>0.90736090532782221</v>
      </c>
      <c r="AJ238" s="335">
        <f t="shared" si="72"/>
        <v>0.90755957497113693</v>
      </c>
      <c r="AK238" s="335">
        <f t="shared" si="72"/>
        <v>0.90775824461445143</v>
      </c>
      <c r="AL238" s="335">
        <f t="shared" si="72"/>
        <v>0.90795691425776603</v>
      </c>
      <c r="AM238" s="335">
        <f t="shared" si="72"/>
        <v>0.90815558390108053</v>
      </c>
      <c r="AN238" s="335">
        <f t="shared" si="72"/>
        <v>0.90817972603495167</v>
      </c>
      <c r="AO238" s="335">
        <f t="shared" si="72"/>
        <v>0.90820386816882281</v>
      </c>
      <c r="AP238" s="335">
        <f t="shared" si="72"/>
        <v>0.90822801030269407</v>
      </c>
      <c r="AQ238" s="335">
        <f t="shared" si="72"/>
        <v>0.9082521524365651</v>
      </c>
      <c r="AR238" s="335">
        <f t="shared" si="72"/>
        <v>0.90827629457043613</v>
      </c>
      <c r="AS238" s="335">
        <f t="shared" si="72"/>
        <v>0.90835475650551734</v>
      </c>
      <c r="AT238" s="335">
        <f t="shared" si="72"/>
        <v>0.90843321844059854</v>
      </c>
      <c r="AU238" s="335">
        <f t="shared" si="72"/>
        <v>0.90851168037567964</v>
      </c>
    </row>
    <row r="239" spans="1:47" s="103" customFormat="1" x14ac:dyDescent="0.2">
      <c r="A239" s="334" t="s">
        <v>388</v>
      </c>
      <c r="B239" s="22"/>
      <c r="C239" s="335">
        <v>0.70941186071817197</v>
      </c>
      <c r="D239" s="335">
        <v>0.72044430731255804</v>
      </c>
      <c r="E239" s="335">
        <v>0.71499363592699317</v>
      </c>
      <c r="F239" s="335">
        <v>0.7624594919074269</v>
      </c>
      <c r="G239" s="335">
        <v>0.77479472482190781</v>
      </c>
      <c r="H239" s="335">
        <v>0.78839813655362756</v>
      </c>
      <c r="I239" s="335">
        <v>0.8096987815480472</v>
      </c>
      <c r="J239" s="335">
        <v>0.83467934971825075</v>
      </c>
      <c r="K239" s="335">
        <f t="shared" ref="K239:AU239" si="73">J239*K273/J273</f>
        <v>0.83694951322380151</v>
      </c>
      <c r="L239" s="335">
        <f t="shared" si="73"/>
        <v>0.83921967672935227</v>
      </c>
      <c r="M239" s="335">
        <f t="shared" si="73"/>
        <v>0.84148984023490303</v>
      </c>
      <c r="N239" s="335">
        <f t="shared" si="73"/>
        <v>0.8437600037404539</v>
      </c>
      <c r="O239" s="335">
        <f t="shared" si="73"/>
        <v>0.84383126178299628</v>
      </c>
      <c r="P239" s="335">
        <f t="shared" si="73"/>
        <v>0.84390251982553866</v>
      </c>
      <c r="Q239" s="335">
        <f t="shared" si="73"/>
        <v>0.84397377786808114</v>
      </c>
      <c r="R239" s="335">
        <f t="shared" si="73"/>
        <v>0.84404503591062352</v>
      </c>
      <c r="S239" s="335">
        <f t="shared" si="73"/>
        <v>0.84411629395316601</v>
      </c>
      <c r="T239" s="335">
        <f t="shared" si="73"/>
        <v>0.84586665059816157</v>
      </c>
      <c r="U239" s="335">
        <f t="shared" si="73"/>
        <v>0.84761700724315703</v>
      </c>
      <c r="V239" s="335">
        <f t="shared" si="73"/>
        <v>0.84936736388815259</v>
      </c>
      <c r="W239" s="335">
        <f t="shared" si="73"/>
        <v>0.85111772053314816</v>
      </c>
      <c r="X239" s="335">
        <f t="shared" si="73"/>
        <v>0.85286807717814372</v>
      </c>
      <c r="Y239" s="335">
        <f t="shared" si="73"/>
        <v>0.85504468647762011</v>
      </c>
      <c r="Z239" s="335">
        <f t="shared" si="73"/>
        <v>0.85722129577709649</v>
      </c>
      <c r="AA239" s="335">
        <f t="shared" si="73"/>
        <v>0.85939790507657288</v>
      </c>
      <c r="AB239" s="335">
        <f t="shared" si="73"/>
        <v>0.86157451437604937</v>
      </c>
      <c r="AC239" s="335">
        <f t="shared" si="73"/>
        <v>0.86375112367552576</v>
      </c>
      <c r="AD239" s="335">
        <f t="shared" si="73"/>
        <v>0.86508611071253783</v>
      </c>
      <c r="AE239" s="335">
        <f t="shared" si="73"/>
        <v>0.86642109774955001</v>
      </c>
      <c r="AF239" s="335">
        <f t="shared" si="73"/>
        <v>0.86775608478656208</v>
      </c>
      <c r="AG239" s="335">
        <f t="shared" si="73"/>
        <v>0.86909107182357415</v>
      </c>
      <c r="AH239" s="335">
        <f t="shared" si="73"/>
        <v>0.87042605886058622</v>
      </c>
      <c r="AI239" s="335">
        <f t="shared" si="73"/>
        <v>0.87221784363591526</v>
      </c>
      <c r="AJ239" s="335">
        <f t="shared" si="73"/>
        <v>0.87400962841124419</v>
      </c>
      <c r="AK239" s="335">
        <f t="shared" si="73"/>
        <v>0.87580141318657323</v>
      </c>
      <c r="AL239" s="335">
        <f t="shared" si="73"/>
        <v>0.87759319796190205</v>
      </c>
      <c r="AM239" s="335">
        <f t="shared" si="73"/>
        <v>0.87938498273723109</v>
      </c>
      <c r="AN239" s="335">
        <f t="shared" si="73"/>
        <v>0.87957756912804863</v>
      </c>
      <c r="AO239" s="335">
        <f t="shared" si="73"/>
        <v>0.87977015551886628</v>
      </c>
      <c r="AP239" s="335">
        <f t="shared" si="73"/>
        <v>0.87996274190968404</v>
      </c>
      <c r="AQ239" s="335">
        <f t="shared" si="73"/>
        <v>0.88015532830050169</v>
      </c>
      <c r="AR239" s="335">
        <f t="shared" si="73"/>
        <v>0.88034791469131934</v>
      </c>
      <c r="AS239" s="335">
        <f t="shared" si="73"/>
        <v>0.88037131759450726</v>
      </c>
      <c r="AT239" s="335">
        <f t="shared" si="73"/>
        <v>0.88039472049769529</v>
      </c>
      <c r="AU239" s="335">
        <f t="shared" si="73"/>
        <v>0.88041812340088321</v>
      </c>
    </row>
    <row r="240" spans="1:47" s="103" customFormat="1" x14ac:dyDescent="0.2">
      <c r="A240" s="334" t="s">
        <v>228</v>
      </c>
      <c r="B240" s="22"/>
      <c r="C240" s="335">
        <v>0.15475608757370604</v>
      </c>
      <c r="D240" s="335">
        <v>0.1805923024954609</v>
      </c>
      <c r="E240" s="335">
        <v>0.18525419756901523</v>
      </c>
      <c r="F240" s="335">
        <v>0.18355009108707948</v>
      </c>
      <c r="G240" s="335">
        <v>0.17011652549376677</v>
      </c>
      <c r="H240" s="335">
        <v>0.15936786353880439</v>
      </c>
      <c r="I240" s="335">
        <v>0.16468337928970661</v>
      </c>
      <c r="J240" s="335">
        <v>0.17941221700374441</v>
      </c>
      <c r="K240" s="335">
        <f t="shared" ref="K240:AU240" si="74">J240*K274/J274</f>
        <v>0.18300689084174096</v>
      </c>
      <c r="L240" s="335">
        <f t="shared" si="74"/>
        <v>0.18660156467973749</v>
      </c>
      <c r="M240" s="335">
        <f t="shared" si="74"/>
        <v>0.19019623851773401</v>
      </c>
      <c r="N240" s="335">
        <f t="shared" si="74"/>
        <v>0.19379091235573054</v>
      </c>
      <c r="O240" s="335">
        <f t="shared" si="74"/>
        <v>0.19431942292988577</v>
      </c>
      <c r="P240" s="335">
        <f t="shared" si="74"/>
        <v>0.19484793350404103</v>
      </c>
      <c r="Q240" s="335">
        <f t="shared" si="74"/>
        <v>0.19537644407819627</v>
      </c>
      <c r="R240" s="335">
        <f t="shared" si="74"/>
        <v>0.19590495465235153</v>
      </c>
      <c r="S240" s="335">
        <f t="shared" si="74"/>
        <v>0.19643346522650676</v>
      </c>
      <c r="T240" s="335">
        <f t="shared" si="74"/>
        <v>0.19645005461704412</v>
      </c>
      <c r="U240" s="335">
        <f t="shared" si="74"/>
        <v>0.19646664400758151</v>
      </c>
      <c r="V240" s="335">
        <f t="shared" si="74"/>
        <v>0.19648323339811891</v>
      </c>
      <c r="W240" s="335">
        <f t="shared" si="74"/>
        <v>0.1964998227886563</v>
      </c>
      <c r="X240" s="335">
        <f t="shared" si="74"/>
        <v>0.19651641217919369</v>
      </c>
      <c r="Y240" s="335">
        <f t="shared" si="74"/>
        <v>0.1969239079358478</v>
      </c>
      <c r="Z240" s="335">
        <f t="shared" si="74"/>
        <v>0.19733140369250193</v>
      </c>
      <c r="AA240" s="335">
        <f t="shared" si="74"/>
        <v>0.19773889944915607</v>
      </c>
      <c r="AB240" s="335">
        <f t="shared" si="74"/>
        <v>0.19814639520581018</v>
      </c>
      <c r="AC240" s="335">
        <f t="shared" si="74"/>
        <v>0.19855389096246431</v>
      </c>
      <c r="AD240" s="335">
        <f t="shared" si="74"/>
        <v>0.19906062143706016</v>
      </c>
      <c r="AE240" s="335">
        <f t="shared" si="74"/>
        <v>0.19956735191165598</v>
      </c>
      <c r="AF240" s="335">
        <f t="shared" si="74"/>
        <v>0.20007408238625182</v>
      </c>
      <c r="AG240" s="335">
        <f t="shared" si="74"/>
        <v>0.20058081286084764</v>
      </c>
      <c r="AH240" s="335">
        <f t="shared" si="74"/>
        <v>0.20108754333544349</v>
      </c>
      <c r="AI240" s="335">
        <f t="shared" si="74"/>
        <v>0.20139833802652893</v>
      </c>
      <c r="AJ240" s="335">
        <f t="shared" si="74"/>
        <v>0.20170913271761437</v>
      </c>
      <c r="AK240" s="335">
        <f t="shared" si="74"/>
        <v>0.20201992740869978</v>
      </c>
      <c r="AL240" s="335">
        <f t="shared" si="74"/>
        <v>0.20233072209978525</v>
      </c>
      <c r="AM240" s="335">
        <f t="shared" si="74"/>
        <v>0.20264151679087067</v>
      </c>
      <c r="AN240" s="335">
        <f t="shared" si="74"/>
        <v>0.20305865731755796</v>
      </c>
      <c r="AO240" s="335">
        <f t="shared" si="74"/>
        <v>0.20347579784424524</v>
      </c>
      <c r="AP240" s="335">
        <f t="shared" si="74"/>
        <v>0.2038929383709325</v>
      </c>
      <c r="AQ240" s="335">
        <f t="shared" si="74"/>
        <v>0.20431007889761979</v>
      </c>
      <c r="AR240" s="335">
        <f t="shared" si="74"/>
        <v>0.20472721942430708</v>
      </c>
      <c r="AS240" s="335">
        <f t="shared" si="74"/>
        <v>0.20477205493669931</v>
      </c>
      <c r="AT240" s="335">
        <f t="shared" si="74"/>
        <v>0.2048168904490916</v>
      </c>
      <c r="AU240" s="335">
        <f t="shared" si="74"/>
        <v>0.20486172596148383</v>
      </c>
    </row>
    <row r="241" spans="1:47" s="103" customFormat="1" x14ac:dyDescent="0.2">
      <c r="A241" s="333" t="s">
        <v>230</v>
      </c>
      <c r="B241" s="22"/>
      <c r="C241" s="336">
        <f t="shared" ref="C241:AH241" si="75">(C$230*SUM(C$24:C$28)+C$231*SUM(C$29:C$33)+C$232*SUM(C$34:C$38)+C$233*SUM(C$39:C$43)+C$234*SUM(C$44:C$48)+C$235*SUM(C$49:C$53)+C$236*SUM(C$54:C$58)+C$237*SUM(C$59:C$63)+C$238*SUM(C$64:C$68)+C$239*SUM(C$69:C$73)+C$240*SUM(C$74:C$99))/SUM(C$24:C$99)</f>
        <v>0.73547631524447254</v>
      </c>
      <c r="D241" s="336">
        <f t="shared" si="75"/>
        <v>0.73853747841399342</v>
      </c>
      <c r="E241" s="336">
        <f t="shared" si="75"/>
        <v>0.73487428345311423</v>
      </c>
      <c r="F241" s="336">
        <f t="shared" si="75"/>
        <v>0.73255948390653958</v>
      </c>
      <c r="G241" s="336">
        <f t="shared" si="75"/>
        <v>0.72031263469901641</v>
      </c>
      <c r="H241" s="336">
        <f t="shared" si="75"/>
        <v>0.7102935591488494</v>
      </c>
      <c r="I241" s="336">
        <f t="shared" si="75"/>
        <v>0.70955635964361097</v>
      </c>
      <c r="J241" s="336">
        <f t="shared" si="75"/>
        <v>0.71458918533216953</v>
      </c>
      <c r="K241" s="336">
        <f t="shared" si="75"/>
        <v>0.71372770329992841</v>
      </c>
      <c r="L241" s="336">
        <f t="shared" si="75"/>
        <v>0.71290090529782102</v>
      </c>
      <c r="M241" s="336">
        <f t="shared" si="75"/>
        <v>0.71232344407677284</v>
      </c>
      <c r="N241" s="336">
        <f t="shared" si="75"/>
        <v>0.71164247887306797</v>
      </c>
      <c r="O241" s="336">
        <f t="shared" si="75"/>
        <v>0.71018199208813582</v>
      </c>
      <c r="P241" s="336">
        <f t="shared" si="75"/>
        <v>0.70845012898853099</v>
      </c>
      <c r="Q241" s="336">
        <f t="shared" si="75"/>
        <v>0.70675652356221952</v>
      </c>
      <c r="R241" s="336">
        <f t="shared" si="75"/>
        <v>0.70466596628538303</v>
      </c>
      <c r="S241" s="336">
        <f t="shared" si="75"/>
        <v>0.70214291889051939</v>
      </c>
      <c r="T241" s="336">
        <f t="shared" si="75"/>
        <v>0.69959975444902944</v>
      </c>
      <c r="U241" s="336">
        <f t="shared" si="75"/>
        <v>0.69686151221852843</v>
      </c>
      <c r="V241" s="336">
        <f t="shared" si="75"/>
        <v>0.69421872784189909</v>
      </c>
      <c r="W241" s="336">
        <f t="shared" si="75"/>
        <v>0.69153502069242212</v>
      </c>
      <c r="X241" s="336">
        <f t="shared" si="75"/>
        <v>0.68892383512409661</v>
      </c>
      <c r="Y241" s="336">
        <f t="shared" si="75"/>
        <v>0.68651947862001106</v>
      </c>
      <c r="Z241" s="336">
        <f t="shared" si="75"/>
        <v>0.68436934639597968</v>
      </c>
      <c r="AA241" s="336">
        <f t="shared" si="75"/>
        <v>0.68270918206765352</v>
      </c>
      <c r="AB241" s="336">
        <f t="shared" si="75"/>
        <v>0.68129420076579084</v>
      </c>
      <c r="AC241" s="336">
        <f t="shared" si="75"/>
        <v>0.68014201607589542</v>
      </c>
      <c r="AD241" s="336">
        <f t="shared" si="75"/>
        <v>0.67891870058879322</v>
      </c>
      <c r="AE241" s="336">
        <f t="shared" si="75"/>
        <v>0.67764764889074425</v>
      </c>
      <c r="AF241" s="336">
        <f t="shared" si="75"/>
        <v>0.67653594049675836</v>
      </c>
      <c r="AG241" s="336">
        <f t="shared" si="75"/>
        <v>0.67534153392903573</v>
      </c>
      <c r="AH241" s="336">
        <f t="shared" si="75"/>
        <v>0.67433579476386074</v>
      </c>
      <c r="AI241" s="336">
        <f t="shared" ref="AI241:AU241" si="76">(AI$230*SUM(AI$24:AI$28)+AI$231*SUM(AI$29:AI$33)+AI$232*SUM(AI$34:AI$38)+AI$233*SUM(AI$39:AI$43)+AI$234*SUM(AI$44:AI$48)+AI$235*SUM(AI$49:AI$53)+AI$236*SUM(AI$54:AI$58)+AI$237*SUM(AI$59:AI$63)+AI$238*SUM(AI$64:AI$68)+AI$239*SUM(AI$69:AI$73)+AI$240*SUM(AI$74:AI$99))/SUM(AI$24:AI$99)</f>
        <v>0.67365530834874632</v>
      </c>
      <c r="AJ241" s="336">
        <f t="shared" si="76"/>
        <v>0.67333358427583601</v>
      </c>
      <c r="AK241" s="336">
        <f t="shared" si="76"/>
        <v>0.67329430129714785</v>
      </c>
      <c r="AL241" s="336">
        <f t="shared" si="76"/>
        <v>0.67352730460159982</v>
      </c>
      <c r="AM241" s="336">
        <f t="shared" si="76"/>
        <v>0.67382379780479851</v>
      </c>
      <c r="AN241" s="336">
        <f t="shared" si="76"/>
        <v>0.67416851195013217</v>
      </c>
      <c r="AO241" s="336">
        <f t="shared" si="76"/>
        <v>0.67436690326946047</v>
      </c>
      <c r="AP241" s="336">
        <f t="shared" si="76"/>
        <v>0.67439849939456631</v>
      </c>
      <c r="AQ241" s="336">
        <f t="shared" si="76"/>
        <v>0.67425351283403934</v>
      </c>
      <c r="AR241" s="336">
        <f t="shared" si="76"/>
        <v>0.67396192484965034</v>
      </c>
      <c r="AS241" s="336">
        <f t="shared" si="76"/>
        <v>0.67340955868618668</v>
      </c>
      <c r="AT241" s="336">
        <f t="shared" si="76"/>
        <v>0.67292415545899908</v>
      </c>
      <c r="AU241" s="336">
        <f t="shared" si="76"/>
        <v>0.67252838867701714</v>
      </c>
    </row>
    <row r="242" spans="1:47" s="103" customFormat="1" x14ac:dyDescent="0.2">
      <c r="A242" s="337"/>
      <c r="B242" s="22"/>
      <c r="C242" s="338"/>
      <c r="D242" s="338"/>
      <c r="E242" s="338"/>
      <c r="F242" s="339"/>
      <c r="G242" s="339"/>
      <c r="H242" s="339"/>
      <c r="I242" s="339"/>
      <c r="J242" s="339"/>
      <c r="K242" s="339"/>
      <c r="L242" s="339"/>
      <c r="M242" s="339"/>
      <c r="N242" s="339"/>
      <c r="O242" s="339"/>
      <c r="P242" s="339"/>
      <c r="Q242" s="339"/>
      <c r="R242" s="339"/>
      <c r="S242" s="339"/>
      <c r="T242" s="339"/>
      <c r="U242" s="339"/>
      <c r="V242" s="339"/>
      <c r="W242" s="339"/>
      <c r="X242" s="339"/>
      <c r="Y242" s="339"/>
      <c r="Z242" s="339"/>
      <c r="AA242" s="339"/>
      <c r="AB242" s="339"/>
      <c r="AC242" s="339"/>
      <c r="AD242" s="339"/>
      <c r="AE242" s="339"/>
      <c r="AF242" s="339"/>
      <c r="AG242" s="339"/>
      <c r="AH242" s="339"/>
      <c r="AI242" s="339"/>
      <c r="AJ242" s="339"/>
      <c r="AK242" s="339"/>
      <c r="AL242" s="339"/>
      <c r="AM242" s="339"/>
      <c r="AN242" s="339"/>
      <c r="AO242" s="339"/>
      <c r="AP242" s="339"/>
      <c r="AQ242" s="339"/>
      <c r="AR242" s="339"/>
      <c r="AS242" s="339"/>
      <c r="AT242" s="339"/>
      <c r="AU242" s="339"/>
    </row>
    <row r="243" spans="1:47" s="103" customFormat="1" x14ac:dyDescent="0.2">
      <c r="A243" s="333" t="s">
        <v>378</v>
      </c>
      <c r="B243" s="22"/>
      <c r="C243" s="340"/>
      <c r="D243" s="340"/>
      <c r="E243" s="340"/>
      <c r="F243" s="335"/>
      <c r="G243" s="335"/>
      <c r="H243" s="335"/>
      <c r="I243" s="335"/>
      <c r="J243" s="335"/>
      <c r="K243" s="335"/>
      <c r="L243" s="335"/>
      <c r="M243" s="335"/>
      <c r="N243" s="335"/>
      <c r="O243" s="335"/>
      <c r="P243" s="335"/>
      <c r="Q243" s="335"/>
      <c r="R243" s="335"/>
      <c r="S243" s="335"/>
      <c r="T243" s="335"/>
      <c r="U243" s="335"/>
      <c r="V243" s="335"/>
      <c r="W243" s="335"/>
      <c r="X243" s="335"/>
      <c r="Y243" s="335"/>
      <c r="Z243" s="335"/>
      <c r="AA243" s="335"/>
      <c r="AB243" s="335"/>
      <c r="AC243" s="335"/>
      <c r="AD243" s="335"/>
      <c r="AE243" s="335"/>
      <c r="AF243" s="335"/>
      <c r="AG243" s="335"/>
      <c r="AH243" s="335"/>
      <c r="AI243" s="335"/>
      <c r="AJ243" s="335"/>
      <c r="AK243" s="335"/>
      <c r="AL243" s="335"/>
      <c r="AM243" s="335"/>
      <c r="AN243" s="335"/>
      <c r="AO243" s="335"/>
      <c r="AP243" s="335"/>
      <c r="AQ243" s="335"/>
      <c r="AR243" s="335"/>
      <c r="AS243" s="335"/>
      <c r="AT243" s="335"/>
      <c r="AU243" s="335"/>
    </row>
    <row r="244" spans="1:47" s="103" customFormat="1" x14ac:dyDescent="0.2">
      <c r="A244" s="334" t="s">
        <v>379</v>
      </c>
      <c r="B244" s="22"/>
      <c r="C244" s="335">
        <v>0.54051715050275706</v>
      </c>
      <c r="D244" s="335">
        <v>0.55190445819248668</v>
      </c>
      <c r="E244" s="335">
        <v>0.54292725228079053</v>
      </c>
      <c r="F244" s="335">
        <v>0.53668050514295074</v>
      </c>
      <c r="G244" s="335">
        <v>0.52493266205498745</v>
      </c>
      <c r="H244" s="335">
        <v>0.51590557381615665</v>
      </c>
      <c r="I244" s="335">
        <v>0.51686978889099189</v>
      </c>
      <c r="J244" s="335">
        <v>0.52270132635795485</v>
      </c>
      <c r="K244" s="335">
        <f t="shared" ref="K244:AU244" si="77">J244*K277/J277</f>
        <v>0.52270132635795485</v>
      </c>
      <c r="L244" s="335">
        <f t="shared" si="77"/>
        <v>0.52270132635795485</v>
      </c>
      <c r="M244" s="335">
        <f t="shared" si="77"/>
        <v>0.52270132635795485</v>
      </c>
      <c r="N244" s="335">
        <f t="shared" si="77"/>
        <v>0.52270132635795485</v>
      </c>
      <c r="O244" s="335">
        <f t="shared" si="77"/>
        <v>0.52270132635795485</v>
      </c>
      <c r="P244" s="335">
        <f t="shared" si="77"/>
        <v>0.52270132635795485</v>
      </c>
      <c r="Q244" s="335">
        <f t="shared" si="77"/>
        <v>0.52270132635795485</v>
      </c>
      <c r="R244" s="335">
        <f t="shared" si="77"/>
        <v>0.52270132635795485</v>
      </c>
      <c r="S244" s="335">
        <f t="shared" si="77"/>
        <v>0.52270132635795485</v>
      </c>
      <c r="T244" s="335">
        <f t="shared" si="77"/>
        <v>0.52270132635795485</v>
      </c>
      <c r="U244" s="335">
        <f t="shared" si="77"/>
        <v>0.52270132635795485</v>
      </c>
      <c r="V244" s="335">
        <f t="shared" si="77"/>
        <v>0.52270132635795485</v>
      </c>
      <c r="W244" s="335">
        <f t="shared" si="77"/>
        <v>0.52270132635795485</v>
      </c>
      <c r="X244" s="335">
        <f t="shared" si="77"/>
        <v>0.52270132635795485</v>
      </c>
      <c r="Y244" s="335">
        <f t="shared" si="77"/>
        <v>0.52270132635795485</v>
      </c>
      <c r="Z244" s="335">
        <f t="shared" si="77"/>
        <v>0.52270132635795485</v>
      </c>
      <c r="AA244" s="335">
        <f t="shared" si="77"/>
        <v>0.52270132635795485</v>
      </c>
      <c r="AB244" s="335">
        <f t="shared" si="77"/>
        <v>0.52270132635795485</v>
      </c>
      <c r="AC244" s="335">
        <f t="shared" si="77"/>
        <v>0.52270132635795485</v>
      </c>
      <c r="AD244" s="335">
        <f t="shared" si="77"/>
        <v>0.52270132635795485</v>
      </c>
      <c r="AE244" s="335">
        <f t="shared" si="77"/>
        <v>0.52270132635795485</v>
      </c>
      <c r="AF244" s="335">
        <f t="shared" si="77"/>
        <v>0.52270132635795485</v>
      </c>
      <c r="AG244" s="335">
        <f t="shared" si="77"/>
        <v>0.52270132635795485</v>
      </c>
      <c r="AH244" s="335">
        <f t="shared" si="77"/>
        <v>0.52270132635795485</v>
      </c>
      <c r="AI244" s="335">
        <f t="shared" si="77"/>
        <v>0.52270132635795485</v>
      </c>
      <c r="AJ244" s="335">
        <f t="shared" si="77"/>
        <v>0.52270132635795485</v>
      </c>
      <c r="AK244" s="335">
        <f t="shared" si="77"/>
        <v>0.52270132635795485</v>
      </c>
      <c r="AL244" s="335">
        <f t="shared" si="77"/>
        <v>0.52270132635795485</v>
      </c>
      <c r="AM244" s="335">
        <f t="shared" si="77"/>
        <v>0.52270132635795485</v>
      </c>
      <c r="AN244" s="335">
        <f t="shared" si="77"/>
        <v>0.52270132635795485</v>
      </c>
      <c r="AO244" s="335">
        <f t="shared" si="77"/>
        <v>0.52270132635795485</v>
      </c>
      <c r="AP244" s="335">
        <f t="shared" si="77"/>
        <v>0.52270132635795485</v>
      </c>
      <c r="AQ244" s="335">
        <f t="shared" si="77"/>
        <v>0.52270132635795485</v>
      </c>
      <c r="AR244" s="335">
        <f t="shared" si="77"/>
        <v>0.52270132635795485</v>
      </c>
      <c r="AS244" s="335">
        <f t="shared" si="77"/>
        <v>0.52270132635795485</v>
      </c>
      <c r="AT244" s="335">
        <f t="shared" si="77"/>
        <v>0.52270132635795485</v>
      </c>
      <c r="AU244" s="335">
        <f t="shared" si="77"/>
        <v>0.52270132635795485</v>
      </c>
    </row>
    <row r="245" spans="1:47" s="103" customFormat="1" x14ac:dyDescent="0.2">
      <c r="A245" s="334" t="s">
        <v>380</v>
      </c>
      <c r="B245" s="22"/>
      <c r="C245" s="335">
        <v>0.66964439284485722</v>
      </c>
      <c r="D245" s="335">
        <v>0.6759910365393843</v>
      </c>
      <c r="E245" s="335">
        <v>0.66096795613975345</v>
      </c>
      <c r="F245" s="335">
        <v>0.64988108630816732</v>
      </c>
      <c r="G245" s="335">
        <v>0.63367350285268331</v>
      </c>
      <c r="H245" s="335">
        <v>0.61929347858263495</v>
      </c>
      <c r="I245" s="335">
        <v>0.61449277216301179</v>
      </c>
      <c r="J245" s="335">
        <v>0.61492168643717782</v>
      </c>
      <c r="K245" s="335">
        <f t="shared" ref="K245:AU245" si="78">J245*K278/J278</f>
        <v>0.61320008228993805</v>
      </c>
      <c r="L245" s="335">
        <f t="shared" si="78"/>
        <v>0.61147847814269829</v>
      </c>
      <c r="M245" s="335">
        <f t="shared" si="78"/>
        <v>0.60975687399545853</v>
      </c>
      <c r="N245" s="335">
        <f t="shared" si="78"/>
        <v>0.60803526984821876</v>
      </c>
      <c r="O245" s="335">
        <f t="shared" si="78"/>
        <v>0.60860913789729865</v>
      </c>
      <c r="P245" s="335">
        <f t="shared" si="78"/>
        <v>0.60918300594637853</v>
      </c>
      <c r="Q245" s="335">
        <f t="shared" si="78"/>
        <v>0.60975687399545853</v>
      </c>
      <c r="R245" s="335">
        <f t="shared" si="78"/>
        <v>0.61033074204453852</v>
      </c>
      <c r="S245" s="335">
        <f t="shared" si="78"/>
        <v>0.61090461009361852</v>
      </c>
      <c r="T245" s="335">
        <f t="shared" si="78"/>
        <v>0.61090461009361852</v>
      </c>
      <c r="U245" s="335">
        <f t="shared" si="78"/>
        <v>0.61090461009361852</v>
      </c>
      <c r="V245" s="335">
        <f t="shared" si="78"/>
        <v>0.61090461009361852</v>
      </c>
      <c r="W245" s="335">
        <f t="shared" si="78"/>
        <v>0.61090461009361852</v>
      </c>
      <c r="X245" s="335">
        <f t="shared" si="78"/>
        <v>0.61090461009361852</v>
      </c>
      <c r="Y245" s="335">
        <f t="shared" si="78"/>
        <v>0.61090461009361852</v>
      </c>
      <c r="Z245" s="335">
        <f t="shared" si="78"/>
        <v>0.61090461009361852</v>
      </c>
      <c r="AA245" s="335">
        <f t="shared" si="78"/>
        <v>0.61090461009361852</v>
      </c>
      <c r="AB245" s="335">
        <f t="shared" si="78"/>
        <v>0.61090461009361852</v>
      </c>
      <c r="AC245" s="335">
        <f t="shared" si="78"/>
        <v>0.61090461009361852</v>
      </c>
      <c r="AD245" s="335">
        <f t="shared" si="78"/>
        <v>0.61090461009361852</v>
      </c>
      <c r="AE245" s="335">
        <f t="shared" si="78"/>
        <v>0.61090461009361852</v>
      </c>
      <c r="AF245" s="335">
        <f t="shared" si="78"/>
        <v>0.61090461009361852</v>
      </c>
      <c r="AG245" s="335">
        <f t="shared" si="78"/>
        <v>0.61090461009361852</v>
      </c>
      <c r="AH245" s="335">
        <f t="shared" si="78"/>
        <v>0.61090461009361852</v>
      </c>
      <c r="AI245" s="335">
        <f t="shared" si="78"/>
        <v>0.61090461009361852</v>
      </c>
      <c r="AJ245" s="335">
        <f t="shared" si="78"/>
        <v>0.61090461009361852</v>
      </c>
      <c r="AK245" s="335">
        <f t="shared" si="78"/>
        <v>0.61090461009361852</v>
      </c>
      <c r="AL245" s="335">
        <f t="shared" si="78"/>
        <v>0.61090461009361852</v>
      </c>
      <c r="AM245" s="335">
        <f t="shared" si="78"/>
        <v>0.61090461009361852</v>
      </c>
      <c r="AN245" s="335">
        <f t="shared" si="78"/>
        <v>0.61090461009361852</v>
      </c>
      <c r="AO245" s="335">
        <f t="shared" si="78"/>
        <v>0.61090461009361852</v>
      </c>
      <c r="AP245" s="335">
        <f t="shared" si="78"/>
        <v>0.61090461009361852</v>
      </c>
      <c r="AQ245" s="335">
        <f t="shared" si="78"/>
        <v>0.61090461009361852</v>
      </c>
      <c r="AR245" s="335">
        <f t="shared" si="78"/>
        <v>0.61090461009361852</v>
      </c>
      <c r="AS245" s="335">
        <f t="shared" si="78"/>
        <v>0.61090461009361852</v>
      </c>
      <c r="AT245" s="335">
        <f t="shared" si="78"/>
        <v>0.61090461009361852</v>
      </c>
      <c r="AU245" s="335">
        <f t="shared" si="78"/>
        <v>0.61090461009361852</v>
      </c>
    </row>
    <row r="246" spans="1:47" s="103" customFormat="1" x14ac:dyDescent="0.2">
      <c r="A246" s="334" t="s">
        <v>381</v>
      </c>
      <c r="B246" s="22"/>
      <c r="C246" s="335">
        <v>0.69749953218562877</v>
      </c>
      <c r="D246" s="335">
        <v>0.71480357536967554</v>
      </c>
      <c r="E246" s="335">
        <v>0.72253300834652479</v>
      </c>
      <c r="F246" s="335">
        <v>0.71926010270884888</v>
      </c>
      <c r="G246" s="335">
        <v>0.71123636638813559</v>
      </c>
      <c r="H246" s="335">
        <v>0.70523078383057392</v>
      </c>
      <c r="I246" s="335">
        <v>0.708535783751434</v>
      </c>
      <c r="J246" s="335">
        <v>0.71637302591430208</v>
      </c>
      <c r="K246" s="335">
        <f t="shared" ref="K246:AU246" si="79">J246*K279/J279</f>
        <v>0.71748202209499268</v>
      </c>
      <c r="L246" s="335">
        <f t="shared" si="79"/>
        <v>0.71859101827568328</v>
      </c>
      <c r="M246" s="335">
        <f t="shared" si="79"/>
        <v>0.71970001445637377</v>
      </c>
      <c r="N246" s="335">
        <f t="shared" si="79"/>
        <v>0.72080901063706437</v>
      </c>
      <c r="O246" s="335">
        <f t="shared" si="79"/>
        <v>0.71930724497571252</v>
      </c>
      <c r="P246" s="335">
        <f t="shared" si="79"/>
        <v>0.71780547931436067</v>
      </c>
      <c r="Q246" s="335">
        <f t="shared" si="79"/>
        <v>0.71630371365300882</v>
      </c>
      <c r="R246" s="335">
        <f t="shared" si="79"/>
        <v>0.71480194799165697</v>
      </c>
      <c r="S246" s="335">
        <f t="shared" si="79"/>
        <v>0.71330018233030512</v>
      </c>
      <c r="T246" s="335">
        <f t="shared" si="79"/>
        <v>0.713800770884089</v>
      </c>
      <c r="U246" s="335">
        <f t="shared" si="79"/>
        <v>0.71430135943787298</v>
      </c>
      <c r="V246" s="335">
        <f t="shared" si="79"/>
        <v>0.71480194799165686</v>
      </c>
      <c r="W246" s="335">
        <f t="shared" si="79"/>
        <v>0.71530253654544085</v>
      </c>
      <c r="X246" s="335">
        <f t="shared" si="79"/>
        <v>0.71580312509922472</v>
      </c>
      <c r="Y246" s="335">
        <f t="shared" si="79"/>
        <v>0.71580312509922472</v>
      </c>
      <c r="Z246" s="335">
        <f t="shared" si="79"/>
        <v>0.71580312509922472</v>
      </c>
      <c r="AA246" s="335">
        <f t="shared" si="79"/>
        <v>0.71580312509922472</v>
      </c>
      <c r="AB246" s="335">
        <f t="shared" si="79"/>
        <v>0.71580312509922472</v>
      </c>
      <c r="AC246" s="335">
        <f t="shared" si="79"/>
        <v>0.71580312509922472</v>
      </c>
      <c r="AD246" s="335">
        <f t="shared" si="79"/>
        <v>0.71580312509922472</v>
      </c>
      <c r="AE246" s="335">
        <f t="shared" si="79"/>
        <v>0.71580312509922472</v>
      </c>
      <c r="AF246" s="335">
        <f t="shared" si="79"/>
        <v>0.71580312509922472</v>
      </c>
      <c r="AG246" s="335">
        <f t="shared" si="79"/>
        <v>0.71580312509922472</v>
      </c>
      <c r="AH246" s="335">
        <f t="shared" si="79"/>
        <v>0.71580312509922472</v>
      </c>
      <c r="AI246" s="335">
        <f t="shared" si="79"/>
        <v>0.71580312509922472</v>
      </c>
      <c r="AJ246" s="335">
        <f t="shared" si="79"/>
        <v>0.71580312509922472</v>
      </c>
      <c r="AK246" s="335">
        <f t="shared" si="79"/>
        <v>0.71580312509922472</v>
      </c>
      <c r="AL246" s="335">
        <f t="shared" si="79"/>
        <v>0.71580312509922472</v>
      </c>
      <c r="AM246" s="335">
        <f t="shared" si="79"/>
        <v>0.71580312509922472</v>
      </c>
      <c r="AN246" s="335">
        <f t="shared" si="79"/>
        <v>0.71580312509922472</v>
      </c>
      <c r="AO246" s="335">
        <f t="shared" si="79"/>
        <v>0.71580312509922472</v>
      </c>
      <c r="AP246" s="335">
        <f t="shared" si="79"/>
        <v>0.71580312509922472</v>
      </c>
      <c r="AQ246" s="335">
        <f t="shared" si="79"/>
        <v>0.71580312509922472</v>
      </c>
      <c r="AR246" s="335">
        <f t="shared" si="79"/>
        <v>0.71580312509922472</v>
      </c>
      <c r="AS246" s="335">
        <f t="shared" si="79"/>
        <v>0.71580312509922472</v>
      </c>
      <c r="AT246" s="335">
        <f t="shared" si="79"/>
        <v>0.71580312509922472</v>
      </c>
      <c r="AU246" s="335">
        <f t="shared" si="79"/>
        <v>0.71580312509922472</v>
      </c>
    </row>
    <row r="247" spans="1:47" s="103" customFormat="1" x14ac:dyDescent="0.2">
      <c r="A247" s="334" t="s">
        <v>382</v>
      </c>
      <c r="B247" s="22"/>
      <c r="C247" s="335">
        <v>0.70429303894715745</v>
      </c>
      <c r="D247" s="335">
        <v>0.7221768087010394</v>
      </c>
      <c r="E247" s="335">
        <v>0.70350922783198977</v>
      </c>
      <c r="F247" s="335">
        <v>0.71114987934279128</v>
      </c>
      <c r="G247" s="335">
        <v>0.70559378158209685</v>
      </c>
      <c r="H247" s="335">
        <v>0.70194205505146612</v>
      </c>
      <c r="I247" s="335">
        <v>0.70723108366298415</v>
      </c>
      <c r="J247" s="335">
        <v>0.71709935981133555</v>
      </c>
      <c r="K247" s="335">
        <f t="shared" ref="K247:AU247" si="80">J247*K280/J280</f>
        <v>0.718425547880441</v>
      </c>
      <c r="L247" s="335">
        <f t="shared" si="80"/>
        <v>0.71975173594954645</v>
      </c>
      <c r="M247" s="335">
        <f t="shared" si="80"/>
        <v>0.72107792401865189</v>
      </c>
      <c r="N247" s="335">
        <f t="shared" si="80"/>
        <v>0.72240411208775746</v>
      </c>
      <c r="O247" s="335">
        <f t="shared" si="80"/>
        <v>0.72325287245198489</v>
      </c>
      <c r="P247" s="335">
        <f t="shared" si="80"/>
        <v>0.72410163281621243</v>
      </c>
      <c r="Q247" s="335">
        <f t="shared" si="80"/>
        <v>0.72495039318043997</v>
      </c>
      <c r="R247" s="335">
        <f t="shared" si="80"/>
        <v>0.7257991535446674</v>
      </c>
      <c r="S247" s="335">
        <f t="shared" si="80"/>
        <v>0.72664791390889494</v>
      </c>
      <c r="T247" s="335">
        <f t="shared" si="80"/>
        <v>0.72549855091567006</v>
      </c>
      <c r="U247" s="335">
        <f t="shared" si="80"/>
        <v>0.72434918792244529</v>
      </c>
      <c r="V247" s="335">
        <f t="shared" si="80"/>
        <v>0.72319982492922064</v>
      </c>
      <c r="W247" s="335">
        <f t="shared" si="80"/>
        <v>0.72205046193599587</v>
      </c>
      <c r="X247" s="335">
        <f t="shared" si="80"/>
        <v>0.7209010989427711</v>
      </c>
      <c r="Y247" s="335">
        <f t="shared" si="80"/>
        <v>0.72128421994051273</v>
      </c>
      <c r="Z247" s="335">
        <f t="shared" si="80"/>
        <v>0.72166734093825435</v>
      </c>
      <c r="AA247" s="335">
        <f t="shared" si="80"/>
        <v>0.72205046193599587</v>
      </c>
      <c r="AB247" s="335">
        <f t="shared" si="80"/>
        <v>0.72243358293373761</v>
      </c>
      <c r="AC247" s="335">
        <f t="shared" si="80"/>
        <v>0.72281670393147923</v>
      </c>
      <c r="AD247" s="335">
        <f t="shared" si="80"/>
        <v>0.72281670393147923</v>
      </c>
      <c r="AE247" s="335">
        <f t="shared" si="80"/>
        <v>0.72281670393147923</v>
      </c>
      <c r="AF247" s="335">
        <f t="shared" si="80"/>
        <v>0.72281670393147923</v>
      </c>
      <c r="AG247" s="335">
        <f t="shared" si="80"/>
        <v>0.72281670393147923</v>
      </c>
      <c r="AH247" s="335">
        <f t="shared" si="80"/>
        <v>0.72281670393147923</v>
      </c>
      <c r="AI247" s="335">
        <f t="shared" si="80"/>
        <v>0.72281670393147923</v>
      </c>
      <c r="AJ247" s="335">
        <f t="shared" si="80"/>
        <v>0.72281670393147923</v>
      </c>
      <c r="AK247" s="335">
        <f t="shared" si="80"/>
        <v>0.72281670393147923</v>
      </c>
      <c r="AL247" s="335">
        <f t="shared" si="80"/>
        <v>0.72281670393147923</v>
      </c>
      <c r="AM247" s="335">
        <f t="shared" si="80"/>
        <v>0.72281670393147923</v>
      </c>
      <c r="AN247" s="335">
        <f t="shared" si="80"/>
        <v>0.72281670393147923</v>
      </c>
      <c r="AO247" s="335">
        <f t="shared" si="80"/>
        <v>0.72281670393147923</v>
      </c>
      <c r="AP247" s="335">
        <f t="shared" si="80"/>
        <v>0.72281670393147923</v>
      </c>
      <c r="AQ247" s="335">
        <f t="shared" si="80"/>
        <v>0.72281670393147923</v>
      </c>
      <c r="AR247" s="335">
        <f t="shared" si="80"/>
        <v>0.72281670393147923</v>
      </c>
      <c r="AS247" s="335">
        <f t="shared" si="80"/>
        <v>0.72281670393147923</v>
      </c>
      <c r="AT247" s="335">
        <f t="shared" si="80"/>
        <v>0.72281670393147923</v>
      </c>
      <c r="AU247" s="335">
        <f t="shared" si="80"/>
        <v>0.72281670393147923</v>
      </c>
    </row>
    <row r="248" spans="1:47" s="103" customFormat="1" x14ac:dyDescent="0.2">
      <c r="A248" s="334" t="s">
        <v>383</v>
      </c>
      <c r="B248" s="22"/>
      <c r="C248" s="335">
        <v>0.70422706829029491</v>
      </c>
      <c r="D248" s="335">
        <v>0.70484849635479951</v>
      </c>
      <c r="E248" s="335">
        <v>0.70487532828437061</v>
      </c>
      <c r="F248" s="335">
        <v>0.70976950724841759</v>
      </c>
      <c r="G248" s="335">
        <v>0.69679006256535692</v>
      </c>
      <c r="H248" s="335">
        <v>0.6869641675258723</v>
      </c>
      <c r="I248" s="335">
        <v>0.68729119513031645</v>
      </c>
      <c r="J248" s="335">
        <v>0.69221660858705947</v>
      </c>
      <c r="K248" s="335">
        <f t="shared" ref="K248:AU248" si="81">J248*K281/J281</f>
        <v>0.69846489296215863</v>
      </c>
      <c r="L248" s="335">
        <f t="shared" si="81"/>
        <v>0.7047131773372578</v>
      </c>
      <c r="M248" s="335">
        <f t="shared" si="81"/>
        <v>0.71096146171235708</v>
      </c>
      <c r="N248" s="335">
        <f t="shared" si="81"/>
        <v>0.71720974608745613</v>
      </c>
      <c r="O248" s="335">
        <f t="shared" si="81"/>
        <v>0.71822756616665784</v>
      </c>
      <c r="P248" s="335">
        <f t="shared" si="81"/>
        <v>0.71924538624585943</v>
      </c>
      <c r="Q248" s="335">
        <f t="shared" si="81"/>
        <v>0.72026320632506113</v>
      </c>
      <c r="R248" s="335">
        <f t="shared" si="81"/>
        <v>0.72128102640426284</v>
      </c>
      <c r="S248" s="335">
        <f t="shared" si="81"/>
        <v>0.72229884648346454</v>
      </c>
      <c r="T248" s="335">
        <f t="shared" si="81"/>
        <v>0.72295025133415358</v>
      </c>
      <c r="U248" s="335">
        <f t="shared" si="81"/>
        <v>0.72360165618484262</v>
      </c>
      <c r="V248" s="335">
        <f t="shared" si="81"/>
        <v>0.72425306103553178</v>
      </c>
      <c r="W248" s="335">
        <f t="shared" si="81"/>
        <v>0.72490446588622082</v>
      </c>
      <c r="X248" s="335">
        <f t="shared" si="81"/>
        <v>0.72555587073690986</v>
      </c>
      <c r="Y248" s="335">
        <f t="shared" si="81"/>
        <v>0.72467376000160189</v>
      </c>
      <c r="Z248" s="335">
        <f t="shared" si="81"/>
        <v>0.72379164926629369</v>
      </c>
      <c r="AA248" s="335">
        <f t="shared" si="81"/>
        <v>0.72290953853098561</v>
      </c>
      <c r="AB248" s="335">
        <f t="shared" si="81"/>
        <v>0.72202742779567741</v>
      </c>
      <c r="AC248" s="335">
        <f t="shared" si="81"/>
        <v>0.72114531706036933</v>
      </c>
      <c r="AD248" s="335">
        <f t="shared" si="81"/>
        <v>0.72143935397213876</v>
      </c>
      <c r="AE248" s="335">
        <f t="shared" si="81"/>
        <v>0.72173339088390809</v>
      </c>
      <c r="AF248" s="335">
        <f t="shared" si="81"/>
        <v>0.72202742779567752</v>
      </c>
      <c r="AG248" s="335">
        <f t="shared" si="81"/>
        <v>0.72232146470744696</v>
      </c>
      <c r="AH248" s="335">
        <f t="shared" si="81"/>
        <v>0.72261550161921628</v>
      </c>
      <c r="AI248" s="335">
        <f t="shared" si="81"/>
        <v>0.72261550161921628</v>
      </c>
      <c r="AJ248" s="335">
        <f t="shared" si="81"/>
        <v>0.72261550161921628</v>
      </c>
      <c r="AK248" s="335">
        <f t="shared" si="81"/>
        <v>0.72261550161921628</v>
      </c>
      <c r="AL248" s="335">
        <f t="shared" si="81"/>
        <v>0.72261550161921628</v>
      </c>
      <c r="AM248" s="335">
        <f t="shared" si="81"/>
        <v>0.72261550161921628</v>
      </c>
      <c r="AN248" s="335">
        <f t="shared" si="81"/>
        <v>0.72261550161921628</v>
      </c>
      <c r="AO248" s="335">
        <f t="shared" si="81"/>
        <v>0.72261550161921628</v>
      </c>
      <c r="AP248" s="335">
        <f t="shared" si="81"/>
        <v>0.72261550161921628</v>
      </c>
      <c r="AQ248" s="335">
        <f t="shared" si="81"/>
        <v>0.72261550161921628</v>
      </c>
      <c r="AR248" s="335">
        <f t="shared" si="81"/>
        <v>0.72261550161921628</v>
      </c>
      <c r="AS248" s="335">
        <f t="shared" si="81"/>
        <v>0.72261550161921628</v>
      </c>
      <c r="AT248" s="335">
        <f t="shared" si="81"/>
        <v>0.72261550161921628</v>
      </c>
      <c r="AU248" s="335">
        <f t="shared" si="81"/>
        <v>0.72261550161921628</v>
      </c>
    </row>
    <row r="249" spans="1:47" s="103" customFormat="1" x14ac:dyDescent="0.2">
      <c r="A249" s="334" t="s">
        <v>384</v>
      </c>
      <c r="B249" s="22"/>
      <c r="C249" s="335">
        <v>0.79803616998919202</v>
      </c>
      <c r="D249" s="335">
        <v>0.77521416004368127</v>
      </c>
      <c r="E249" s="335">
        <v>0.7794087194297652</v>
      </c>
      <c r="F249" s="335">
        <v>0.78440068003271046</v>
      </c>
      <c r="G249" s="335">
        <v>0.77249782550181534</v>
      </c>
      <c r="H249" s="335">
        <v>0.76279529318520167</v>
      </c>
      <c r="I249" s="335">
        <v>0.76368534158696333</v>
      </c>
      <c r="J249" s="335">
        <v>0.77017695400098296</v>
      </c>
      <c r="K249" s="335">
        <f t="shared" ref="K249:AU249" si="82">J249*K282/J282</f>
        <v>0.77675872625685582</v>
      </c>
      <c r="L249" s="335">
        <f t="shared" si="82"/>
        <v>0.78334049851272869</v>
      </c>
      <c r="M249" s="335">
        <f t="shared" si="82"/>
        <v>0.78992227076860155</v>
      </c>
      <c r="N249" s="335">
        <f t="shared" si="82"/>
        <v>0.79650404302447442</v>
      </c>
      <c r="O249" s="335">
        <f t="shared" si="82"/>
        <v>0.80126337772728962</v>
      </c>
      <c r="P249" s="335">
        <f t="shared" si="82"/>
        <v>0.80602271243010493</v>
      </c>
      <c r="Q249" s="335">
        <f t="shared" si="82"/>
        <v>0.81078204713292001</v>
      </c>
      <c r="R249" s="335">
        <f t="shared" si="82"/>
        <v>0.81554138183573521</v>
      </c>
      <c r="S249" s="335">
        <f t="shared" si="82"/>
        <v>0.82030071653855052</v>
      </c>
      <c r="T249" s="335">
        <f t="shared" si="82"/>
        <v>0.82107599277973298</v>
      </c>
      <c r="U249" s="335">
        <f t="shared" si="82"/>
        <v>0.82185126902091554</v>
      </c>
      <c r="V249" s="335">
        <f t="shared" si="82"/>
        <v>0.82262654526209822</v>
      </c>
      <c r="W249" s="335">
        <f t="shared" si="82"/>
        <v>0.82340182150328078</v>
      </c>
      <c r="X249" s="335">
        <f t="shared" si="82"/>
        <v>0.82417709774446335</v>
      </c>
      <c r="Y249" s="335">
        <f t="shared" si="82"/>
        <v>0.82467327453882022</v>
      </c>
      <c r="Z249" s="335">
        <f t="shared" si="82"/>
        <v>0.82516945133317698</v>
      </c>
      <c r="AA249" s="335">
        <f t="shared" si="82"/>
        <v>0.82566562812753386</v>
      </c>
      <c r="AB249" s="335">
        <f t="shared" si="82"/>
        <v>0.82616180492189062</v>
      </c>
      <c r="AC249" s="335">
        <f t="shared" si="82"/>
        <v>0.82665798171624749</v>
      </c>
      <c r="AD249" s="335">
        <f t="shared" si="82"/>
        <v>0.82598607564055604</v>
      </c>
      <c r="AE249" s="335">
        <f t="shared" si="82"/>
        <v>0.82531416956486447</v>
      </c>
      <c r="AF249" s="335">
        <f t="shared" si="82"/>
        <v>0.82464226348917291</v>
      </c>
      <c r="AG249" s="335">
        <f t="shared" si="82"/>
        <v>0.82397035741348135</v>
      </c>
      <c r="AH249" s="335">
        <f t="shared" si="82"/>
        <v>0.82329845133778978</v>
      </c>
      <c r="AI249" s="335">
        <f t="shared" si="82"/>
        <v>0.82352242002968712</v>
      </c>
      <c r="AJ249" s="335">
        <f t="shared" si="82"/>
        <v>0.82374638872158434</v>
      </c>
      <c r="AK249" s="335">
        <f t="shared" si="82"/>
        <v>0.82397035741348157</v>
      </c>
      <c r="AL249" s="335">
        <f t="shared" si="82"/>
        <v>0.82419432610537868</v>
      </c>
      <c r="AM249" s="335">
        <f t="shared" si="82"/>
        <v>0.82441829479727591</v>
      </c>
      <c r="AN249" s="335">
        <f t="shared" si="82"/>
        <v>0.82441829479727591</v>
      </c>
      <c r="AO249" s="335">
        <f t="shared" si="82"/>
        <v>0.82441829479727591</v>
      </c>
      <c r="AP249" s="335">
        <f t="shared" si="82"/>
        <v>0.82441829479727591</v>
      </c>
      <c r="AQ249" s="335">
        <f t="shared" si="82"/>
        <v>0.82441829479727591</v>
      </c>
      <c r="AR249" s="335">
        <f t="shared" si="82"/>
        <v>0.82441829479727591</v>
      </c>
      <c r="AS249" s="335">
        <f t="shared" si="82"/>
        <v>0.82441829479727591</v>
      </c>
      <c r="AT249" s="335">
        <f t="shared" si="82"/>
        <v>0.82441829479727591</v>
      </c>
      <c r="AU249" s="335">
        <f t="shared" si="82"/>
        <v>0.82441829479727591</v>
      </c>
    </row>
    <row r="250" spans="1:47" s="103" customFormat="1" x14ac:dyDescent="0.2">
      <c r="A250" s="334" t="s">
        <v>385</v>
      </c>
      <c r="B250" s="22"/>
      <c r="C250" s="335">
        <v>0.79234416052547274</v>
      </c>
      <c r="D250" s="335">
        <v>0.78994348611284093</v>
      </c>
      <c r="E250" s="335">
        <v>0.79317077710916606</v>
      </c>
      <c r="F250" s="335">
        <v>0.79649711772352028</v>
      </c>
      <c r="G250" s="335">
        <v>0.78354677176985565</v>
      </c>
      <c r="H250" s="335">
        <v>0.77335700933002061</v>
      </c>
      <c r="I250" s="335">
        <v>0.77395199784485025</v>
      </c>
      <c r="J250" s="335">
        <v>0.77976386025702593</v>
      </c>
      <c r="K250" s="335">
        <f t="shared" ref="K250:AU250" si="83">J250*K283/J283</f>
        <v>0.78067804848217837</v>
      </c>
      <c r="L250" s="335">
        <f t="shared" si="83"/>
        <v>0.78159223670733058</v>
      </c>
      <c r="M250" s="335">
        <f t="shared" si="83"/>
        <v>0.7825064249324829</v>
      </c>
      <c r="N250" s="335">
        <f t="shared" si="83"/>
        <v>0.78342061315763512</v>
      </c>
      <c r="O250" s="335">
        <f t="shared" si="83"/>
        <v>0.78938112038562813</v>
      </c>
      <c r="P250" s="335">
        <f t="shared" si="83"/>
        <v>0.79534162761362115</v>
      </c>
      <c r="Q250" s="335">
        <f t="shared" si="83"/>
        <v>0.80130213484161428</v>
      </c>
      <c r="R250" s="335">
        <f t="shared" si="83"/>
        <v>0.80726264206960729</v>
      </c>
      <c r="S250" s="335">
        <f t="shared" si="83"/>
        <v>0.81322314929760031</v>
      </c>
      <c r="T250" s="335">
        <f t="shared" si="83"/>
        <v>0.81753324204978506</v>
      </c>
      <c r="U250" s="335">
        <f t="shared" si="83"/>
        <v>0.8218433348019698</v>
      </c>
      <c r="V250" s="335">
        <f t="shared" si="83"/>
        <v>0.82615342755415444</v>
      </c>
      <c r="W250" s="335">
        <f t="shared" si="83"/>
        <v>0.83046352030633919</v>
      </c>
      <c r="X250" s="335">
        <f t="shared" si="83"/>
        <v>0.83477361305852404</v>
      </c>
      <c r="Y250" s="335">
        <f t="shared" si="83"/>
        <v>0.83547570961544104</v>
      </c>
      <c r="Z250" s="335">
        <f t="shared" si="83"/>
        <v>0.83617780617235804</v>
      </c>
      <c r="AA250" s="335">
        <f t="shared" si="83"/>
        <v>0.83687990272927482</v>
      </c>
      <c r="AB250" s="335">
        <f t="shared" si="83"/>
        <v>0.83758199928619181</v>
      </c>
      <c r="AC250" s="335">
        <f t="shared" si="83"/>
        <v>0.83828409584310881</v>
      </c>
      <c r="AD250" s="335">
        <f t="shared" si="83"/>
        <v>0.83873343763953567</v>
      </c>
      <c r="AE250" s="335">
        <f t="shared" si="83"/>
        <v>0.83918277943596253</v>
      </c>
      <c r="AF250" s="335">
        <f t="shared" si="83"/>
        <v>0.83963212123238951</v>
      </c>
      <c r="AG250" s="335">
        <f t="shared" si="83"/>
        <v>0.84008146302881637</v>
      </c>
      <c r="AH250" s="335">
        <f t="shared" si="83"/>
        <v>0.84053080482524323</v>
      </c>
      <c r="AI250" s="335">
        <f t="shared" si="83"/>
        <v>0.83992232114258181</v>
      </c>
      <c r="AJ250" s="335">
        <f t="shared" si="83"/>
        <v>0.83931383745992039</v>
      </c>
      <c r="AK250" s="335">
        <f t="shared" si="83"/>
        <v>0.83870535377725886</v>
      </c>
      <c r="AL250" s="335">
        <f t="shared" si="83"/>
        <v>0.83809687009459755</v>
      </c>
      <c r="AM250" s="335">
        <f t="shared" si="83"/>
        <v>0.83748838641193613</v>
      </c>
      <c r="AN250" s="335">
        <f t="shared" si="83"/>
        <v>0.83769121430615656</v>
      </c>
      <c r="AO250" s="335">
        <f t="shared" si="83"/>
        <v>0.837894042200377</v>
      </c>
      <c r="AP250" s="335">
        <f t="shared" si="83"/>
        <v>0.83809687009459755</v>
      </c>
      <c r="AQ250" s="335">
        <f t="shared" si="83"/>
        <v>0.83829969798881798</v>
      </c>
      <c r="AR250" s="335">
        <f t="shared" si="83"/>
        <v>0.83850252588303853</v>
      </c>
      <c r="AS250" s="335">
        <f t="shared" si="83"/>
        <v>0.83850252588303842</v>
      </c>
      <c r="AT250" s="335">
        <f t="shared" si="83"/>
        <v>0.83850252588303842</v>
      </c>
      <c r="AU250" s="335">
        <f t="shared" si="83"/>
        <v>0.83850252588303842</v>
      </c>
    </row>
    <row r="251" spans="1:47" s="103" customFormat="1" x14ac:dyDescent="0.2">
      <c r="A251" s="334" t="s">
        <v>386</v>
      </c>
      <c r="B251" s="22"/>
      <c r="C251" s="335">
        <v>0.78710461377402219</v>
      </c>
      <c r="D251" s="335">
        <v>0.77215047393364933</v>
      </c>
      <c r="E251" s="335">
        <v>0.78211203835227261</v>
      </c>
      <c r="F251" s="335">
        <v>0.79562685333923244</v>
      </c>
      <c r="G251" s="335">
        <v>0.79016056208984109</v>
      </c>
      <c r="H251" s="335">
        <v>0.78631043258846778</v>
      </c>
      <c r="I251" s="335">
        <v>0.79199938719832952</v>
      </c>
      <c r="J251" s="335">
        <v>0.80296006663448538</v>
      </c>
      <c r="K251" s="335">
        <f t="shared" ref="K251:AU251" si="84">J251*K284/J284</f>
        <v>0.80085797359113409</v>
      </c>
      <c r="L251" s="335">
        <f t="shared" si="84"/>
        <v>0.79875588054778279</v>
      </c>
      <c r="M251" s="335">
        <f t="shared" si="84"/>
        <v>0.7966537875044315</v>
      </c>
      <c r="N251" s="335">
        <f t="shared" si="84"/>
        <v>0.79455169446108032</v>
      </c>
      <c r="O251" s="335">
        <f t="shared" si="84"/>
        <v>0.79548431320566582</v>
      </c>
      <c r="P251" s="335">
        <f t="shared" si="84"/>
        <v>0.79641693195025132</v>
      </c>
      <c r="Q251" s="335">
        <f t="shared" si="84"/>
        <v>0.79734955069483682</v>
      </c>
      <c r="R251" s="335">
        <f t="shared" si="84"/>
        <v>0.79828216943942221</v>
      </c>
      <c r="S251" s="335">
        <f t="shared" si="84"/>
        <v>0.7992147881840076</v>
      </c>
      <c r="T251" s="335">
        <f t="shared" si="84"/>
        <v>0.80529546239870453</v>
      </c>
      <c r="U251" s="335">
        <f t="shared" si="84"/>
        <v>0.81137613661340147</v>
      </c>
      <c r="V251" s="335">
        <f t="shared" si="84"/>
        <v>0.81745681082809851</v>
      </c>
      <c r="W251" s="335">
        <f t="shared" si="84"/>
        <v>0.82353748504279534</v>
      </c>
      <c r="X251" s="335">
        <f t="shared" si="84"/>
        <v>0.82961815925749227</v>
      </c>
      <c r="Y251" s="335">
        <f t="shared" si="84"/>
        <v>0.83401514576529767</v>
      </c>
      <c r="Z251" s="335">
        <f t="shared" si="84"/>
        <v>0.83841213227310307</v>
      </c>
      <c r="AA251" s="335">
        <f t="shared" si="84"/>
        <v>0.84280911878090836</v>
      </c>
      <c r="AB251" s="335">
        <f t="shared" si="84"/>
        <v>0.84720610528871376</v>
      </c>
      <c r="AC251" s="335">
        <f t="shared" si="84"/>
        <v>0.85160309179651916</v>
      </c>
      <c r="AD251" s="335">
        <f t="shared" si="84"/>
        <v>0.85231934299236078</v>
      </c>
      <c r="AE251" s="335">
        <f t="shared" si="84"/>
        <v>0.8530355941882023</v>
      </c>
      <c r="AF251" s="335">
        <f t="shared" si="84"/>
        <v>0.85375184538404403</v>
      </c>
      <c r="AG251" s="335">
        <f t="shared" si="84"/>
        <v>0.85446809657988565</v>
      </c>
      <c r="AH251" s="335">
        <f t="shared" si="84"/>
        <v>0.85518434777572738</v>
      </c>
      <c r="AI251" s="335">
        <f t="shared" si="84"/>
        <v>0.85564274854106603</v>
      </c>
      <c r="AJ251" s="335">
        <f t="shared" si="84"/>
        <v>0.85610114930640457</v>
      </c>
      <c r="AK251" s="335">
        <f t="shared" si="84"/>
        <v>0.85655955007174323</v>
      </c>
      <c r="AL251" s="335">
        <f t="shared" si="84"/>
        <v>0.85701795083708188</v>
      </c>
      <c r="AM251" s="335">
        <f t="shared" si="84"/>
        <v>0.85747635160242053</v>
      </c>
      <c r="AN251" s="335">
        <f t="shared" si="84"/>
        <v>0.8568556005660245</v>
      </c>
      <c r="AO251" s="335">
        <f t="shared" si="84"/>
        <v>0.85623484952962836</v>
      </c>
      <c r="AP251" s="335">
        <f t="shared" si="84"/>
        <v>0.85561409849323233</v>
      </c>
      <c r="AQ251" s="335">
        <f t="shared" si="84"/>
        <v>0.85499334745683619</v>
      </c>
      <c r="AR251" s="335">
        <f t="shared" si="84"/>
        <v>0.85437259642044006</v>
      </c>
      <c r="AS251" s="335">
        <f t="shared" si="84"/>
        <v>0.8545795134325721</v>
      </c>
      <c r="AT251" s="335">
        <f t="shared" si="84"/>
        <v>0.85478643044470415</v>
      </c>
      <c r="AU251" s="335">
        <f t="shared" si="84"/>
        <v>0.85499334745683619</v>
      </c>
    </row>
    <row r="252" spans="1:47" s="103" customFormat="1" x14ac:dyDescent="0.2">
      <c r="A252" s="334" t="s">
        <v>387</v>
      </c>
      <c r="B252" s="22"/>
      <c r="C252" s="335">
        <v>0.70372895143577641</v>
      </c>
      <c r="D252" s="335">
        <v>0.70438653174022614</v>
      </c>
      <c r="E252" s="335">
        <v>0.7229349850214557</v>
      </c>
      <c r="F252" s="335">
        <v>0.74207274656380129</v>
      </c>
      <c r="G252" s="335">
        <v>0.74863654417454895</v>
      </c>
      <c r="H252" s="335">
        <v>0.75667560075016471</v>
      </c>
      <c r="I252" s="335">
        <v>0.77287083586295791</v>
      </c>
      <c r="J252" s="335">
        <v>0.79346638499754141</v>
      </c>
      <c r="K252" s="335">
        <f t="shared" ref="K252:AU252" si="85">J252*K285/J285</f>
        <v>0.79602247570641893</v>
      </c>
      <c r="L252" s="335">
        <f t="shared" si="85"/>
        <v>0.79857856641529645</v>
      </c>
      <c r="M252" s="335">
        <f t="shared" si="85"/>
        <v>0.80113465712417398</v>
      </c>
      <c r="N252" s="335">
        <f t="shared" si="85"/>
        <v>0.8036907478330515</v>
      </c>
      <c r="O252" s="335">
        <f t="shared" si="85"/>
        <v>0.80159223567505655</v>
      </c>
      <c r="P252" s="335">
        <f t="shared" si="85"/>
        <v>0.79949372351706149</v>
      </c>
      <c r="Q252" s="335">
        <f t="shared" si="85"/>
        <v>0.79739521135906655</v>
      </c>
      <c r="R252" s="335">
        <f t="shared" si="85"/>
        <v>0.79529669920107149</v>
      </c>
      <c r="S252" s="335">
        <f t="shared" si="85"/>
        <v>0.79319818704307654</v>
      </c>
      <c r="T252" s="335">
        <f t="shared" si="85"/>
        <v>0.79412921708500395</v>
      </c>
      <c r="U252" s="335">
        <f t="shared" si="85"/>
        <v>0.79506024712693135</v>
      </c>
      <c r="V252" s="335">
        <f t="shared" si="85"/>
        <v>0.79599127716885876</v>
      </c>
      <c r="W252" s="335">
        <f t="shared" si="85"/>
        <v>0.79692230721078616</v>
      </c>
      <c r="X252" s="335">
        <f t="shared" si="85"/>
        <v>0.79785333725271357</v>
      </c>
      <c r="Y252" s="335">
        <f t="shared" si="85"/>
        <v>0.80392365312607983</v>
      </c>
      <c r="Z252" s="335">
        <f t="shared" si="85"/>
        <v>0.80999396899944609</v>
      </c>
      <c r="AA252" s="335">
        <f t="shared" si="85"/>
        <v>0.81606428487281235</v>
      </c>
      <c r="AB252" s="335">
        <f t="shared" si="85"/>
        <v>0.82213460074617872</v>
      </c>
      <c r="AC252" s="335">
        <f t="shared" si="85"/>
        <v>0.82820491661954498</v>
      </c>
      <c r="AD252" s="335">
        <f t="shared" si="85"/>
        <v>0.83259441292388514</v>
      </c>
      <c r="AE252" s="335">
        <f t="shared" si="85"/>
        <v>0.83698390922822541</v>
      </c>
      <c r="AF252" s="335">
        <f t="shared" si="85"/>
        <v>0.84137340553256545</v>
      </c>
      <c r="AG252" s="335">
        <f t="shared" si="85"/>
        <v>0.84576290183690572</v>
      </c>
      <c r="AH252" s="335">
        <f t="shared" si="85"/>
        <v>0.85015239814124577</v>
      </c>
      <c r="AI252" s="335">
        <f t="shared" si="85"/>
        <v>0.85086742921344594</v>
      </c>
      <c r="AJ252" s="335">
        <f t="shared" si="85"/>
        <v>0.8515824602856461</v>
      </c>
      <c r="AK252" s="335">
        <f t="shared" si="85"/>
        <v>0.85229749135784649</v>
      </c>
      <c r="AL252" s="335">
        <f t="shared" si="85"/>
        <v>0.85301252243004677</v>
      </c>
      <c r="AM252" s="335">
        <f t="shared" si="85"/>
        <v>0.85372755350224694</v>
      </c>
      <c r="AN252" s="335">
        <f t="shared" si="85"/>
        <v>0.85418517338845512</v>
      </c>
      <c r="AO252" s="335">
        <f t="shared" si="85"/>
        <v>0.85464279327466319</v>
      </c>
      <c r="AP252" s="335">
        <f t="shared" si="85"/>
        <v>0.85510041316087126</v>
      </c>
      <c r="AQ252" s="335">
        <f t="shared" si="85"/>
        <v>0.85555803304707922</v>
      </c>
      <c r="AR252" s="335">
        <f t="shared" si="85"/>
        <v>0.85601565293328741</v>
      </c>
      <c r="AS252" s="335">
        <f t="shared" si="85"/>
        <v>0.85539595933738055</v>
      </c>
      <c r="AT252" s="335">
        <f t="shared" si="85"/>
        <v>0.85477626574147381</v>
      </c>
      <c r="AU252" s="335">
        <f t="shared" si="85"/>
        <v>0.85415657214556695</v>
      </c>
    </row>
    <row r="253" spans="1:47" s="103" customFormat="1" x14ac:dyDescent="0.2">
      <c r="A253" s="334" t="s">
        <v>388</v>
      </c>
      <c r="B253" s="22"/>
      <c r="C253" s="335">
        <v>0.49923746701846961</v>
      </c>
      <c r="D253" s="335">
        <v>0.4925845049356864</v>
      </c>
      <c r="E253" s="335">
        <v>0.50589358783595284</v>
      </c>
      <c r="F253" s="335">
        <v>0.54324833651982984</v>
      </c>
      <c r="G253" s="335">
        <v>0.55549626795462737</v>
      </c>
      <c r="H253" s="335">
        <v>0.56904069029838</v>
      </c>
      <c r="I253" s="335">
        <v>0.59059008704569549</v>
      </c>
      <c r="J253" s="335">
        <v>0.61596225522134618</v>
      </c>
      <c r="K253" s="335">
        <f t="shared" ref="K253:AU253" si="86">J253*K286/J286</f>
        <v>0.6238481526623717</v>
      </c>
      <c r="L253" s="335">
        <f t="shared" si="86"/>
        <v>0.63173405010339712</v>
      </c>
      <c r="M253" s="335">
        <f t="shared" si="86"/>
        <v>0.63961994754442264</v>
      </c>
      <c r="N253" s="335">
        <f t="shared" si="86"/>
        <v>0.64750584498544805</v>
      </c>
      <c r="O253" s="335">
        <f t="shared" si="86"/>
        <v>0.64959847633221768</v>
      </c>
      <c r="P253" s="335">
        <f t="shared" si="86"/>
        <v>0.65169110767898719</v>
      </c>
      <c r="Q253" s="335">
        <f t="shared" si="86"/>
        <v>0.65378373902575682</v>
      </c>
      <c r="R253" s="335">
        <f t="shared" si="86"/>
        <v>0.65587637037252633</v>
      </c>
      <c r="S253" s="335">
        <f t="shared" si="86"/>
        <v>0.65796900171929595</v>
      </c>
      <c r="T253" s="335">
        <f t="shared" si="86"/>
        <v>0.65625098275066329</v>
      </c>
      <c r="U253" s="335">
        <f t="shared" si="86"/>
        <v>0.65453296378203063</v>
      </c>
      <c r="V253" s="335">
        <f t="shared" si="86"/>
        <v>0.65281494481339786</v>
      </c>
      <c r="W253" s="335">
        <f t="shared" si="86"/>
        <v>0.6510969258447652</v>
      </c>
      <c r="X253" s="335">
        <f t="shared" si="86"/>
        <v>0.64937890687613242</v>
      </c>
      <c r="Y253" s="335">
        <f t="shared" si="86"/>
        <v>0.65014112655939904</v>
      </c>
      <c r="Z253" s="335">
        <f t="shared" si="86"/>
        <v>0.65090334624266566</v>
      </c>
      <c r="AA253" s="335">
        <f t="shared" si="86"/>
        <v>0.65166556592593228</v>
      </c>
      <c r="AB253" s="335">
        <f t="shared" si="86"/>
        <v>0.6524277856091989</v>
      </c>
      <c r="AC253" s="335">
        <f t="shared" si="86"/>
        <v>0.65319000529246551</v>
      </c>
      <c r="AD253" s="335">
        <f t="shared" si="86"/>
        <v>0.65815967762736383</v>
      </c>
      <c r="AE253" s="335">
        <f t="shared" si="86"/>
        <v>0.66312934996226214</v>
      </c>
      <c r="AF253" s="335">
        <f t="shared" si="86"/>
        <v>0.66809902229716056</v>
      </c>
      <c r="AG253" s="335">
        <f t="shared" si="86"/>
        <v>0.67306869463205887</v>
      </c>
      <c r="AH253" s="335">
        <f t="shared" si="86"/>
        <v>0.67803836696695707</v>
      </c>
      <c r="AI253" s="335">
        <f t="shared" si="86"/>
        <v>0.68163197870033143</v>
      </c>
      <c r="AJ253" s="335">
        <f t="shared" si="86"/>
        <v>0.68522559043370568</v>
      </c>
      <c r="AK253" s="335">
        <f t="shared" si="86"/>
        <v>0.68881920216708004</v>
      </c>
      <c r="AL253" s="335">
        <f t="shared" si="86"/>
        <v>0.69241281390045428</v>
      </c>
      <c r="AM253" s="335">
        <f t="shared" si="86"/>
        <v>0.69600642563382864</v>
      </c>
      <c r="AN253" s="335">
        <f t="shared" si="86"/>
        <v>0.69659181035057738</v>
      </c>
      <c r="AO253" s="335">
        <f t="shared" si="86"/>
        <v>0.69717719506732601</v>
      </c>
      <c r="AP253" s="335">
        <f t="shared" si="86"/>
        <v>0.69776257978407485</v>
      </c>
      <c r="AQ253" s="335">
        <f t="shared" si="86"/>
        <v>0.69834796450082348</v>
      </c>
      <c r="AR253" s="335">
        <f t="shared" si="86"/>
        <v>0.69893334921757233</v>
      </c>
      <c r="AS253" s="335">
        <f t="shared" si="86"/>
        <v>0.69930799543629152</v>
      </c>
      <c r="AT253" s="335">
        <f t="shared" si="86"/>
        <v>0.69968264165501071</v>
      </c>
      <c r="AU253" s="335">
        <f t="shared" si="86"/>
        <v>0.70005728787373001</v>
      </c>
    </row>
    <row r="254" spans="1:47" s="103" customFormat="1" x14ac:dyDescent="0.2">
      <c r="A254" s="334" t="s">
        <v>228</v>
      </c>
      <c r="B254" s="22"/>
      <c r="C254" s="335">
        <v>7.3336502405546913E-2</v>
      </c>
      <c r="D254" s="335">
        <v>8.1243424003035747E-2</v>
      </c>
      <c r="E254" s="335">
        <v>9.3536286769689572E-2</v>
      </c>
      <c r="F254" s="335">
        <v>8.8231241363176588E-2</v>
      </c>
      <c r="G254" s="335">
        <v>6.8255197414597846E-2</v>
      </c>
      <c r="H254" s="335">
        <v>5.1742662899607952E-2</v>
      </c>
      <c r="I254" s="335">
        <v>5.4556433986583636E-2</v>
      </c>
      <c r="J254" s="335">
        <v>6.844208232180099E-2</v>
      </c>
      <c r="K254" s="335">
        <f t="shared" ref="K254:AU254" si="87">J254*K287/J287</f>
        <v>7.0802110029406187E-2</v>
      </c>
      <c r="L254" s="335">
        <f t="shared" si="87"/>
        <v>7.3162137737011385E-2</v>
      </c>
      <c r="M254" s="335">
        <f t="shared" si="87"/>
        <v>7.5522165444616568E-2</v>
      </c>
      <c r="N254" s="335">
        <f t="shared" si="87"/>
        <v>7.7882193152221765E-2</v>
      </c>
      <c r="O254" s="335">
        <f t="shared" si="87"/>
        <v>7.8892215955809267E-2</v>
      </c>
      <c r="P254" s="335">
        <f t="shared" si="87"/>
        <v>7.9902238759396768E-2</v>
      </c>
      <c r="Q254" s="335">
        <f t="shared" si="87"/>
        <v>8.091226156298427E-2</v>
      </c>
      <c r="R254" s="335">
        <f t="shared" si="87"/>
        <v>8.1922284366571771E-2</v>
      </c>
      <c r="S254" s="335">
        <f t="shared" si="87"/>
        <v>8.2932307170159272E-2</v>
      </c>
      <c r="T254" s="335">
        <f t="shared" si="87"/>
        <v>8.3200330612709206E-2</v>
      </c>
      <c r="U254" s="335">
        <f t="shared" si="87"/>
        <v>8.3468354055259139E-2</v>
      </c>
      <c r="V254" s="335">
        <f t="shared" si="87"/>
        <v>8.3736377497809059E-2</v>
      </c>
      <c r="W254" s="335">
        <f t="shared" si="87"/>
        <v>8.4004400940358992E-2</v>
      </c>
      <c r="X254" s="335">
        <f t="shared" si="87"/>
        <v>8.4272424382908925E-2</v>
      </c>
      <c r="Y254" s="335">
        <f t="shared" si="87"/>
        <v>8.4052381154057429E-2</v>
      </c>
      <c r="Z254" s="335">
        <f t="shared" si="87"/>
        <v>8.3832337925205946E-2</v>
      </c>
      <c r="AA254" s="335">
        <f t="shared" si="87"/>
        <v>8.3612294696354478E-2</v>
      </c>
      <c r="AB254" s="335">
        <f t="shared" si="87"/>
        <v>8.3392251467502995E-2</v>
      </c>
      <c r="AC254" s="335">
        <f t="shared" si="87"/>
        <v>8.3172208238651513E-2</v>
      </c>
      <c r="AD254" s="335">
        <f t="shared" si="87"/>
        <v>8.3269833051451816E-2</v>
      </c>
      <c r="AE254" s="335">
        <f t="shared" si="87"/>
        <v>8.336745786425212E-2</v>
      </c>
      <c r="AF254" s="335">
        <f t="shared" si="87"/>
        <v>8.3465082677052424E-2</v>
      </c>
      <c r="AG254" s="335">
        <f t="shared" si="87"/>
        <v>8.3562707489852728E-2</v>
      </c>
      <c r="AH254" s="335">
        <f t="shared" si="87"/>
        <v>8.3660332302653032E-2</v>
      </c>
      <c r="AI254" s="335">
        <f t="shared" si="87"/>
        <v>8.4296846082111021E-2</v>
      </c>
      <c r="AJ254" s="335">
        <f t="shared" si="87"/>
        <v>8.4933359861569011E-2</v>
      </c>
      <c r="AK254" s="335">
        <f t="shared" si="87"/>
        <v>8.5569873641027E-2</v>
      </c>
      <c r="AL254" s="335">
        <f t="shared" si="87"/>
        <v>8.6206387420484989E-2</v>
      </c>
      <c r="AM254" s="335">
        <f t="shared" si="87"/>
        <v>8.6842901199942979E-2</v>
      </c>
      <c r="AN254" s="335">
        <f t="shared" si="87"/>
        <v>8.7303169650692153E-2</v>
      </c>
      <c r="AO254" s="335">
        <f t="shared" si="87"/>
        <v>8.7763438101441341E-2</v>
      </c>
      <c r="AP254" s="335">
        <f t="shared" si="87"/>
        <v>8.8223706552190514E-2</v>
      </c>
      <c r="AQ254" s="335">
        <f t="shared" si="87"/>
        <v>8.8683975002939688E-2</v>
      </c>
      <c r="AR254" s="335">
        <f t="shared" si="87"/>
        <v>8.9144243453688848E-2</v>
      </c>
      <c r="AS254" s="335">
        <f t="shared" si="87"/>
        <v>8.9219219309919495E-2</v>
      </c>
      <c r="AT254" s="335">
        <f t="shared" si="87"/>
        <v>8.9294195166150114E-2</v>
      </c>
      <c r="AU254" s="335">
        <f t="shared" si="87"/>
        <v>8.9369171022380761E-2</v>
      </c>
    </row>
    <row r="255" spans="1:47" s="370" customFormat="1" x14ac:dyDescent="0.2">
      <c r="A255" s="333" t="s">
        <v>229</v>
      </c>
      <c r="B255" s="341"/>
      <c r="C255" s="336">
        <f t="shared" ref="C255:AH255" si="88">(C$244*SUM(C$118:C$122)+C$245*SUM(C$123:C$127)+C$246*SUM(C$128:C$132)+C$247*SUM(C$133:C$137)+C$248*SUM(C$138:C$142)+C$249*SUM(C$143:C$147)+C$250*SUM(C$148:C$152)+C$251*SUM(C$153:C$157)+C$252*SUM(C$158:C$162)+C$253*SUM(C$163:C$167)+C$254*SUM(C$168:C$193))/SUM(C$118:C$193)</f>
        <v>0.59352192082283639</v>
      </c>
      <c r="D255" s="336">
        <f t="shared" si="88"/>
        <v>0.59352796119404716</v>
      </c>
      <c r="E255" s="336">
        <f t="shared" si="88"/>
        <v>0.59484712604275436</v>
      </c>
      <c r="F255" s="336">
        <f t="shared" si="88"/>
        <v>0.59749485832167304</v>
      </c>
      <c r="G255" s="336">
        <f t="shared" si="88"/>
        <v>0.58635300976866389</v>
      </c>
      <c r="H255" s="336">
        <f t="shared" si="88"/>
        <v>0.57750674483278142</v>
      </c>
      <c r="I255" s="336">
        <f t="shared" si="88"/>
        <v>0.57893137392463867</v>
      </c>
      <c r="J255" s="336">
        <f t="shared" si="88"/>
        <v>0.58658450815479302</v>
      </c>
      <c r="K255" s="336">
        <f t="shared" si="88"/>
        <v>0.58638118690545626</v>
      </c>
      <c r="L255" s="336">
        <f t="shared" si="88"/>
        <v>0.58598364878958309</v>
      </c>
      <c r="M255" s="336">
        <f t="shared" si="88"/>
        <v>0.58562245941602586</v>
      </c>
      <c r="N255" s="336">
        <f t="shared" si="88"/>
        <v>0.58520018085657721</v>
      </c>
      <c r="O255" s="336">
        <f t="shared" si="88"/>
        <v>0.58374643809530147</v>
      </c>
      <c r="P255" s="336">
        <f t="shared" si="88"/>
        <v>0.58192704905573878</v>
      </c>
      <c r="Q255" s="336">
        <f t="shared" si="88"/>
        <v>0.5800720497392885</v>
      </c>
      <c r="R255" s="336">
        <f t="shared" si="88"/>
        <v>0.57787757830649544</v>
      </c>
      <c r="S255" s="336">
        <f t="shared" si="88"/>
        <v>0.57554088250954705</v>
      </c>
      <c r="T255" s="336">
        <f t="shared" si="88"/>
        <v>0.57285641004388688</v>
      </c>
      <c r="U255" s="336">
        <f t="shared" si="88"/>
        <v>0.56998316621688128</v>
      </c>
      <c r="V255" s="336">
        <f t="shared" si="88"/>
        <v>0.56720896415267408</v>
      </c>
      <c r="W255" s="336">
        <f t="shared" si="88"/>
        <v>0.56420123328053307</v>
      </c>
      <c r="X255" s="336">
        <f t="shared" si="88"/>
        <v>0.5610881079049661</v>
      </c>
      <c r="Y255" s="336">
        <f t="shared" si="88"/>
        <v>0.55811304500848002</v>
      </c>
      <c r="Z255" s="336">
        <f t="shared" si="88"/>
        <v>0.55553132692325524</v>
      </c>
      <c r="AA255" s="336">
        <f t="shared" si="88"/>
        <v>0.55341081356878519</v>
      </c>
      <c r="AB255" s="336">
        <f t="shared" si="88"/>
        <v>0.55145552941052112</v>
      </c>
      <c r="AC255" s="336">
        <f t="shared" si="88"/>
        <v>0.54956260941589596</v>
      </c>
      <c r="AD255" s="336">
        <f t="shared" si="88"/>
        <v>0.54779132093931471</v>
      </c>
      <c r="AE255" s="336">
        <f t="shared" si="88"/>
        <v>0.54601863087678459</v>
      </c>
      <c r="AF255" s="336">
        <f t="shared" si="88"/>
        <v>0.54447937036781802</v>
      </c>
      <c r="AG255" s="336">
        <f t="shared" si="88"/>
        <v>0.54285337400130984</v>
      </c>
      <c r="AH255" s="336">
        <f t="shared" si="88"/>
        <v>0.54138780831367173</v>
      </c>
      <c r="AI255" s="336">
        <f t="shared" ref="AI255:AU255" si="89">(AI$244*SUM(AI$118:AI$122)+AI$245*SUM(AI$123:AI$127)+AI$246*SUM(AI$128:AI$132)+AI$247*SUM(AI$133:AI$137)+AI$248*SUM(AI$138:AI$142)+AI$249*SUM(AI$143:AI$147)+AI$250*SUM(AI$148:AI$152)+AI$251*SUM(AI$153:AI$157)+AI$252*SUM(AI$158:AI$162)+AI$253*SUM(AI$163:AI$167)+AI$254*SUM(AI$168:AI$193))/SUM(AI$118:AI$193)</f>
        <v>0.54015924553528527</v>
      </c>
      <c r="AJ255" s="336">
        <f t="shared" si="89"/>
        <v>0.53918849321651419</v>
      </c>
      <c r="AK255" s="336">
        <f t="shared" si="89"/>
        <v>0.53859806968736679</v>
      </c>
      <c r="AL255" s="336">
        <f t="shared" si="89"/>
        <v>0.53835797246718187</v>
      </c>
      <c r="AM255" s="336">
        <f t="shared" si="89"/>
        <v>0.53808804558425549</v>
      </c>
      <c r="AN255" s="336">
        <f t="shared" si="89"/>
        <v>0.53767262151944872</v>
      </c>
      <c r="AO255" s="336">
        <f t="shared" si="89"/>
        <v>0.53709692247974306</v>
      </c>
      <c r="AP255" s="336">
        <f t="shared" si="89"/>
        <v>0.53655874501697576</v>
      </c>
      <c r="AQ255" s="336">
        <f t="shared" si="89"/>
        <v>0.53604125192958052</v>
      </c>
      <c r="AR255" s="336">
        <f t="shared" si="89"/>
        <v>0.53554662536182085</v>
      </c>
      <c r="AS255" s="336">
        <f t="shared" si="89"/>
        <v>0.53473154212488616</v>
      </c>
      <c r="AT255" s="336">
        <f t="shared" si="89"/>
        <v>0.53394008093314815</v>
      </c>
      <c r="AU255" s="336">
        <f t="shared" si="89"/>
        <v>0.53315070770766604</v>
      </c>
    </row>
    <row r="256" spans="1:47" s="103" customFormat="1" x14ac:dyDescent="0.2">
      <c r="A256" s="334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</row>
    <row r="257" spans="1:47" s="103" customFormat="1" x14ac:dyDescent="0.2">
      <c r="A257" s="333" t="s">
        <v>231</v>
      </c>
      <c r="B257" s="22"/>
      <c r="C257" s="336">
        <f t="shared" ref="C257:AH257" si="90">(C$230*SUM(C$24:C$28)+C$231*SUM(C$29:C$33)+C$232*SUM(C$34:C$38)+C$233*SUM(C$39:C$43)+C$234*SUM(C$44:C$48)+C$235*SUM(C$49:C$53)+C$236*SUM(C$54:C$58)+C$237*SUM(C$59:C$63)+C$238*SUM(C$64:C$68)+C$239*SUM(C$69:C$73)+C$240*SUM(C$74:C$99)+C$244*SUM(C$118:C$122)+C$245*SUM(C$123:C$127)+C$246*SUM(C$128:C$132)+C$247*SUM(C$133:C$137)+C$248*SUM(C$138:C$142)+C$249*SUM(C$143:C$147)+C$250*SUM(C$148:C$152)+C$251*SUM(C$153:C$157)+C$252*SUM(C$158:C$162)+C$253*SUM(C$163:C$167)+C$254*SUM(C$168:C$193))/SUM(C$24:C$99,C$118:C$193)</f>
        <v>0.6621421975870061</v>
      </c>
      <c r="D257" s="336">
        <f t="shared" si="90"/>
        <v>0.66367534095842629</v>
      </c>
      <c r="E257" s="336">
        <f t="shared" si="90"/>
        <v>0.66265088368892955</v>
      </c>
      <c r="F257" s="336">
        <f t="shared" si="90"/>
        <v>0.66292266292266322</v>
      </c>
      <c r="G257" s="336">
        <f t="shared" si="90"/>
        <v>0.65128218470050658</v>
      </c>
      <c r="H257" s="336">
        <f t="shared" si="90"/>
        <v>0.64190473468337772</v>
      </c>
      <c r="I257" s="336">
        <f t="shared" si="90"/>
        <v>0.64229939279785309</v>
      </c>
      <c r="J257" s="336">
        <f t="shared" si="90"/>
        <v>0.64870401934525024</v>
      </c>
      <c r="K257" s="336">
        <f t="shared" si="90"/>
        <v>0.64820288537469084</v>
      </c>
      <c r="L257" s="336">
        <f t="shared" si="90"/>
        <v>0.64761548837709215</v>
      </c>
      <c r="M257" s="336">
        <f t="shared" si="90"/>
        <v>0.64716536608078212</v>
      </c>
      <c r="N257" s="336">
        <f t="shared" si="90"/>
        <v>0.64662548332542746</v>
      </c>
      <c r="O257" s="336">
        <f t="shared" si="90"/>
        <v>0.64518267025682496</v>
      </c>
      <c r="P257" s="336">
        <f t="shared" si="90"/>
        <v>0.64341862622966561</v>
      </c>
      <c r="Q257" s="336">
        <f t="shared" si="90"/>
        <v>0.64165425467069037</v>
      </c>
      <c r="R257" s="336">
        <f t="shared" si="90"/>
        <v>0.63952010425794104</v>
      </c>
      <c r="S257" s="336">
        <f t="shared" si="90"/>
        <v>0.63710914624775861</v>
      </c>
      <c r="T257" s="336">
        <f t="shared" si="90"/>
        <v>0.63450788659533053</v>
      </c>
      <c r="U257" s="336">
        <f t="shared" si="90"/>
        <v>0.63171441934276806</v>
      </c>
      <c r="V257" s="336">
        <f t="shared" si="90"/>
        <v>0.62901517175279542</v>
      </c>
      <c r="W257" s="336">
        <f t="shared" si="90"/>
        <v>0.62617420355267583</v>
      </c>
      <c r="X257" s="336">
        <f t="shared" si="90"/>
        <v>0.62331577636520508</v>
      </c>
      <c r="Y257" s="336">
        <f t="shared" si="90"/>
        <v>0.62062676120750515</v>
      </c>
      <c r="Z257" s="336">
        <f t="shared" si="90"/>
        <v>0.61826134589573567</v>
      </c>
      <c r="AA257" s="336">
        <f t="shared" si="90"/>
        <v>0.61637315661631753</v>
      </c>
      <c r="AB257" s="336">
        <f t="shared" si="90"/>
        <v>0.61468791950598078</v>
      </c>
      <c r="AC257" s="336">
        <f t="shared" si="90"/>
        <v>0.61316198549857426</v>
      </c>
      <c r="AD257" s="336">
        <f t="shared" si="90"/>
        <v>0.61166457465226332</v>
      </c>
      <c r="AE257" s="336">
        <f t="shared" si="90"/>
        <v>0.61014334187222052</v>
      </c>
      <c r="AF257" s="336">
        <f t="shared" si="90"/>
        <v>0.60882069755792012</v>
      </c>
      <c r="AG257" s="336">
        <f t="shared" si="90"/>
        <v>0.60741209611857527</v>
      </c>
      <c r="AH257" s="336">
        <f t="shared" si="90"/>
        <v>0.6061806900899025</v>
      </c>
      <c r="AI257" s="336">
        <f t="shared" ref="AI257:AU257" si="91">(AI$230*SUM(AI$24:AI$28)+AI$231*SUM(AI$29:AI$33)+AI$232*SUM(AI$34:AI$38)+AI$233*SUM(AI$39:AI$43)+AI$234*SUM(AI$44:AI$48)+AI$235*SUM(AI$49:AI$53)+AI$236*SUM(AI$54:AI$58)+AI$237*SUM(AI$59:AI$63)+AI$238*SUM(AI$64:AI$68)+AI$239*SUM(AI$69:AI$73)+AI$240*SUM(AI$74:AI$99)+AI$244*SUM(AI$118:AI$122)+AI$245*SUM(AI$123:AI$127)+AI$246*SUM(AI$128:AI$132)+AI$247*SUM(AI$133:AI$137)+AI$248*SUM(AI$138:AI$142)+AI$249*SUM(AI$143:AI$147)+AI$250*SUM(AI$148:AI$152)+AI$251*SUM(AI$153:AI$157)+AI$252*SUM(AI$158:AI$162)+AI$253*SUM(AI$163:AI$167)+AI$254*SUM(AI$168:AI$193))/SUM(AI$24:AI$99,AI$118:AI$193)</f>
        <v>0.60522924012567314</v>
      </c>
      <c r="AJ257" s="336">
        <f t="shared" si="91"/>
        <v>0.60458564460922337</v>
      </c>
      <c r="AK257" s="336">
        <f t="shared" si="91"/>
        <v>0.60427738099839101</v>
      </c>
      <c r="AL257" s="336">
        <f t="shared" si="91"/>
        <v>0.60428163368082544</v>
      </c>
      <c r="AM257" s="336">
        <f t="shared" si="91"/>
        <v>0.60430261287807319</v>
      </c>
      <c r="AN257" s="336">
        <f t="shared" si="91"/>
        <v>0.60427564883432217</v>
      </c>
      <c r="AO257" s="336">
        <f t="shared" si="91"/>
        <v>0.60409590267667035</v>
      </c>
      <c r="AP257" s="336">
        <f t="shared" si="91"/>
        <v>0.60385391116472054</v>
      </c>
      <c r="AQ257" s="336">
        <f t="shared" si="91"/>
        <v>0.60353998492871963</v>
      </c>
      <c r="AR257" s="336">
        <f t="shared" si="91"/>
        <v>0.60316670986042065</v>
      </c>
      <c r="AS257" s="336">
        <f t="shared" si="91"/>
        <v>0.6025062366891154</v>
      </c>
      <c r="AT257" s="336">
        <f t="shared" si="91"/>
        <v>0.60188901898263436</v>
      </c>
      <c r="AU257" s="336">
        <f t="shared" si="91"/>
        <v>0.60132092812619908</v>
      </c>
    </row>
    <row r="258" spans="1:47" s="103" customFormat="1" x14ac:dyDescent="0.2">
      <c r="A258" s="333"/>
      <c r="B258" s="22"/>
      <c r="C258" s="336"/>
      <c r="D258" s="336"/>
      <c r="E258" s="336"/>
      <c r="F258" s="336"/>
      <c r="G258" s="336"/>
      <c r="H258" s="336"/>
      <c r="I258" s="336"/>
      <c r="J258" s="336"/>
      <c r="K258" s="336"/>
      <c r="L258" s="336"/>
      <c r="M258" s="336"/>
      <c r="N258" s="336"/>
      <c r="O258" s="336"/>
      <c r="P258" s="336"/>
      <c r="Q258" s="336"/>
      <c r="R258" s="336"/>
      <c r="S258" s="336"/>
      <c r="T258" s="336"/>
      <c r="U258" s="336"/>
      <c r="V258" s="336"/>
      <c r="W258" s="336"/>
      <c r="X258" s="336"/>
      <c r="Y258" s="336"/>
      <c r="Z258" s="336"/>
      <c r="AA258" s="336"/>
      <c r="AB258" s="336"/>
      <c r="AC258" s="336"/>
      <c r="AD258" s="336"/>
      <c r="AE258" s="336"/>
      <c r="AF258" s="336"/>
      <c r="AG258" s="336"/>
      <c r="AH258" s="336"/>
      <c r="AI258" s="336"/>
      <c r="AJ258" s="336"/>
      <c r="AK258" s="336"/>
      <c r="AL258" s="336"/>
      <c r="AM258" s="336"/>
      <c r="AN258" s="336"/>
      <c r="AO258" s="336"/>
      <c r="AP258" s="336"/>
      <c r="AQ258" s="336"/>
      <c r="AR258" s="336"/>
      <c r="AS258" s="336"/>
      <c r="AT258" s="336"/>
      <c r="AU258" s="336"/>
    </row>
    <row r="259" spans="1:47" s="103" customFormat="1" x14ac:dyDescent="0.2">
      <c r="A259" s="333" t="s">
        <v>232</v>
      </c>
      <c r="B259" s="22"/>
      <c r="C259" s="336">
        <f t="shared" ref="C259:AH259" si="92">(C$230*SUM(C$24:C$28)+C$231*SUM(C$29:C$33)+C$232*SUM(C$34:C$38)+C$233*SUM(C$39:C$43)+C$234*SUM(C$44:C$48)+C$235*SUM(C$49:C$53)+C$236*SUM(C$54:C$58)+C$237*SUM(C$59:C$63)+C$238*SUM(C$64:C$68)+C$239*SUM(C$69:C$73)+C$240*SUM(C$74:C$99)+C$244*SUM(C$118:C$122)+C$245*SUM(C$123:C$127)+C$246*SUM(C$128:C$132)+C$247*SUM(C$133:C$137)+C$248*SUM(C$138:C$142)+C$249*SUM(C$143:C$147)+C$250*SUM(C$148:C$152)+C$251*SUM(C$153:C$157)+C$252*SUM(C$158:C$162)+C$253*SUM(C$163:C$167)+C$254*SUM(C$168:C$193))/1000000</f>
        <v>2.1826325687499999</v>
      </c>
      <c r="D259" s="336">
        <f t="shared" si="92"/>
        <v>2.2165760875</v>
      </c>
      <c r="E259" s="336">
        <f t="shared" si="92"/>
        <v>2.2392961312499997</v>
      </c>
      <c r="F259" s="336">
        <f t="shared" si="92"/>
        <v>2.2664000000000009</v>
      </c>
      <c r="G259" s="336">
        <f t="shared" si="92"/>
        <v>2.2530000000000032</v>
      </c>
      <c r="H259" s="336">
        <f t="shared" si="92"/>
        <v>2.2457999999999996</v>
      </c>
      <c r="I259" s="336">
        <f t="shared" si="92"/>
        <v>2.271100000000001</v>
      </c>
      <c r="J259" s="336">
        <f t="shared" si="92"/>
        <v>2.3177999999999988</v>
      </c>
      <c r="K259" s="336">
        <f t="shared" si="92"/>
        <v>2.3392216086824771</v>
      </c>
      <c r="L259" s="336">
        <f t="shared" si="92"/>
        <v>2.3612578798619479</v>
      </c>
      <c r="M259" s="336">
        <f t="shared" si="92"/>
        <v>2.382888764524083</v>
      </c>
      <c r="N259" s="336">
        <f t="shared" si="92"/>
        <v>2.4024981857666261</v>
      </c>
      <c r="O259" s="336">
        <f t="shared" si="92"/>
        <v>2.418770475312729</v>
      </c>
      <c r="P259" s="336">
        <f t="shared" si="92"/>
        <v>2.4344515825750874</v>
      </c>
      <c r="Q259" s="336">
        <f t="shared" si="92"/>
        <v>2.4496691142264813</v>
      </c>
      <c r="R259" s="336">
        <f t="shared" si="92"/>
        <v>2.464218051329826</v>
      </c>
      <c r="S259" s="336">
        <f t="shared" si="92"/>
        <v>2.4787750709403045</v>
      </c>
      <c r="T259" s="336">
        <f t="shared" si="92"/>
        <v>2.4922581474423349</v>
      </c>
      <c r="U259" s="336">
        <f t="shared" si="92"/>
        <v>2.5041285925631191</v>
      </c>
      <c r="V259" s="336">
        <f t="shared" si="92"/>
        <v>2.5154757029014512</v>
      </c>
      <c r="W259" s="336">
        <f t="shared" si="92"/>
        <v>2.5253104689916572</v>
      </c>
      <c r="X259" s="336">
        <f t="shared" si="92"/>
        <v>2.5342087188102504</v>
      </c>
      <c r="Y259" s="336">
        <f t="shared" si="92"/>
        <v>2.5428940286955108</v>
      </c>
      <c r="Z259" s="336">
        <f t="shared" si="92"/>
        <v>2.5521519227903018</v>
      </c>
      <c r="AA259" s="336">
        <f t="shared" si="92"/>
        <v>2.5626083810217373</v>
      </c>
      <c r="AB259" s="336">
        <f t="shared" si="92"/>
        <v>2.5732188623943268</v>
      </c>
      <c r="AC259" s="336">
        <f t="shared" si="92"/>
        <v>2.5838891333704122</v>
      </c>
      <c r="AD259" s="336">
        <f t="shared" si="92"/>
        <v>2.5939226616023321</v>
      </c>
      <c r="AE259" s="336">
        <f t="shared" si="92"/>
        <v>2.6033413068001345</v>
      </c>
      <c r="AF259" s="336">
        <f t="shared" si="92"/>
        <v>2.6129062287442038</v>
      </c>
      <c r="AG259" s="336">
        <f t="shared" si="92"/>
        <v>2.6214448279447025</v>
      </c>
      <c r="AH259" s="336">
        <f t="shared" si="92"/>
        <v>2.6301634580379791</v>
      </c>
      <c r="AI259" s="336">
        <f t="shared" ref="AI259:AU259" si="93">(AI$230*SUM(AI$24:AI$28)+AI$231*SUM(AI$29:AI$33)+AI$232*SUM(AI$34:AI$38)+AI$233*SUM(AI$39:AI$43)+AI$234*SUM(AI$44:AI$48)+AI$235*SUM(AI$49:AI$53)+AI$236*SUM(AI$54:AI$58)+AI$237*SUM(AI$59:AI$63)+AI$238*SUM(AI$64:AI$68)+AI$239*SUM(AI$69:AI$73)+AI$240*SUM(AI$74:AI$99)+AI$244*SUM(AI$118:AI$122)+AI$245*SUM(AI$123:AI$127)+AI$246*SUM(AI$128:AI$132)+AI$247*SUM(AI$133:AI$137)+AI$248*SUM(AI$138:AI$142)+AI$249*SUM(AI$143:AI$147)+AI$250*SUM(AI$148:AI$152)+AI$251*SUM(AI$153:AI$157)+AI$252*SUM(AI$158:AI$162)+AI$253*SUM(AI$163:AI$167)+AI$254*SUM(AI$168:AI$193))/1000000</f>
        <v>2.6395257620360857</v>
      </c>
      <c r="AJ259" s="336">
        <f t="shared" si="93"/>
        <v>2.6496026333563676</v>
      </c>
      <c r="AK259" s="336">
        <f t="shared" si="93"/>
        <v>2.6606091374406757</v>
      </c>
      <c r="AL259" s="336">
        <f t="shared" si="93"/>
        <v>2.672429482137114</v>
      </c>
      <c r="AM259" s="336">
        <f t="shared" si="93"/>
        <v>2.6838106352357123</v>
      </c>
      <c r="AN259" s="336">
        <f t="shared" si="93"/>
        <v>2.6944349043698006</v>
      </c>
      <c r="AO259" s="336">
        <f t="shared" si="93"/>
        <v>2.7038909736675891</v>
      </c>
      <c r="AP259" s="336">
        <f t="shared" si="93"/>
        <v>2.7124091137870265</v>
      </c>
      <c r="AQ259" s="336">
        <f t="shared" si="93"/>
        <v>2.7201003934750956</v>
      </c>
      <c r="AR259" s="336">
        <f t="shared" si="93"/>
        <v>2.7269709802828492</v>
      </c>
      <c r="AS259" s="336">
        <f t="shared" si="93"/>
        <v>2.7320645302667939</v>
      </c>
      <c r="AT259" s="336">
        <f t="shared" si="93"/>
        <v>2.7368435393257466</v>
      </c>
      <c r="AU259" s="336">
        <f t="shared" si="93"/>
        <v>2.7415002830479978</v>
      </c>
    </row>
    <row r="260" spans="1:47" x14ac:dyDescent="0.2">
      <c r="A260" s="318"/>
      <c r="C260" s="332"/>
      <c r="D260" s="332"/>
      <c r="E260" s="332"/>
      <c r="F260" s="392"/>
      <c r="G260" s="392"/>
      <c r="H260" s="392"/>
      <c r="I260" s="392"/>
      <c r="J260" s="392"/>
      <c r="K260" s="332"/>
      <c r="L260" s="332"/>
      <c r="M260" s="332"/>
      <c r="N260" s="332"/>
      <c r="O260" s="332"/>
      <c r="P260" s="332"/>
      <c r="Q260" s="332"/>
      <c r="R260" s="332"/>
      <c r="S260" s="332"/>
      <c r="T260" s="332"/>
      <c r="U260" s="332"/>
      <c r="V260" s="332"/>
      <c r="W260" s="332"/>
      <c r="X260" s="332"/>
      <c r="Y260" s="332"/>
      <c r="Z260" s="332"/>
      <c r="AA260" s="332"/>
      <c r="AB260" s="332"/>
      <c r="AC260" s="332"/>
      <c r="AD260" s="332"/>
      <c r="AE260" s="332"/>
      <c r="AF260" s="332"/>
      <c r="AG260" s="332"/>
      <c r="AH260" s="332"/>
      <c r="AI260" s="332"/>
      <c r="AJ260" s="332"/>
      <c r="AK260" s="332"/>
      <c r="AL260" s="332"/>
      <c r="AM260" s="332"/>
      <c r="AN260" s="332"/>
      <c r="AO260" s="332"/>
      <c r="AP260" s="332"/>
      <c r="AQ260" s="332"/>
      <c r="AR260" s="332"/>
      <c r="AS260" s="332"/>
      <c r="AT260" s="332"/>
      <c r="AU260" s="332"/>
    </row>
    <row r="261" spans="1:47" x14ac:dyDescent="0.2">
      <c r="C261" s="342"/>
      <c r="D261" s="342"/>
      <c r="E261" s="342"/>
      <c r="F261" s="342"/>
      <c r="G261" s="342"/>
      <c r="H261" s="342"/>
      <c r="I261" s="342"/>
      <c r="J261" s="342"/>
      <c r="K261" s="342"/>
      <c r="L261" s="342"/>
      <c r="M261" s="342"/>
      <c r="N261" s="342"/>
      <c r="O261" s="342"/>
      <c r="P261" s="342"/>
      <c r="Q261" s="342"/>
      <c r="R261" s="342"/>
      <c r="S261" s="342"/>
      <c r="T261" s="342"/>
      <c r="U261" s="342"/>
      <c r="V261" s="342"/>
      <c r="W261" s="342"/>
      <c r="X261" s="342"/>
      <c r="Y261" s="342"/>
      <c r="Z261" s="342"/>
      <c r="AA261" s="342"/>
      <c r="AB261" s="342"/>
      <c r="AC261" s="342"/>
      <c r="AD261" s="342"/>
      <c r="AE261" s="342"/>
      <c r="AF261" s="342"/>
      <c r="AG261" s="342"/>
      <c r="AH261" s="342"/>
      <c r="AI261" s="342"/>
      <c r="AJ261" s="342"/>
      <c r="AK261" s="342"/>
      <c r="AL261" s="342"/>
      <c r="AM261" s="342"/>
      <c r="AN261" s="342"/>
      <c r="AO261" s="342"/>
      <c r="AP261" s="342"/>
      <c r="AQ261" s="342"/>
      <c r="AR261" s="342"/>
      <c r="AS261" s="342"/>
      <c r="AT261" s="342"/>
      <c r="AU261" s="342"/>
    </row>
    <row r="262" spans="1:47" x14ac:dyDescent="0.2">
      <c r="A262" s="314" t="s">
        <v>240</v>
      </c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20"/>
    </row>
    <row r="263" spans="1:47" x14ac:dyDescent="0.2">
      <c r="A263" s="315" t="s">
        <v>769</v>
      </c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20"/>
    </row>
    <row r="264" spans="1:47" x14ac:dyDescent="0.2">
      <c r="A264" s="315" t="s">
        <v>379</v>
      </c>
      <c r="B264" s="120"/>
      <c r="C264" s="316">
        <v>0.54575000000000007</v>
      </c>
      <c r="D264" s="316">
        <v>0.54425000000000001</v>
      </c>
      <c r="E264" s="316">
        <v>0.55000000000000004</v>
      </c>
      <c r="F264" s="316">
        <v>0.55000000000000004</v>
      </c>
      <c r="G264" s="316">
        <v>0.55000000000000004</v>
      </c>
      <c r="H264" s="316">
        <v>0.55000000000000004</v>
      </c>
      <c r="I264" s="316">
        <v>0.55300000000000005</v>
      </c>
      <c r="J264" s="316">
        <v>0.55700000000000005</v>
      </c>
      <c r="K264" s="316">
        <v>0.55700000000000005</v>
      </c>
      <c r="L264" s="316">
        <v>0.55700000000000005</v>
      </c>
      <c r="M264" s="316">
        <v>0.55700000000000005</v>
      </c>
      <c r="N264" s="316">
        <v>0.55700000000000005</v>
      </c>
      <c r="O264" s="316">
        <v>0.55700000000000005</v>
      </c>
      <c r="P264" s="316">
        <v>0.55700000000000005</v>
      </c>
      <c r="Q264" s="316">
        <v>0.55700000000000005</v>
      </c>
      <c r="R264" s="316">
        <v>0.55700000000000005</v>
      </c>
      <c r="S264" s="316">
        <v>0.55700000000000005</v>
      </c>
      <c r="T264" s="316">
        <v>0.55700000000000005</v>
      </c>
      <c r="U264" s="316">
        <v>0.55700000000000005</v>
      </c>
      <c r="V264" s="316">
        <v>0.55700000000000005</v>
      </c>
      <c r="W264" s="316">
        <v>0.55700000000000005</v>
      </c>
      <c r="X264" s="316">
        <v>0.55700000000000005</v>
      </c>
      <c r="Y264" s="316">
        <v>0.55700000000000005</v>
      </c>
      <c r="Z264" s="316">
        <v>0.55700000000000005</v>
      </c>
      <c r="AA264" s="316">
        <v>0.55700000000000005</v>
      </c>
      <c r="AB264" s="316">
        <v>0.55700000000000005</v>
      </c>
      <c r="AC264" s="316">
        <v>0.55700000000000005</v>
      </c>
      <c r="AD264" s="316">
        <v>0.55700000000000005</v>
      </c>
      <c r="AE264" s="316">
        <v>0.55700000000000005</v>
      </c>
      <c r="AF264" s="316">
        <v>0.55700000000000005</v>
      </c>
      <c r="AG264" s="316">
        <v>0.55700000000000005</v>
      </c>
      <c r="AH264" s="316">
        <v>0.55700000000000005</v>
      </c>
      <c r="AI264" s="316">
        <v>0.55700000000000005</v>
      </c>
      <c r="AJ264" s="316">
        <v>0.55700000000000005</v>
      </c>
      <c r="AK264" s="316">
        <v>0.55700000000000005</v>
      </c>
      <c r="AL264" s="316">
        <v>0.55700000000000005</v>
      </c>
      <c r="AM264" s="316">
        <v>0.55700000000000005</v>
      </c>
      <c r="AN264" s="316">
        <v>0.55700000000000005</v>
      </c>
      <c r="AO264" s="316">
        <v>0.55700000000000005</v>
      </c>
      <c r="AP264" s="316">
        <v>0.55700000000000005</v>
      </c>
      <c r="AQ264" s="316">
        <v>0.55700000000000005</v>
      </c>
      <c r="AR264" s="316">
        <v>0.55700000000000005</v>
      </c>
      <c r="AS264" s="316">
        <v>0.55700000000000005</v>
      </c>
      <c r="AT264" s="316">
        <v>0.55700000000000005</v>
      </c>
      <c r="AU264" s="316">
        <v>0.55700000000000005</v>
      </c>
    </row>
    <row r="265" spans="1:47" x14ac:dyDescent="0.2">
      <c r="A265" s="315" t="s">
        <v>380</v>
      </c>
      <c r="B265" s="120"/>
      <c r="C265" s="316">
        <v>0.79799999999999982</v>
      </c>
      <c r="D265" s="316">
        <v>0.8105</v>
      </c>
      <c r="E265" s="316">
        <v>0.81074000000000002</v>
      </c>
      <c r="F265" s="316">
        <v>0.81098000000000003</v>
      </c>
      <c r="G265" s="316">
        <v>0.81121999999999994</v>
      </c>
      <c r="H265" s="316">
        <v>0.81145999999999996</v>
      </c>
      <c r="I265" s="316">
        <v>0.81169999999999998</v>
      </c>
      <c r="J265" s="316">
        <v>0.81247999999999998</v>
      </c>
      <c r="K265" s="316">
        <v>0.81325999999999998</v>
      </c>
      <c r="L265" s="316">
        <v>0.81403999999999999</v>
      </c>
      <c r="M265" s="316">
        <v>0.81481999999999999</v>
      </c>
      <c r="N265" s="316">
        <v>0.81559999999999999</v>
      </c>
      <c r="O265" s="316">
        <v>0.81584000000000001</v>
      </c>
      <c r="P265" s="316">
        <v>0.81608000000000003</v>
      </c>
      <c r="Q265" s="316">
        <v>0.81631999999999993</v>
      </c>
      <c r="R265" s="316">
        <v>0.81655999999999995</v>
      </c>
      <c r="S265" s="316">
        <v>0.81679999999999997</v>
      </c>
      <c r="T265" s="316">
        <v>0.81679999999999997</v>
      </c>
      <c r="U265" s="316">
        <v>0.81679999999999997</v>
      </c>
      <c r="V265" s="316">
        <v>0.81679999999999997</v>
      </c>
      <c r="W265" s="316">
        <v>0.81679999999999997</v>
      </c>
      <c r="X265" s="316">
        <v>0.81679999999999997</v>
      </c>
      <c r="Y265" s="316">
        <v>0.81679999999999997</v>
      </c>
      <c r="Z265" s="316">
        <v>0.81679999999999997</v>
      </c>
      <c r="AA265" s="316">
        <v>0.81679999999999997</v>
      </c>
      <c r="AB265" s="316">
        <v>0.81679999999999997</v>
      </c>
      <c r="AC265" s="316">
        <v>0.81679999999999997</v>
      </c>
      <c r="AD265" s="316">
        <v>0.81679999999999997</v>
      </c>
      <c r="AE265" s="316">
        <v>0.81679999999999997</v>
      </c>
      <c r="AF265" s="316">
        <v>0.81679999999999997</v>
      </c>
      <c r="AG265" s="316">
        <v>0.81679999999999997</v>
      </c>
      <c r="AH265" s="316">
        <v>0.81679999999999997</v>
      </c>
      <c r="AI265" s="316">
        <v>0.81679999999999997</v>
      </c>
      <c r="AJ265" s="316">
        <v>0.81679999999999997</v>
      </c>
      <c r="AK265" s="316">
        <v>0.81679999999999997</v>
      </c>
      <c r="AL265" s="316">
        <v>0.81679999999999997</v>
      </c>
      <c r="AM265" s="316">
        <v>0.81679999999999997</v>
      </c>
      <c r="AN265" s="316">
        <v>0.81679999999999997</v>
      </c>
      <c r="AO265" s="316">
        <v>0.81679999999999997</v>
      </c>
      <c r="AP265" s="316">
        <v>0.81679999999999997</v>
      </c>
      <c r="AQ265" s="316">
        <v>0.81679999999999997</v>
      </c>
      <c r="AR265" s="316">
        <v>0.81679999999999997</v>
      </c>
      <c r="AS265" s="316">
        <v>0.81679999999999997</v>
      </c>
      <c r="AT265" s="316">
        <v>0.81679999999999997</v>
      </c>
      <c r="AU265" s="316">
        <v>0.81679999999999997</v>
      </c>
    </row>
    <row r="266" spans="1:47" x14ac:dyDescent="0.2">
      <c r="A266" s="315" t="s">
        <v>381</v>
      </c>
      <c r="B266" s="120"/>
      <c r="C266" s="316">
        <v>0.90649999999999986</v>
      </c>
      <c r="D266" s="316">
        <v>0.91425000000000012</v>
      </c>
      <c r="E266" s="316">
        <v>0.91504000000000008</v>
      </c>
      <c r="F266" s="316">
        <v>0.91583000000000003</v>
      </c>
      <c r="G266" s="316">
        <v>0.9166200000000001</v>
      </c>
      <c r="H266" s="316">
        <v>0.91741000000000006</v>
      </c>
      <c r="I266" s="316">
        <v>0.91820000000000002</v>
      </c>
      <c r="J266" s="316">
        <v>0.918296</v>
      </c>
      <c r="K266" s="316">
        <v>0.91839199999999999</v>
      </c>
      <c r="L266" s="316">
        <v>0.91848799999999997</v>
      </c>
      <c r="M266" s="316">
        <v>0.91858399999999996</v>
      </c>
      <c r="N266" s="316">
        <v>0.91867999999999994</v>
      </c>
      <c r="O266" s="316">
        <v>0.91899199999999992</v>
      </c>
      <c r="P266" s="316">
        <v>0.9193039999999999</v>
      </c>
      <c r="Q266" s="316">
        <v>0.91961599999999999</v>
      </c>
      <c r="R266" s="316">
        <v>0.91992799999999997</v>
      </c>
      <c r="S266" s="316">
        <v>0.92023999999999995</v>
      </c>
      <c r="T266" s="316">
        <v>0.92033599999999993</v>
      </c>
      <c r="U266" s="316">
        <v>0.92043199999999992</v>
      </c>
      <c r="V266" s="316">
        <v>0.92052800000000001</v>
      </c>
      <c r="W266" s="316">
        <v>0.920624</v>
      </c>
      <c r="X266" s="316">
        <v>0.92071999999999998</v>
      </c>
      <c r="Y266" s="316">
        <v>0.92071999999999998</v>
      </c>
      <c r="Z266" s="316">
        <v>0.92071999999999998</v>
      </c>
      <c r="AA266" s="316">
        <v>0.92071999999999998</v>
      </c>
      <c r="AB266" s="316">
        <v>0.92071999999999998</v>
      </c>
      <c r="AC266" s="316">
        <v>0.92071999999999998</v>
      </c>
      <c r="AD266" s="316">
        <v>0.92071999999999998</v>
      </c>
      <c r="AE266" s="316">
        <v>0.92071999999999998</v>
      </c>
      <c r="AF266" s="316">
        <v>0.92071999999999998</v>
      </c>
      <c r="AG266" s="316">
        <v>0.92071999999999998</v>
      </c>
      <c r="AH266" s="316">
        <v>0.92071999999999998</v>
      </c>
      <c r="AI266" s="316">
        <v>0.92071999999999998</v>
      </c>
      <c r="AJ266" s="316">
        <v>0.92071999999999998</v>
      </c>
      <c r="AK266" s="316">
        <v>0.92071999999999998</v>
      </c>
      <c r="AL266" s="316">
        <v>0.92071999999999998</v>
      </c>
      <c r="AM266" s="316">
        <v>0.92071999999999998</v>
      </c>
      <c r="AN266" s="316">
        <v>0.92071999999999998</v>
      </c>
      <c r="AO266" s="316">
        <v>0.92071999999999998</v>
      </c>
      <c r="AP266" s="316">
        <v>0.92071999999999998</v>
      </c>
      <c r="AQ266" s="316">
        <v>0.92071999999999998</v>
      </c>
      <c r="AR266" s="316">
        <v>0.92071999999999998</v>
      </c>
      <c r="AS266" s="316">
        <v>0.92071999999999998</v>
      </c>
      <c r="AT266" s="316">
        <v>0.92071999999999998</v>
      </c>
      <c r="AU266" s="316">
        <v>0.92071999999999998</v>
      </c>
    </row>
    <row r="267" spans="1:47" x14ac:dyDescent="0.2">
      <c r="A267" s="315" t="s">
        <v>382</v>
      </c>
      <c r="B267" s="120"/>
      <c r="C267" s="316">
        <v>0.92725000000000013</v>
      </c>
      <c r="D267" s="316">
        <v>0.92249999999999999</v>
      </c>
      <c r="E267" s="316">
        <v>0.92691000000000001</v>
      </c>
      <c r="F267" s="316">
        <v>0.93132000000000004</v>
      </c>
      <c r="G267" s="316">
        <v>0.93573000000000006</v>
      </c>
      <c r="H267" s="316">
        <v>0.94014000000000009</v>
      </c>
      <c r="I267" s="316">
        <v>0.94455000000000011</v>
      </c>
      <c r="J267" s="316">
        <v>0.94502400000000009</v>
      </c>
      <c r="K267" s="316">
        <v>0.94549800000000006</v>
      </c>
      <c r="L267" s="316">
        <v>0.94597200000000004</v>
      </c>
      <c r="M267" s="316">
        <v>0.94644600000000001</v>
      </c>
      <c r="N267" s="316">
        <v>0.94691999999999998</v>
      </c>
      <c r="O267" s="316">
        <v>0.94697759999999997</v>
      </c>
      <c r="P267" s="316">
        <v>0.94703519999999997</v>
      </c>
      <c r="Q267" s="316">
        <v>0.94709279999999996</v>
      </c>
      <c r="R267" s="316">
        <v>0.94715039999999995</v>
      </c>
      <c r="S267" s="316">
        <v>0.94720799999999994</v>
      </c>
      <c r="T267" s="316">
        <v>0.94739519999999999</v>
      </c>
      <c r="U267" s="316">
        <v>0.94758239999999994</v>
      </c>
      <c r="V267" s="316">
        <v>0.94776959999999999</v>
      </c>
      <c r="W267" s="316">
        <v>0.94795679999999993</v>
      </c>
      <c r="X267" s="316">
        <v>0.94814399999999999</v>
      </c>
      <c r="Y267" s="316">
        <v>0.94820159999999998</v>
      </c>
      <c r="Z267" s="316">
        <v>0.94825919999999997</v>
      </c>
      <c r="AA267" s="316">
        <v>0.94831679999999996</v>
      </c>
      <c r="AB267" s="316">
        <v>0.94837439999999995</v>
      </c>
      <c r="AC267" s="316">
        <v>0.94843199999999994</v>
      </c>
      <c r="AD267" s="316">
        <v>0.94843199999999994</v>
      </c>
      <c r="AE267" s="316">
        <v>0.94843199999999994</v>
      </c>
      <c r="AF267" s="316">
        <v>0.94843199999999994</v>
      </c>
      <c r="AG267" s="316">
        <v>0.94843199999999994</v>
      </c>
      <c r="AH267" s="316">
        <v>0.94843199999999994</v>
      </c>
      <c r="AI267" s="316">
        <v>0.94843199999999994</v>
      </c>
      <c r="AJ267" s="316">
        <v>0.94843199999999994</v>
      </c>
      <c r="AK267" s="316">
        <v>0.94843199999999994</v>
      </c>
      <c r="AL267" s="316">
        <v>0.94843199999999994</v>
      </c>
      <c r="AM267" s="316">
        <v>0.94843199999999994</v>
      </c>
      <c r="AN267" s="316">
        <v>0.94843199999999994</v>
      </c>
      <c r="AO267" s="316">
        <v>0.94843199999999994</v>
      </c>
      <c r="AP267" s="316">
        <v>0.94843199999999994</v>
      </c>
      <c r="AQ267" s="316">
        <v>0.94843199999999994</v>
      </c>
      <c r="AR267" s="316">
        <v>0.94843199999999994</v>
      </c>
      <c r="AS267" s="316">
        <v>0.94843199999999994</v>
      </c>
      <c r="AT267" s="316">
        <v>0.94843199999999994</v>
      </c>
      <c r="AU267" s="316">
        <v>0.94843199999999994</v>
      </c>
    </row>
    <row r="268" spans="1:47" x14ac:dyDescent="0.2">
      <c r="A268" s="315" t="s">
        <v>383</v>
      </c>
      <c r="B268" s="120"/>
      <c r="C268" s="316">
        <v>0.9375</v>
      </c>
      <c r="D268" s="316">
        <v>0.93125000000000002</v>
      </c>
      <c r="E268" s="316">
        <v>0.93354999999999999</v>
      </c>
      <c r="F268" s="316">
        <v>0.93584999999999996</v>
      </c>
      <c r="G268" s="316">
        <v>0.93815000000000004</v>
      </c>
      <c r="H268" s="316">
        <v>0.94045000000000001</v>
      </c>
      <c r="I268" s="316">
        <v>0.94274999999999998</v>
      </c>
      <c r="J268" s="316">
        <v>0.94583700000000004</v>
      </c>
      <c r="K268" s="316">
        <v>0.94892399999999999</v>
      </c>
      <c r="L268" s="316">
        <v>0.95201100000000005</v>
      </c>
      <c r="M268" s="316">
        <v>0.955098</v>
      </c>
      <c r="N268" s="316">
        <v>0.95818500000000006</v>
      </c>
      <c r="O268" s="316">
        <v>0.95851680000000006</v>
      </c>
      <c r="P268" s="316">
        <v>0.95884860000000005</v>
      </c>
      <c r="Q268" s="316">
        <v>0.95918040000000004</v>
      </c>
      <c r="R268" s="316">
        <v>0.95951220000000004</v>
      </c>
      <c r="S268" s="316">
        <v>0.95984400000000003</v>
      </c>
      <c r="T268" s="316">
        <v>0.95988432000000001</v>
      </c>
      <c r="U268" s="316">
        <v>0.95992464</v>
      </c>
      <c r="V268" s="316">
        <v>0.95996495999999998</v>
      </c>
      <c r="W268" s="316">
        <v>0.96000527999999996</v>
      </c>
      <c r="X268" s="316">
        <v>0.96004559999999994</v>
      </c>
      <c r="Y268" s="316">
        <v>0.96017663999999991</v>
      </c>
      <c r="Z268" s="316">
        <v>0.96030768</v>
      </c>
      <c r="AA268" s="316">
        <v>0.96043871999999997</v>
      </c>
      <c r="AB268" s="316">
        <v>0.96056976000000005</v>
      </c>
      <c r="AC268" s="316">
        <v>0.96070080000000002</v>
      </c>
      <c r="AD268" s="316">
        <v>0.96074112</v>
      </c>
      <c r="AE268" s="316">
        <v>0.96078143999999999</v>
      </c>
      <c r="AF268" s="316">
        <v>0.96082175999999997</v>
      </c>
      <c r="AG268" s="316">
        <v>0.96086207999999995</v>
      </c>
      <c r="AH268" s="316">
        <v>0.96090239999999993</v>
      </c>
      <c r="AI268" s="316">
        <v>0.96090239999999993</v>
      </c>
      <c r="AJ268" s="316">
        <v>0.96090239999999993</v>
      </c>
      <c r="AK268" s="316">
        <v>0.96090239999999993</v>
      </c>
      <c r="AL268" s="316">
        <v>0.96090239999999993</v>
      </c>
      <c r="AM268" s="316">
        <v>0.96090239999999993</v>
      </c>
      <c r="AN268" s="316">
        <v>0.96090239999999993</v>
      </c>
      <c r="AO268" s="316">
        <v>0.96090239999999993</v>
      </c>
      <c r="AP268" s="316">
        <v>0.96090239999999993</v>
      </c>
      <c r="AQ268" s="316">
        <v>0.96090239999999993</v>
      </c>
      <c r="AR268" s="316">
        <v>0.96090239999999993</v>
      </c>
      <c r="AS268" s="316">
        <v>0.96090239999999993</v>
      </c>
      <c r="AT268" s="316">
        <v>0.96090239999999993</v>
      </c>
      <c r="AU268" s="316">
        <v>0.96090239999999993</v>
      </c>
    </row>
    <row r="269" spans="1:47" x14ac:dyDescent="0.2">
      <c r="A269" s="315" t="s">
        <v>384</v>
      </c>
      <c r="B269" s="120"/>
      <c r="C269" s="316">
        <v>0.93575000000000008</v>
      </c>
      <c r="D269" s="316">
        <v>0.92799999999999994</v>
      </c>
      <c r="E269" s="316">
        <v>0.93099999999999994</v>
      </c>
      <c r="F269" s="316">
        <v>0.93399999999999994</v>
      </c>
      <c r="G269" s="316">
        <v>0.93700000000000006</v>
      </c>
      <c r="H269" s="316">
        <v>0.94</v>
      </c>
      <c r="I269" s="316">
        <v>0.94300000000000006</v>
      </c>
      <c r="J269" s="316">
        <v>0.94484000000000001</v>
      </c>
      <c r="K269" s="316">
        <v>0.94667999999999997</v>
      </c>
      <c r="L269" s="316">
        <v>0.94852000000000003</v>
      </c>
      <c r="M269" s="316">
        <v>0.95035999999999998</v>
      </c>
      <c r="N269" s="316">
        <v>0.95219999999999994</v>
      </c>
      <c r="O269" s="316">
        <v>0.95466960000000001</v>
      </c>
      <c r="P269" s="316">
        <v>0.95713919999999997</v>
      </c>
      <c r="Q269" s="316">
        <v>0.95960880000000004</v>
      </c>
      <c r="R269" s="316">
        <v>0.9620784</v>
      </c>
      <c r="S269" s="316">
        <v>0.96454800000000007</v>
      </c>
      <c r="T269" s="316">
        <v>0.96481344000000002</v>
      </c>
      <c r="U269" s="316">
        <v>0.96507888000000008</v>
      </c>
      <c r="V269" s="316">
        <v>0.96534432000000003</v>
      </c>
      <c r="W269" s="316">
        <v>0.96560976000000009</v>
      </c>
      <c r="X269" s="316">
        <v>0.96587520000000004</v>
      </c>
      <c r="Y269" s="316">
        <v>0.96590745600000005</v>
      </c>
      <c r="Z269" s="316">
        <v>0.96593971200000006</v>
      </c>
      <c r="AA269" s="316">
        <v>0.96597196799999996</v>
      </c>
      <c r="AB269" s="316">
        <v>0.96600422399999997</v>
      </c>
      <c r="AC269" s="316">
        <v>0.96603647999999998</v>
      </c>
      <c r="AD269" s="316">
        <v>0.96614131199999997</v>
      </c>
      <c r="AE269" s="316">
        <v>0.96624614399999997</v>
      </c>
      <c r="AF269" s="316">
        <v>0.96635097599999997</v>
      </c>
      <c r="AG269" s="316">
        <v>0.96645580799999997</v>
      </c>
      <c r="AH269" s="316">
        <v>0.96656063999999997</v>
      </c>
      <c r="AI269" s="316">
        <v>0.96659289599999998</v>
      </c>
      <c r="AJ269" s="316">
        <v>0.96662515199999999</v>
      </c>
      <c r="AK269" s="316">
        <v>0.96665740799999988</v>
      </c>
      <c r="AL269" s="316">
        <v>0.96668966399999989</v>
      </c>
      <c r="AM269" s="316">
        <v>0.9667219199999999</v>
      </c>
      <c r="AN269" s="316">
        <v>0.9667219199999999</v>
      </c>
      <c r="AO269" s="316">
        <v>0.9667219199999999</v>
      </c>
      <c r="AP269" s="316">
        <v>0.9667219199999999</v>
      </c>
      <c r="AQ269" s="316">
        <v>0.9667219199999999</v>
      </c>
      <c r="AR269" s="316">
        <v>0.9667219199999999</v>
      </c>
      <c r="AS269" s="316">
        <v>0.9667219199999999</v>
      </c>
      <c r="AT269" s="316">
        <v>0.9667219199999999</v>
      </c>
      <c r="AU269" s="316">
        <v>0.9667219199999999</v>
      </c>
    </row>
    <row r="270" spans="1:47" x14ac:dyDescent="0.2">
      <c r="A270" s="315" t="s">
        <v>385</v>
      </c>
      <c r="B270" s="120"/>
      <c r="C270" s="316">
        <v>0.93049999999999999</v>
      </c>
      <c r="D270" s="316">
        <v>0.93075000000000008</v>
      </c>
      <c r="E270" s="316">
        <v>0.93268000000000006</v>
      </c>
      <c r="F270" s="316">
        <v>0.93461000000000005</v>
      </c>
      <c r="G270" s="316">
        <v>0.93653999999999993</v>
      </c>
      <c r="H270" s="316">
        <v>0.93846999999999992</v>
      </c>
      <c r="I270" s="316">
        <v>0.9403999999999999</v>
      </c>
      <c r="J270" s="316">
        <v>0.94279999999999997</v>
      </c>
      <c r="K270" s="316">
        <v>0.94519999999999993</v>
      </c>
      <c r="L270" s="316">
        <v>0.9476</v>
      </c>
      <c r="M270" s="316">
        <v>0.95</v>
      </c>
      <c r="N270" s="316">
        <v>0.95240000000000002</v>
      </c>
      <c r="O270" s="316">
        <v>0.95387200000000005</v>
      </c>
      <c r="P270" s="316">
        <v>0.95534399999999997</v>
      </c>
      <c r="Q270" s="316">
        <v>0.956816</v>
      </c>
      <c r="R270" s="316">
        <v>0.95828799999999992</v>
      </c>
      <c r="S270" s="316">
        <v>0.95975999999999995</v>
      </c>
      <c r="T270" s="316">
        <v>0.96173567999999998</v>
      </c>
      <c r="U270" s="316">
        <v>0.96371136000000002</v>
      </c>
      <c r="V270" s="316">
        <v>0.96568703999999994</v>
      </c>
      <c r="W270" s="316">
        <v>0.96766271999999998</v>
      </c>
      <c r="X270" s="316">
        <v>0.96963840000000001</v>
      </c>
      <c r="Y270" s="316">
        <v>0.96985075200000004</v>
      </c>
      <c r="Z270" s="316">
        <v>0.97006310400000006</v>
      </c>
      <c r="AA270" s="316">
        <v>0.97027545599999998</v>
      </c>
      <c r="AB270" s="316">
        <v>0.97048780800000001</v>
      </c>
      <c r="AC270" s="316">
        <v>0.97070016000000003</v>
      </c>
      <c r="AD270" s="316">
        <v>0.97072596480000006</v>
      </c>
      <c r="AE270" s="316">
        <v>0.97075176959999998</v>
      </c>
      <c r="AF270" s="316">
        <v>0.97077757440000001</v>
      </c>
      <c r="AG270" s="316">
        <v>0.97080337919999993</v>
      </c>
      <c r="AH270" s="316">
        <v>0.97082918399999996</v>
      </c>
      <c r="AI270" s="316">
        <v>0.97091304959999991</v>
      </c>
      <c r="AJ270" s="316">
        <v>0.97099691519999998</v>
      </c>
      <c r="AK270" s="316">
        <v>0.97108078079999993</v>
      </c>
      <c r="AL270" s="316">
        <v>0.9711646464</v>
      </c>
      <c r="AM270" s="316">
        <v>0.97124851199999995</v>
      </c>
      <c r="AN270" s="316">
        <v>0.97127431679999998</v>
      </c>
      <c r="AO270" s="316">
        <v>0.9713001215999999</v>
      </c>
      <c r="AP270" s="316">
        <v>0.97132592639999993</v>
      </c>
      <c r="AQ270" s="316">
        <v>0.97135173119999985</v>
      </c>
      <c r="AR270" s="316">
        <v>0.97137753599999987</v>
      </c>
      <c r="AS270" s="316">
        <v>0.97137753599999987</v>
      </c>
      <c r="AT270" s="316">
        <v>0.97137753599999987</v>
      </c>
      <c r="AU270" s="316">
        <v>0.97137753599999987</v>
      </c>
    </row>
    <row r="271" spans="1:47" x14ac:dyDescent="0.2">
      <c r="A271" s="315" t="s">
        <v>386</v>
      </c>
      <c r="B271" s="120"/>
      <c r="C271" s="316">
        <v>0.91774999999999995</v>
      </c>
      <c r="D271" s="316">
        <v>0.91174999999999984</v>
      </c>
      <c r="E271" s="316">
        <v>0.91182699999999983</v>
      </c>
      <c r="F271" s="316">
        <v>0.91190399999999994</v>
      </c>
      <c r="G271" s="316">
        <v>0.91198099999999993</v>
      </c>
      <c r="H271" s="316">
        <v>0.91205800000000004</v>
      </c>
      <c r="I271" s="316">
        <v>0.91213500000000003</v>
      </c>
      <c r="J271" s="316">
        <v>0.91402640000000002</v>
      </c>
      <c r="K271" s="316">
        <v>0.9159178</v>
      </c>
      <c r="L271" s="316">
        <v>0.91780919999999988</v>
      </c>
      <c r="M271" s="316">
        <v>0.91970059999999987</v>
      </c>
      <c r="N271" s="316">
        <v>0.92159199999999986</v>
      </c>
      <c r="O271" s="316">
        <v>0.92394399999999988</v>
      </c>
      <c r="P271" s="316">
        <v>0.9262959999999999</v>
      </c>
      <c r="Q271" s="316">
        <v>0.92864800000000003</v>
      </c>
      <c r="R271" s="316">
        <v>0.93100000000000005</v>
      </c>
      <c r="S271" s="316">
        <v>0.93335200000000007</v>
      </c>
      <c r="T271" s="316">
        <v>0.93479456000000005</v>
      </c>
      <c r="U271" s="316">
        <v>0.93623712000000003</v>
      </c>
      <c r="V271" s="316">
        <v>0.93767968000000002</v>
      </c>
      <c r="W271" s="316">
        <v>0.93912224</v>
      </c>
      <c r="X271" s="316">
        <v>0.94056479999999998</v>
      </c>
      <c r="Y271" s="316">
        <v>0.94250096640000003</v>
      </c>
      <c r="Z271" s="316">
        <v>0.94443713279999997</v>
      </c>
      <c r="AA271" s="316">
        <v>0.94637329920000002</v>
      </c>
      <c r="AB271" s="316">
        <v>0.94830946559999996</v>
      </c>
      <c r="AC271" s="316">
        <v>0.95024563200000001</v>
      </c>
      <c r="AD271" s="316">
        <v>0.95045373696000002</v>
      </c>
      <c r="AE271" s="316">
        <v>0.95066184192000003</v>
      </c>
      <c r="AF271" s="316">
        <v>0.95086994688000004</v>
      </c>
      <c r="AG271" s="316">
        <v>0.95107805184000005</v>
      </c>
      <c r="AH271" s="316">
        <v>0.95128615680000006</v>
      </c>
      <c r="AI271" s="316">
        <v>0.95131144550400004</v>
      </c>
      <c r="AJ271" s="316">
        <v>0.95133673420800002</v>
      </c>
      <c r="AK271" s="316">
        <v>0.951362022912</v>
      </c>
      <c r="AL271" s="316">
        <v>0.95138731161599999</v>
      </c>
      <c r="AM271" s="316">
        <v>0.95141260031999997</v>
      </c>
      <c r="AN271" s="316">
        <v>0.95149478860799996</v>
      </c>
      <c r="AO271" s="316">
        <v>0.95157697689599996</v>
      </c>
      <c r="AP271" s="316">
        <v>0.95165916518399996</v>
      </c>
      <c r="AQ271" s="316">
        <v>0.95174135347199995</v>
      </c>
      <c r="AR271" s="316">
        <v>0.95182354175999995</v>
      </c>
      <c r="AS271" s="316">
        <v>0.95184883046399993</v>
      </c>
      <c r="AT271" s="316">
        <v>0.95187411916799991</v>
      </c>
      <c r="AU271" s="316">
        <v>0.95189940787199989</v>
      </c>
    </row>
    <row r="272" spans="1:47" x14ac:dyDescent="0.2">
      <c r="A272" s="315" t="s">
        <v>387</v>
      </c>
      <c r="B272" s="120"/>
      <c r="C272" s="316">
        <v>0.86649999999999994</v>
      </c>
      <c r="D272" s="316">
        <v>0.87250000000000005</v>
      </c>
      <c r="E272" s="316">
        <v>0.87487950000000003</v>
      </c>
      <c r="F272" s="316">
        <v>0.87725900000000001</v>
      </c>
      <c r="G272" s="316">
        <v>0.87963849999999988</v>
      </c>
      <c r="H272" s="316">
        <v>0.88201799999999986</v>
      </c>
      <c r="I272" s="316">
        <v>0.88439749999999984</v>
      </c>
      <c r="J272" s="316">
        <v>0.88447218999999988</v>
      </c>
      <c r="K272" s="316">
        <v>0.88454687999999992</v>
      </c>
      <c r="L272" s="316">
        <v>0.88462156999999997</v>
      </c>
      <c r="M272" s="316">
        <v>0.88469626000000001</v>
      </c>
      <c r="N272" s="316">
        <v>0.88477095000000006</v>
      </c>
      <c r="O272" s="316">
        <v>0.88660560799999999</v>
      </c>
      <c r="P272" s="316">
        <v>0.88844026599999992</v>
      </c>
      <c r="Q272" s="316">
        <v>0.89027492399999997</v>
      </c>
      <c r="R272" s="316">
        <v>0.8921095819999999</v>
      </c>
      <c r="S272" s="316">
        <v>0.89394423999999983</v>
      </c>
      <c r="T272" s="316">
        <v>0.89622567999999991</v>
      </c>
      <c r="U272" s="316">
        <v>0.89850711999999999</v>
      </c>
      <c r="V272" s="316">
        <v>0.90078855999999996</v>
      </c>
      <c r="W272" s="316">
        <v>0.90307000000000004</v>
      </c>
      <c r="X272" s="316">
        <v>0.90535144000000012</v>
      </c>
      <c r="Y272" s="316">
        <v>0.90675072320000005</v>
      </c>
      <c r="Z272" s="316">
        <v>0.9081500064000001</v>
      </c>
      <c r="AA272" s="316">
        <v>0.90954928960000003</v>
      </c>
      <c r="AB272" s="316">
        <v>0.91094857280000008</v>
      </c>
      <c r="AC272" s="316">
        <v>0.91234785600000001</v>
      </c>
      <c r="AD272" s="316">
        <v>0.91422593740800007</v>
      </c>
      <c r="AE272" s="316">
        <v>0.91610401881600001</v>
      </c>
      <c r="AF272" s="316">
        <v>0.91798210022400006</v>
      </c>
      <c r="AG272" s="316">
        <v>0.91986018163200001</v>
      </c>
      <c r="AH272" s="316">
        <v>0.92173826304000006</v>
      </c>
      <c r="AI272" s="316">
        <v>0.92194012485120003</v>
      </c>
      <c r="AJ272" s="316">
        <v>0.9221419866624001</v>
      </c>
      <c r="AK272" s="316">
        <v>0.92234384847360007</v>
      </c>
      <c r="AL272" s="316">
        <v>0.92254571028480015</v>
      </c>
      <c r="AM272" s="316">
        <v>0.92274757209600011</v>
      </c>
      <c r="AN272" s="316">
        <v>0.92277210213888006</v>
      </c>
      <c r="AO272" s="316">
        <v>0.92279663218176</v>
      </c>
      <c r="AP272" s="316">
        <v>0.92282116222464006</v>
      </c>
      <c r="AQ272" s="316">
        <v>0.92284569226752</v>
      </c>
      <c r="AR272" s="316">
        <v>0.92287022231039995</v>
      </c>
      <c r="AS272" s="316">
        <v>0.9229499449497599</v>
      </c>
      <c r="AT272" s="316">
        <v>0.92302966758911997</v>
      </c>
      <c r="AU272" s="316">
        <v>0.92310939022847993</v>
      </c>
    </row>
    <row r="273" spans="1:47" x14ac:dyDescent="0.2">
      <c r="A273" s="315" t="s">
        <v>388</v>
      </c>
      <c r="B273" s="120"/>
      <c r="C273" s="316">
        <v>0.72925000000000006</v>
      </c>
      <c r="D273" s="316">
        <v>0.75199999999999989</v>
      </c>
      <c r="E273" s="316">
        <v>0.76737499999999992</v>
      </c>
      <c r="F273" s="316">
        <v>0.78274999999999995</v>
      </c>
      <c r="G273" s="316">
        <v>0.79812499999999997</v>
      </c>
      <c r="H273" s="316">
        <v>0.8135</v>
      </c>
      <c r="I273" s="316">
        <v>0.82887500000000003</v>
      </c>
      <c r="J273" s="316">
        <v>0.83113552499999999</v>
      </c>
      <c r="K273" s="316">
        <v>0.83339604999999994</v>
      </c>
      <c r="L273" s="316">
        <v>0.8356565749999999</v>
      </c>
      <c r="M273" s="316">
        <v>0.83791709999999986</v>
      </c>
      <c r="N273" s="316">
        <v>0.84017762499999982</v>
      </c>
      <c r="O273" s="316">
        <v>0.84024858049999984</v>
      </c>
      <c r="P273" s="316">
        <v>0.84031953599999987</v>
      </c>
      <c r="Q273" s="316">
        <v>0.8403904915</v>
      </c>
      <c r="R273" s="316">
        <v>0.84046144700000003</v>
      </c>
      <c r="S273" s="316">
        <v>0.84053240250000005</v>
      </c>
      <c r="T273" s="316">
        <v>0.84227532760000001</v>
      </c>
      <c r="U273" s="316">
        <v>0.84401825269999997</v>
      </c>
      <c r="V273" s="316">
        <v>0.84576117779999993</v>
      </c>
      <c r="W273" s="316">
        <v>0.84750410289999989</v>
      </c>
      <c r="X273" s="316">
        <v>0.84924702799999985</v>
      </c>
      <c r="Y273" s="316">
        <v>0.85141439599999991</v>
      </c>
      <c r="Z273" s="316">
        <v>0.85358176399999997</v>
      </c>
      <c r="AA273" s="316">
        <v>0.85574913200000002</v>
      </c>
      <c r="AB273" s="316">
        <v>0.85791650000000008</v>
      </c>
      <c r="AC273" s="316">
        <v>0.86008386800000014</v>
      </c>
      <c r="AD273" s="316">
        <v>0.86141318704000014</v>
      </c>
      <c r="AE273" s="316">
        <v>0.86274250608000014</v>
      </c>
      <c r="AF273" s="316">
        <v>0.86407182512000003</v>
      </c>
      <c r="AG273" s="316">
        <v>0.86540114416000002</v>
      </c>
      <c r="AH273" s="316">
        <v>0.86673046320000002</v>
      </c>
      <c r="AI273" s="316">
        <v>0.86851464053760008</v>
      </c>
      <c r="AJ273" s="316">
        <v>0.87029881787520003</v>
      </c>
      <c r="AK273" s="316">
        <v>0.87208299521280008</v>
      </c>
      <c r="AL273" s="316">
        <v>0.87386717255040003</v>
      </c>
      <c r="AM273" s="316">
        <v>0.87565134988800009</v>
      </c>
      <c r="AN273" s="316">
        <v>0.87584311860864006</v>
      </c>
      <c r="AO273" s="316">
        <v>0.87603488732928003</v>
      </c>
      <c r="AP273" s="316">
        <v>0.87622665604992012</v>
      </c>
      <c r="AQ273" s="316">
        <v>0.87641842477056009</v>
      </c>
      <c r="AR273" s="316">
        <v>0.87661019349120006</v>
      </c>
      <c r="AS273" s="316">
        <v>0.87663349703193605</v>
      </c>
      <c r="AT273" s="316">
        <v>0.87665680057267203</v>
      </c>
      <c r="AU273" s="316">
        <v>0.87668010411340802</v>
      </c>
    </row>
    <row r="274" spans="1:47" x14ac:dyDescent="0.2">
      <c r="A274" s="315" t="s">
        <v>228</v>
      </c>
      <c r="B274" s="120"/>
      <c r="C274" s="316">
        <v>0.16375000000000001</v>
      </c>
      <c r="D274" s="316">
        <v>0.191</v>
      </c>
      <c r="E274" s="316">
        <v>0.19641599999999998</v>
      </c>
      <c r="F274" s="316">
        <v>0.20183199999999998</v>
      </c>
      <c r="G274" s="316">
        <v>0.20724799999999996</v>
      </c>
      <c r="H274" s="316">
        <v>0.21266399999999996</v>
      </c>
      <c r="I274" s="316">
        <v>0.21807999999999994</v>
      </c>
      <c r="J274" s="316">
        <v>0.22253874999999995</v>
      </c>
      <c r="K274" s="316">
        <v>0.22699749999999999</v>
      </c>
      <c r="L274" s="316">
        <v>0.23145625</v>
      </c>
      <c r="M274" s="316">
        <v>0.23591500000000004</v>
      </c>
      <c r="N274" s="316">
        <v>0.24037375000000005</v>
      </c>
      <c r="O274" s="316">
        <v>0.24102930225000002</v>
      </c>
      <c r="P274" s="316">
        <v>0.24168485450000002</v>
      </c>
      <c r="Q274" s="316">
        <v>0.24234040674999999</v>
      </c>
      <c r="R274" s="316">
        <v>0.24299595899999998</v>
      </c>
      <c r="S274" s="316">
        <v>0.24365151124999995</v>
      </c>
      <c r="T274" s="316">
        <v>0.24367208834499998</v>
      </c>
      <c r="U274" s="316">
        <v>0.24369266544000001</v>
      </c>
      <c r="V274" s="316">
        <v>0.24371324253500004</v>
      </c>
      <c r="W274" s="316">
        <v>0.24373381963000007</v>
      </c>
      <c r="X274" s="316">
        <v>0.2437543967250001</v>
      </c>
      <c r="Y274" s="316">
        <v>0.24425984500400008</v>
      </c>
      <c r="Z274" s="316">
        <v>0.24476529328300006</v>
      </c>
      <c r="AA274" s="316">
        <v>0.24527074156200007</v>
      </c>
      <c r="AB274" s="316">
        <v>0.24577618984100005</v>
      </c>
      <c r="AC274" s="316">
        <v>0.24628163812000003</v>
      </c>
      <c r="AD274" s="316">
        <v>0.24691017484000005</v>
      </c>
      <c r="AE274" s="316">
        <v>0.24753871156000004</v>
      </c>
      <c r="AF274" s="316">
        <v>0.24816724828000006</v>
      </c>
      <c r="AG274" s="316">
        <v>0.24879578500000005</v>
      </c>
      <c r="AH274" s="316">
        <v>0.24942432172000006</v>
      </c>
      <c r="AI274" s="316">
        <v>0.24980982424160006</v>
      </c>
      <c r="AJ274" s="316">
        <v>0.25019532676320005</v>
      </c>
      <c r="AK274" s="316">
        <v>0.25058082928480002</v>
      </c>
      <c r="AL274" s="316">
        <v>0.25096633180640004</v>
      </c>
      <c r="AM274" s="316">
        <v>0.25135183432800001</v>
      </c>
      <c r="AN274" s="316">
        <v>0.25186924575590403</v>
      </c>
      <c r="AO274" s="316">
        <v>0.25238665718380804</v>
      </c>
      <c r="AP274" s="316">
        <v>0.252904068611712</v>
      </c>
      <c r="AQ274" s="316">
        <v>0.25342148003961601</v>
      </c>
      <c r="AR274" s="316">
        <v>0.25393889146752002</v>
      </c>
      <c r="AS274" s="316">
        <v>0.25399450439650562</v>
      </c>
      <c r="AT274" s="316">
        <v>0.25405011732549126</v>
      </c>
      <c r="AU274" s="316">
        <v>0.25410573025447686</v>
      </c>
    </row>
    <row r="275" spans="1:47" x14ac:dyDescent="0.2">
      <c r="A275" s="315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20"/>
    </row>
    <row r="276" spans="1:47" x14ac:dyDescent="0.2">
      <c r="A276" s="315" t="s">
        <v>378</v>
      </c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20"/>
    </row>
    <row r="277" spans="1:47" x14ac:dyDescent="0.2">
      <c r="A277" s="315" t="s">
        <v>379</v>
      </c>
      <c r="B277" s="120"/>
      <c r="C277" s="316">
        <v>0.55225000000000002</v>
      </c>
      <c r="D277" s="316">
        <v>0.56300000000000006</v>
      </c>
      <c r="E277" s="316">
        <v>0.56000000000000005</v>
      </c>
      <c r="F277" s="316">
        <v>0.55800000000000005</v>
      </c>
      <c r="G277" s="316">
        <v>0.55600000000000005</v>
      </c>
      <c r="H277" s="316">
        <v>0.55400000000000005</v>
      </c>
      <c r="I277" s="316">
        <v>0.55300000000000005</v>
      </c>
      <c r="J277" s="316">
        <v>0.55300000000000005</v>
      </c>
      <c r="K277" s="316">
        <v>0.55300000000000005</v>
      </c>
      <c r="L277" s="316">
        <v>0.55300000000000005</v>
      </c>
      <c r="M277" s="316">
        <v>0.55300000000000005</v>
      </c>
      <c r="N277" s="316">
        <v>0.55300000000000005</v>
      </c>
      <c r="O277" s="316">
        <v>0.55300000000000005</v>
      </c>
      <c r="P277" s="316">
        <v>0.55300000000000005</v>
      </c>
      <c r="Q277" s="316">
        <v>0.55300000000000005</v>
      </c>
      <c r="R277" s="316">
        <v>0.55300000000000005</v>
      </c>
      <c r="S277" s="316">
        <v>0.55300000000000005</v>
      </c>
      <c r="T277" s="316">
        <v>0.55300000000000005</v>
      </c>
      <c r="U277" s="316">
        <v>0.55300000000000005</v>
      </c>
      <c r="V277" s="316">
        <v>0.55300000000000005</v>
      </c>
      <c r="W277" s="316">
        <v>0.55300000000000005</v>
      </c>
      <c r="X277" s="316">
        <v>0.55300000000000005</v>
      </c>
      <c r="Y277" s="316">
        <v>0.55300000000000005</v>
      </c>
      <c r="Z277" s="316">
        <v>0.55300000000000005</v>
      </c>
      <c r="AA277" s="316">
        <v>0.55300000000000005</v>
      </c>
      <c r="AB277" s="316">
        <v>0.55300000000000005</v>
      </c>
      <c r="AC277" s="316">
        <v>0.55300000000000005</v>
      </c>
      <c r="AD277" s="316">
        <v>0.55300000000000005</v>
      </c>
      <c r="AE277" s="316">
        <v>0.55300000000000005</v>
      </c>
      <c r="AF277" s="316">
        <v>0.55300000000000005</v>
      </c>
      <c r="AG277" s="316">
        <v>0.55300000000000005</v>
      </c>
      <c r="AH277" s="316">
        <v>0.55300000000000005</v>
      </c>
      <c r="AI277" s="316">
        <v>0.55300000000000005</v>
      </c>
      <c r="AJ277" s="316">
        <v>0.55300000000000005</v>
      </c>
      <c r="AK277" s="316">
        <v>0.55300000000000005</v>
      </c>
      <c r="AL277" s="316">
        <v>0.55300000000000005</v>
      </c>
      <c r="AM277" s="316">
        <v>0.55300000000000005</v>
      </c>
      <c r="AN277" s="316">
        <v>0.55300000000000005</v>
      </c>
      <c r="AO277" s="316">
        <v>0.55300000000000005</v>
      </c>
      <c r="AP277" s="316">
        <v>0.55300000000000005</v>
      </c>
      <c r="AQ277" s="316">
        <v>0.55300000000000005</v>
      </c>
      <c r="AR277" s="316">
        <v>0.55300000000000005</v>
      </c>
      <c r="AS277" s="316">
        <v>0.55300000000000005</v>
      </c>
      <c r="AT277" s="316">
        <v>0.55300000000000005</v>
      </c>
      <c r="AU277" s="316">
        <v>0.55300000000000005</v>
      </c>
    </row>
    <row r="278" spans="1:47" x14ac:dyDescent="0.2">
      <c r="A278" s="315" t="s">
        <v>380</v>
      </c>
      <c r="B278" s="120"/>
      <c r="C278" s="316">
        <v>0.6875</v>
      </c>
      <c r="D278" s="316">
        <v>0.69125000000000003</v>
      </c>
      <c r="E278" s="316">
        <v>0.69269000000000003</v>
      </c>
      <c r="F278" s="316">
        <v>0.69413000000000002</v>
      </c>
      <c r="G278" s="316">
        <v>0.69557000000000002</v>
      </c>
      <c r="H278" s="316">
        <v>0.69701000000000002</v>
      </c>
      <c r="I278" s="316">
        <v>0.69845000000000002</v>
      </c>
      <c r="J278" s="316">
        <v>0.69650000000000001</v>
      </c>
      <c r="K278" s="316">
        <v>0.69455</v>
      </c>
      <c r="L278" s="316">
        <v>0.69259999999999999</v>
      </c>
      <c r="M278" s="316">
        <v>0.69064999999999999</v>
      </c>
      <c r="N278" s="316">
        <v>0.68869999999999998</v>
      </c>
      <c r="O278" s="316">
        <v>0.68935000000000002</v>
      </c>
      <c r="P278" s="316">
        <v>0.69</v>
      </c>
      <c r="Q278" s="316">
        <v>0.69064999999999999</v>
      </c>
      <c r="R278" s="316">
        <v>0.69130000000000003</v>
      </c>
      <c r="S278" s="316">
        <v>0.69195000000000007</v>
      </c>
      <c r="T278" s="316">
        <v>0.69195000000000007</v>
      </c>
      <c r="U278" s="316">
        <v>0.69195000000000007</v>
      </c>
      <c r="V278" s="316">
        <v>0.69195000000000007</v>
      </c>
      <c r="W278" s="316">
        <v>0.69195000000000007</v>
      </c>
      <c r="X278" s="316">
        <v>0.69195000000000007</v>
      </c>
      <c r="Y278" s="316">
        <v>0.69195000000000007</v>
      </c>
      <c r="Z278" s="316">
        <v>0.69195000000000007</v>
      </c>
      <c r="AA278" s="316">
        <v>0.69195000000000007</v>
      </c>
      <c r="AB278" s="316">
        <v>0.69195000000000007</v>
      </c>
      <c r="AC278" s="316">
        <v>0.69195000000000007</v>
      </c>
      <c r="AD278" s="316">
        <v>0.69195000000000007</v>
      </c>
      <c r="AE278" s="316">
        <v>0.69195000000000007</v>
      </c>
      <c r="AF278" s="316">
        <v>0.69195000000000007</v>
      </c>
      <c r="AG278" s="316">
        <v>0.69195000000000007</v>
      </c>
      <c r="AH278" s="316">
        <v>0.69195000000000007</v>
      </c>
      <c r="AI278" s="316">
        <v>0.69195000000000007</v>
      </c>
      <c r="AJ278" s="316">
        <v>0.69195000000000007</v>
      </c>
      <c r="AK278" s="316">
        <v>0.69195000000000007</v>
      </c>
      <c r="AL278" s="316">
        <v>0.69195000000000007</v>
      </c>
      <c r="AM278" s="316">
        <v>0.69195000000000007</v>
      </c>
      <c r="AN278" s="316">
        <v>0.69195000000000007</v>
      </c>
      <c r="AO278" s="316">
        <v>0.69195000000000007</v>
      </c>
      <c r="AP278" s="316">
        <v>0.69195000000000007</v>
      </c>
      <c r="AQ278" s="316">
        <v>0.69195000000000007</v>
      </c>
      <c r="AR278" s="316">
        <v>0.69195000000000007</v>
      </c>
      <c r="AS278" s="316">
        <v>0.69195000000000007</v>
      </c>
      <c r="AT278" s="316">
        <v>0.69195000000000007</v>
      </c>
      <c r="AU278" s="316">
        <v>0.69195000000000007</v>
      </c>
    </row>
    <row r="279" spans="1:47" x14ac:dyDescent="0.2">
      <c r="A279" s="315" t="s">
        <v>381</v>
      </c>
      <c r="B279" s="120"/>
      <c r="C279" s="316">
        <v>0.71875</v>
      </c>
      <c r="D279" s="316">
        <v>0.7340000000000001</v>
      </c>
      <c r="E279" s="316">
        <v>0.73580000000000012</v>
      </c>
      <c r="F279" s="316">
        <v>0.73760000000000003</v>
      </c>
      <c r="G279" s="316">
        <v>0.73940000000000006</v>
      </c>
      <c r="H279" s="316">
        <v>0.74119999999999997</v>
      </c>
      <c r="I279" s="316">
        <v>0.74299999999999999</v>
      </c>
      <c r="J279" s="316">
        <v>0.74415200000000004</v>
      </c>
      <c r="K279" s="316">
        <v>0.74530399999999997</v>
      </c>
      <c r="L279" s="316">
        <v>0.74645600000000001</v>
      </c>
      <c r="M279" s="316">
        <v>0.74760799999999994</v>
      </c>
      <c r="N279" s="316">
        <v>0.74875999999999998</v>
      </c>
      <c r="O279" s="316">
        <v>0.74719999999999998</v>
      </c>
      <c r="P279" s="316">
        <v>0.74563999999999997</v>
      </c>
      <c r="Q279" s="316">
        <v>0.74407999999999996</v>
      </c>
      <c r="R279" s="316">
        <v>0.74251999999999996</v>
      </c>
      <c r="S279" s="316">
        <v>0.74095999999999995</v>
      </c>
      <c r="T279" s="316">
        <v>0.74147999999999992</v>
      </c>
      <c r="U279" s="316">
        <v>0.74199999999999999</v>
      </c>
      <c r="V279" s="316">
        <v>0.74251999999999996</v>
      </c>
      <c r="W279" s="316">
        <v>0.74304000000000003</v>
      </c>
      <c r="X279" s="316">
        <v>0.74356</v>
      </c>
      <c r="Y279" s="316">
        <v>0.74356</v>
      </c>
      <c r="Z279" s="316">
        <v>0.74356</v>
      </c>
      <c r="AA279" s="316">
        <v>0.74356</v>
      </c>
      <c r="AB279" s="316">
        <v>0.74356</v>
      </c>
      <c r="AC279" s="316">
        <v>0.74356</v>
      </c>
      <c r="AD279" s="316">
        <v>0.74356</v>
      </c>
      <c r="AE279" s="316">
        <v>0.74356</v>
      </c>
      <c r="AF279" s="316">
        <v>0.74356</v>
      </c>
      <c r="AG279" s="316">
        <v>0.74356</v>
      </c>
      <c r="AH279" s="316">
        <v>0.74356</v>
      </c>
      <c r="AI279" s="316">
        <v>0.74356</v>
      </c>
      <c r="AJ279" s="316">
        <v>0.74356</v>
      </c>
      <c r="AK279" s="316">
        <v>0.74356</v>
      </c>
      <c r="AL279" s="316">
        <v>0.74356</v>
      </c>
      <c r="AM279" s="316">
        <v>0.74356</v>
      </c>
      <c r="AN279" s="316">
        <v>0.74356</v>
      </c>
      <c r="AO279" s="316">
        <v>0.74356</v>
      </c>
      <c r="AP279" s="316">
        <v>0.74356</v>
      </c>
      <c r="AQ279" s="316">
        <v>0.74356</v>
      </c>
      <c r="AR279" s="316">
        <v>0.74356</v>
      </c>
      <c r="AS279" s="316">
        <v>0.74356</v>
      </c>
      <c r="AT279" s="316">
        <v>0.74356</v>
      </c>
      <c r="AU279" s="316">
        <v>0.74356</v>
      </c>
    </row>
    <row r="280" spans="1:47" x14ac:dyDescent="0.2">
      <c r="A280" s="315" t="s">
        <v>382</v>
      </c>
      <c r="B280" s="120"/>
      <c r="C280" s="316">
        <v>0.71475</v>
      </c>
      <c r="D280" s="316">
        <v>0.73299999999999998</v>
      </c>
      <c r="E280" s="316">
        <v>0.74184000000000005</v>
      </c>
      <c r="F280" s="316">
        <v>0.75068000000000001</v>
      </c>
      <c r="G280" s="316">
        <v>0.75952000000000008</v>
      </c>
      <c r="H280" s="316">
        <v>0.76836000000000004</v>
      </c>
      <c r="I280" s="316">
        <v>0.77720000000000011</v>
      </c>
      <c r="J280" s="316">
        <v>0.77864000000000011</v>
      </c>
      <c r="K280" s="316">
        <v>0.78008000000000011</v>
      </c>
      <c r="L280" s="316">
        <v>0.78151999999999999</v>
      </c>
      <c r="M280" s="316">
        <v>0.78295999999999999</v>
      </c>
      <c r="N280" s="316">
        <v>0.78439999999999999</v>
      </c>
      <c r="O280" s="316">
        <v>0.78532159999999995</v>
      </c>
      <c r="P280" s="316">
        <v>0.78624319999999992</v>
      </c>
      <c r="Q280" s="316">
        <v>0.7871648</v>
      </c>
      <c r="R280" s="316">
        <v>0.78808639999999996</v>
      </c>
      <c r="S280" s="316">
        <v>0.78900799999999993</v>
      </c>
      <c r="T280" s="316">
        <v>0.7877599999999999</v>
      </c>
      <c r="U280" s="316">
        <v>0.78651199999999988</v>
      </c>
      <c r="V280" s="316">
        <v>0.78526399999999996</v>
      </c>
      <c r="W280" s="316">
        <v>0.78401599999999994</v>
      </c>
      <c r="X280" s="316">
        <v>0.78276799999999991</v>
      </c>
      <c r="Y280" s="316">
        <v>0.78318399999999988</v>
      </c>
      <c r="Z280" s="316">
        <v>0.78359999999999996</v>
      </c>
      <c r="AA280" s="316">
        <v>0.78401599999999994</v>
      </c>
      <c r="AB280" s="316">
        <v>0.78443200000000002</v>
      </c>
      <c r="AC280" s="316">
        <v>0.78484799999999999</v>
      </c>
      <c r="AD280" s="316">
        <v>0.78484799999999999</v>
      </c>
      <c r="AE280" s="316">
        <v>0.78484799999999999</v>
      </c>
      <c r="AF280" s="316">
        <v>0.78484799999999999</v>
      </c>
      <c r="AG280" s="316">
        <v>0.78484799999999999</v>
      </c>
      <c r="AH280" s="316">
        <v>0.78484799999999999</v>
      </c>
      <c r="AI280" s="316">
        <v>0.78484799999999999</v>
      </c>
      <c r="AJ280" s="316">
        <v>0.78484799999999999</v>
      </c>
      <c r="AK280" s="316">
        <v>0.78484799999999999</v>
      </c>
      <c r="AL280" s="316">
        <v>0.78484799999999999</v>
      </c>
      <c r="AM280" s="316">
        <v>0.78484799999999999</v>
      </c>
      <c r="AN280" s="316">
        <v>0.78484799999999999</v>
      </c>
      <c r="AO280" s="316">
        <v>0.78484799999999999</v>
      </c>
      <c r="AP280" s="316">
        <v>0.78484799999999999</v>
      </c>
      <c r="AQ280" s="316">
        <v>0.78484799999999999</v>
      </c>
      <c r="AR280" s="316">
        <v>0.78484799999999999</v>
      </c>
      <c r="AS280" s="316">
        <v>0.78484799999999999</v>
      </c>
      <c r="AT280" s="316">
        <v>0.78484799999999999</v>
      </c>
      <c r="AU280" s="316">
        <v>0.78484799999999999</v>
      </c>
    </row>
    <row r="281" spans="1:47" x14ac:dyDescent="0.2">
      <c r="A281" s="315" t="s">
        <v>383</v>
      </c>
      <c r="B281" s="120"/>
      <c r="C281" s="316">
        <v>0.72849999999999993</v>
      </c>
      <c r="D281" s="316">
        <v>0.72750000000000004</v>
      </c>
      <c r="E281" s="316">
        <v>0.73728000000000005</v>
      </c>
      <c r="F281" s="316">
        <v>0.74706000000000006</v>
      </c>
      <c r="G281" s="316">
        <v>0.75683999999999996</v>
      </c>
      <c r="H281" s="316">
        <v>0.76661999999999997</v>
      </c>
      <c r="I281" s="316">
        <v>0.77639999999999998</v>
      </c>
      <c r="J281" s="316">
        <v>0.78347199999999995</v>
      </c>
      <c r="K281" s="316">
        <v>0.79054400000000002</v>
      </c>
      <c r="L281" s="316">
        <v>0.79761599999999999</v>
      </c>
      <c r="M281" s="316">
        <v>0.80468800000000007</v>
      </c>
      <c r="N281" s="316">
        <v>0.81176000000000004</v>
      </c>
      <c r="O281" s="316">
        <v>0.81291200000000008</v>
      </c>
      <c r="P281" s="316">
        <v>0.81406400000000001</v>
      </c>
      <c r="Q281" s="316">
        <v>0.81521600000000005</v>
      </c>
      <c r="R281" s="316">
        <v>0.81636799999999998</v>
      </c>
      <c r="S281" s="316">
        <v>0.81752000000000002</v>
      </c>
      <c r="T281" s="316">
        <v>0.81825727999999998</v>
      </c>
      <c r="U281" s="316">
        <v>0.81899455999999993</v>
      </c>
      <c r="V281" s="316">
        <v>0.81973183999999999</v>
      </c>
      <c r="W281" s="316">
        <v>0.82046911999999994</v>
      </c>
      <c r="X281" s="316">
        <v>0.82120639999999989</v>
      </c>
      <c r="Y281" s="316">
        <v>0.82020799999999994</v>
      </c>
      <c r="Z281" s="316">
        <v>0.81920959999999987</v>
      </c>
      <c r="AA281" s="316">
        <v>0.81821119999999992</v>
      </c>
      <c r="AB281" s="316">
        <v>0.81721279999999985</v>
      </c>
      <c r="AC281" s="316">
        <v>0.8162143999999999</v>
      </c>
      <c r="AD281" s="316">
        <v>0.81654719999999992</v>
      </c>
      <c r="AE281" s="316">
        <v>0.81687999999999994</v>
      </c>
      <c r="AF281" s="316">
        <v>0.81721279999999996</v>
      </c>
      <c r="AG281" s="316">
        <v>0.81754559999999998</v>
      </c>
      <c r="AH281" s="316">
        <v>0.81787840000000001</v>
      </c>
      <c r="AI281" s="316">
        <v>0.81787840000000001</v>
      </c>
      <c r="AJ281" s="316">
        <v>0.81787840000000001</v>
      </c>
      <c r="AK281" s="316">
        <v>0.81787840000000001</v>
      </c>
      <c r="AL281" s="316">
        <v>0.81787840000000001</v>
      </c>
      <c r="AM281" s="316">
        <v>0.81787840000000001</v>
      </c>
      <c r="AN281" s="316">
        <v>0.81787840000000001</v>
      </c>
      <c r="AO281" s="316">
        <v>0.81787840000000001</v>
      </c>
      <c r="AP281" s="316">
        <v>0.81787840000000001</v>
      </c>
      <c r="AQ281" s="316">
        <v>0.81787840000000001</v>
      </c>
      <c r="AR281" s="316">
        <v>0.81787840000000001</v>
      </c>
      <c r="AS281" s="316">
        <v>0.81787840000000001</v>
      </c>
      <c r="AT281" s="316">
        <v>0.81787840000000001</v>
      </c>
      <c r="AU281" s="316">
        <v>0.81787840000000001</v>
      </c>
    </row>
    <row r="282" spans="1:47" x14ac:dyDescent="0.2">
      <c r="A282" s="315" t="s">
        <v>384</v>
      </c>
      <c r="B282" s="120"/>
      <c r="C282" s="316">
        <v>0.81275000000000008</v>
      </c>
      <c r="D282" s="316">
        <v>0.78899999999999992</v>
      </c>
      <c r="E282" s="316">
        <v>0.79004999999999992</v>
      </c>
      <c r="F282" s="316">
        <v>0.79109999999999991</v>
      </c>
      <c r="G282" s="316">
        <v>0.79215000000000002</v>
      </c>
      <c r="H282" s="316">
        <v>0.79320000000000002</v>
      </c>
      <c r="I282" s="316">
        <v>0.79425000000000001</v>
      </c>
      <c r="J282" s="316">
        <v>0.80109600000000003</v>
      </c>
      <c r="K282" s="316">
        <v>0.80794200000000005</v>
      </c>
      <c r="L282" s="316">
        <v>0.81478799999999996</v>
      </c>
      <c r="M282" s="316">
        <v>0.82163399999999998</v>
      </c>
      <c r="N282" s="316">
        <v>0.82847999999999999</v>
      </c>
      <c r="O282" s="316">
        <v>0.83343040000000002</v>
      </c>
      <c r="P282" s="316">
        <v>0.83838080000000004</v>
      </c>
      <c r="Q282" s="316">
        <v>0.84333119999999995</v>
      </c>
      <c r="R282" s="316">
        <v>0.84828159999999997</v>
      </c>
      <c r="S282" s="316">
        <v>0.85323199999999999</v>
      </c>
      <c r="T282" s="316">
        <v>0.85403839999999998</v>
      </c>
      <c r="U282" s="316">
        <v>0.85484479999999996</v>
      </c>
      <c r="V282" s="316">
        <v>0.85565120000000006</v>
      </c>
      <c r="W282" s="316">
        <v>0.85645760000000004</v>
      </c>
      <c r="X282" s="316">
        <v>0.85726400000000003</v>
      </c>
      <c r="Y282" s="316">
        <v>0.85778009600000005</v>
      </c>
      <c r="Z282" s="316">
        <v>0.85829619199999996</v>
      </c>
      <c r="AA282" s="316">
        <v>0.85881228799999998</v>
      </c>
      <c r="AB282" s="316">
        <v>0.85932838399999989</v>
      </c>
      <c r="AC282" s="316">
        <v>0.85984447999999991</v>
      </c>
      <c r="AD282" s="316">
        <v>0.85914559999999995</v>
      </c>
      <c r="AE282" s="316">
        <v>0.85844671999999989</v>
      </c>
      <c r="AF282" s="316">
        <v>0.85774783999999993</v>
      </c>
      <c r="AG282" s="316">
        <v>0.85704895999999986</v>
      </c>
      <c r="AH282" s="316">
        <v>0.8563500799999999</v>
      </c>
      <c r="AI282" s="316">
        <v>0.85658303999999996</v>
      </c>
      <c r="AJ282" s="316">
        <v>0.85681599999999991</v>
      </c>
      <c r="AK282" s="316">
        <v>0.85704895999999997</v>
      </c>
      <c r="AL282" s="316">
        <v>0.85728191999999992</v>
      </c>
      <c r="AM282" s="316">
        <v>0.85751487999999998</v>
      </c>
      <c r="AN282" s="316">
        <v>0.85751487999999998</v>
      </c>
      <c r="AO282" s="316">
        <v>0.85751487999999998</v>
      </c>
      <c r="AP282" s="316">
        <v>0.85751487999999998</v>
      </c>
      <c r="AQ282" s="316">
        <v>0.85751487999999998</v>
      </c>
      <c r="AR282" s="316">
        <v>0.85751487999999998</v>
      </c>
      <c r="AS282" s="316">
        <v>0.85751487999999998</v>
      </c>
      <c r="AT282" s="316">
        <v>0.85751487999999998</v>
      </c>
      <c r="AU282" s="316">
        <v>0.85751487999999998</v>
      </c>
    </row>
    <row r="283" spans="1:47" x14ac:dyDescent="0.2">
      <c r="A283" s="315" t="s">
        <v>385</v>
      </c>
      <c r="B283" s="120"/>
      <c r="C283" s="316">
        <v>0.81924999999999992</v>
      </c>
      <c r="D283" s="316">
        <v>0.81574999999999998</v>
      </c>
      <c r="E283" s="316">
        <v>0.81362000000000001</v>
      </c>
      <c r="F283" s="316">
        <v>0.81148999999999993</v>
      </c>
      <c r="G283" s="316">
        <v>0.80935999999999997</v>
      </c>
      <c r="H283" s="316">
        <v>0.80722999999999989</v>
      </c>
      <c r="I283" s="316">
        <v>0.80509999999999993</v>
      </c>
      <c r="J283" s="316">
        <v>0.8060449999999999</v>
      </c>
      <c r="K283" s="316">
        <v>0.80698999999999999</v>
      </c>
      <c r="L283" s="316">
        <v>0.80793499999999996</v>
      </c>
      <c r="M283" s="316">
        <v>0.80888000000000004</v>
      </c>
      <c r="N283" s="316">
        <v>0.80982500000000002</v>
      </c>
      <c r="O283" s="316">
        <v>0.8159864</v>
      </c>
      <c r="P283" s="316">
        <v>0.82214779999999998</v>
      </c>
      <c r="Q283" s="316">
        <v>0.82830920000000008</v>
      </c>
      <c r="R283" s="316">
        <v>0.83447060000000006</v>
      </c>
      <c r="S283" s="316">
        <v>0.84063200000000005</v>
      </c>
      <c r="T283" s="316">
        <v>0.84508736000000007</v>
      </c>
      <c r="U283" s="316">
        <v>0.84954272000000008</v>
      </c>
      <c r="V283" s="316">
        <v>0.85399807999999999</v>
      </c>
      <c r="W283" s="316">
        <v>0.85845344000000001</v>
      </c>
      <c r="X283" s="316">
        <v>0.86290880000000003</v>
      </c>
      <c r="Y283" s="316">
        <v>0.86363456000000005</v>
      </c>
      <c r="Z283" s="316">
        <v>0.86436032000000007</v>
      </c>
      <c r="AA283" s="316">
        <v>0.86508607999999998</v>
      </c>
      <c r="AB283" s="316">
        <v>0.86581184</v>
      </c>
      <c r="AC283" s="316">
        <v>0.86653760000000002</v>
      </c>
      <c r="AD283" s="316">
        <v>0.86700208639999998</v>
      </c>
      <c r="AE283" s="316">
        <v>0.86746657279999995</v>
      </c>
      <c r="AF283" s="316">
        <v>0.86793105920000002</v>
      </c>
      <c r="AG283" s="316">
        <v>0.86839554559999999</v>
      </c>
      <c r="AH283" s="316">
        <v>0.86886003199999995</v>
      </c>
      <c r="AI283" s="316">
        <v>0.86823103999999995</v>
      </c>
      <c r="AJ283" s="316">
        <v>0.86760204799999996</v>
      </c>
      <c r="AK283" s="316">
        <v>0.86697305599999985</v>
      </c>
      <c r="AL283" s="316">
        <v>0.86634406399999986</v>
      </c>
      <c r="AM283" s="316">
        <v>0.86571507199999986</v>
      </c>
      <c r="AN283" s="316">
        <v>0.86592473599999986</v>
      </c>
      <c r="AO283" s="316">
        <v>0.86613439999999986</v>
      </c>
      <c r="AP283" s="316">
        <v>0.86634406399999997</v>
      </c>
      <c r="AQ283" s="316">
        <v>0.86655372799999997</v>
      </c>
      <c r="AR283" s="316">
        <v>0.86676339199999997</v>
      </c>
      <c r="AS283" s="316">
        <v>0.86676339199999997</v>
      </c>
      <c r="AT283" s="316">
        <v>0.86676339199999997</v>
      </c>
      <c r="AU283" s="316">
        <v>0.86676339199999997</v>
      </c>
    </row>
    <row r="284" spans="1:47" x14ac:dyDescent="0.2">
      <c r="A284" s="315" t="s">
        <v>386</v>
      </c>
      <c r="B284" s="120"/>
      <c r="C284" s="316">
        <v>0.81</v>
      </c>
      <c r="D284" s="316">
        <v>0.79474999999999996</v>
      </c>
      <c r="E284" s="316">
        <v>0.79731849999999993</v>
      </c>
      <c r="F284" s="316">
        <v>0.7998869999999999</v>
      </c>
      <c r="G284" s="316">
        <v>0.80245549999999999</v>
      </c>
      <c r="H284" s="316">
        <v>0.80502399999999996</v>
      </c>
      <c r="I284" s="316">
        <v>0.80759249999999994</v>
      </c>
      <c r="J284" s="316">
        <v>0.80548379999999997</v>
      </c>
      <c r="K284" s="316">
        <v>0.8033750999999999</v>
      </c>
      <c r="L284" s="316">
        <v>0.80126639999999993</v>
      </c>
      <c r="M284" s="316">
        <v>0.79915769999999986</v>
      </c>
      <c r="N284" s="316">
        <v>0.7970489999999999</v>
      </c>
      <c r="O284" s="316">
        <v>0.7979845499999999</v>
      </c>
      <c r="P284" s="316">
        <v>0.79892009999999991</v>
      </c>
      <c r="Q284" s="316">
        <v>0.79985565000000003</v>
      </c>
      <c r="R284" s="316">
        <v>0.80079120000000004</v>
      </c>
      <c r="S284" s="316">
        <v>0.80172675000000004</v>
      </c>
      <c r="T284" s="316">
        <v>0.80782653600000009</v>
      </c>
      <c r="U284" s="316">
        <v>0.81392632200000004</v>
      </c>
      <c r="V284" s="316">
        <v>0.82002610800000009</v>
      </c>
      <c r="W284" s="316">
        <v>0.82612589400000003</v>
      </c>
      <c r="X284" s="316">
        <v>0.83222568000000008</v>
      </c>
      <c r="Y284" s="316">
        <v>0.8366364864000001</v>
      </c>
      <c r="Z284" s="316">
        <v>0.84104729280000012</v>
      </c>
      <c r="AA284" s="316">
        <v>0.84545809920000004</v>
      </c>
      <c r="AB284" s="316">
        <v>0.84986890560000006</v>
      </c>
      <c r="AC284" s="316">
        <v>0.85427971200000008</v>
      </c>
      <c r="AD284" s="316">
        <v>0.85499821440000012</v>
      </c>
      <c r="AE284" s="316">
        <v>0.85571671680000005</v>
      </c>
      <c r="AF284" s="316">
        <v>0.8564352192000001</v>
      </c>
      <c r="AG284" s="316">
        <v>0.85715372160000003</v>
      </c>
      <c r="AH284" s="316">
        <v>0.85787222400000007</v>
      </c>
      <c r="AI284" s="316">
        <v>0.85833206553600006</v>
      </c>
      <c r="AJ284" s="316">
        <v>0.85879190707200004</v>
      </c>
      <c r="AK284" s="316">
        <v>0.85925174860800002</v>
      </c>
      <c r="AL284" s="316">
        <v>0.859711590144</v>
      </c>
      <c r="AM284" s="316">
        <v>0.86017143167999999</v>
      </c>
      <c r="AN284" s="316">
        <v>0.85954872959999995</v>
      </c>
      <c r="AO284" s="316">
        <v>0.85892602751999991</v>
      </c>
      <c r="AP284" s="316">
        <v>0.85830332543999999</v>
      </c>
      <c r="AQ284" s="316">
        <v>0.85768062335999995</v>
      </c>
      <c r="AR284" s="316">
        <v>0.85705792127999991</v>
      </c>
      <c r="AS284" s="316">
        <v>0.85726548863999996</v>
      </c>
      <c r="AT284" s="316">
        <v>0.8574730559999999</v>
      </c>
      <c r="AU284" s="316">
        <v>0.85768062335999995</v>
      </c>
    </row>
    <row r="285" spans="1:47" x14ac:dyDescent="0.2">
      <c r="A285" s="315" t="s">
        <v>387</v>
      </c>
      <c r="B285" s="120"/>
      <c r="C285" s="316">
        <v>0.72575000000000001</v>
      </c>
      <c r="D285" s="316">
        <v>0.71649999999999991</v>
      </c>
      <c r="E285" s="316">
        <v>0.72579199999999988</v>
      </c>
      <c r="F285" s="316">
        <v>0.73508399999999996</v>
      </c>
      <c r="G285" s="316">
        <v>0.74437599999999993</v>
      </c>
      <c r="H285" s="316">
        <v>0.753668</v>
      </c>
      <c r="I285" s="316">
        <v>0.76295999999999997</v>
      </c>
      <c r="J285" s="316">
        <v>0.76542575999999996</v>
      </c>
      <c r="K285" s="316">
        <v>0.76789151999999994</v>
      </c>
      <c r="L285" s="316">
        <v>0.77035727999999992</v>
      </c>
      <c r="M285" s="316">
        <v>0.77282303999999991</v>
      </c>
      <c r="N285" s="316">
        <v>0.77528879999999989</v>
      </c>
      <c r="O285" s="316">
        <v>0.77326444799999994</v>
      </c>
      <c r="P285" s="316">
        <v>0.77124009599999988</v>
      </c>
      <c r="Q285" s="316">
        <v>0.76921574399999992</v>
      </c>
      <c r="R285" s="316">
        <v>0.76719139199999986</v>
      </c>
      <c r="S285" s="316">
        <v>0.76516703999999991</v>
      </c>
      <c r="T285" s="316">
        <v>0.76606516799999991</v>
      </c>
      <c r="U285" s="316">
        <v>0.76696329599999991</v>
      </c>
      <c r="V285" s="316">
        <v>0.76786142400000001</v>
      </c>
      <c r="W285" s="316">
        <v>0.76875955200000001</v>
      </c>
      <c r="X285" s="316">
        <v>0.76965768000000001</v>
      </c>
      <c r="Y285" s="316">
        <v>0.77551347455999997</v>
      </c>
      <c r="Z285" s="316">
        <v>0.78136926912000004</v>
      </c>
      <c r="AA285" s="316">
        <v>0.78722506368</v>
      </c>
      <c r="AB285" s="316">
        <v>0.79308085824000008</v>
      </c>
      <c r="AC285" s="316">
        <v>0.79893665280000004</v>
      </c>
      <c r="AD285" s="316">
        <v>0.803171026944</v>
      </c>
      <c r="AE285" s="316">
        <v>0.80740540108800007</v>
      </c>
      <c r="AF285" s="316">
        <v>0.81163977523200004</v>
      </c>
      <c r="AG285" s="316">
        <v>0.81587414937600011</v>
      </c>
      <c r="AH285" s="316">
        <v>0.82010852352000008</v>
      </c>
      <c r="AI285" s="316">
        <v>0.82079828582400005</v>
      </c>
      <c r="AJ285" s="316">
        <v>0.82148804812800003</v>
      </c>
      <c r="AK285" s="316">
        <v>0.82217781043200011</v>
      </c>
      <c r="AL285" s="316">
        <v>0.82286757273600009</v>
      </c>
      <c r="AM285" s="316">
        <v>0.82355733504000006</v>
      </c>
      <c r="AN285" s="316">
        <v>0.82399878291456008</v>
      </c>
      <c r="AO285" s="316">
        <v>0.82444023078911999</v>
      </c>
      <c r="AP285" s="316">
        <v>0.82488167866368001</v>
      </c>
      <c r="AQ285" s="316">
        <v>0.82532312653823992</v>
      </c>
      <c r="AR285" s="316">
        <v>0.82576457441279993</v>
      </c>
      <c r="AS285" s="316">
        <v>0.82516678041599989</v>
      </c>
      <c r="AT285" s="316">
        <v>0.82456898641919996</v>
      </c>
      <c r="AU285" s="316">
        <v>0.82397119242239991</v>
      </c>
    </row>
    <row r="286" spans="1:47" x14ac:dyDescent="0.2">
      <c r="A286" s="315" t="s">
        <v>388</v>
      </c>
      <c r="B286" s="120"/>
      <c r="C286" s="316">
        <v>0.51500000000000001</v>
      </c>
      <c r="D286" s="316">
        <v>0.51674999999999993</v>
      </c>
      <c r="E286" s="316">
        <v>0.53520499999999993</v>
      </c>
      <c r="F286" s="316">
        <v>0.55365999999999993</v>
      </c>
      <c r="G286" s="316">
        <v>0.57211499999999993</v>
      </c>
      <c r="H286" s="316">
        <v>0.59056999999999993</v>
      </c>
      <c r="I286" s="316">
        <v>0.60902499999999993</v>
      </c>
      <c r="J286" s="316">
        <v>0.61692319999999989</v>
      </c>
      <c r="K286" s="316">
        <v>0.62482139999999997</v>
      </c>
      <c r="L286" s="316">
        <v>0.63271959999999994</v>
      </c>
      <c r="M286" s="316">
        <v>0.64061780000000002</v>
      </c>
      <c r="N286" s="316">
        <v>0.64851599999999998</v>
      </c>
      <c r="O286" s="316">
        <v>0.65061189600000002</v>
      </c>
      <c r="P286" s="316">
        <v>0.65270779199999995</v>
      </c>
      <c r="Q286" s="316">
        <v>0.65480368799999999</v>
      </c>
      <c r="R286" s="316">
        <v>0.65689958399999993</v>
      </c>
      <c r="S286" s="316">
        <v>0.65899547999999997</v>
      </c>
      <c r="T286" s="316">
        <v>0.6572747807999999</v>
      </c>
      <c r="U286" s="316">
        <v>0.65555408159999995</v>
      </c>
      <c r="V286" s="316">
        <v>0.65383338239999989</v>
      </c>
      <c r="W286" s="316">
        <v>0.65211268319999993</v>
      </c>
      <c r="X286" s="316">
        <v>0.65039198399999987</v>
      </c>
      <c r="Y286" s="316">
        <v>0.6511553927999999</v>
      </c>
      <c r="Z286" s="316">
        <v>0.65191880159999993</v>
      </c>
      <c r="AA286" s="316">
        <v>0.65268221039999996</v>
      </c>
      <c r="AB286" s="316">
        <v>0.65344561919999999</v>
      </c>
      <c r="AC286" s="316">
        <v>0.65420902800000003</v>
      </c>
      <c r="AD286" s="316">
        <v>0.65918645337600001</v>
      </c>
      <c r="AE286" s="316">
        <v>0.664163878752</v>
      </c>
      <c r="AF286" s="316">
        <v>0.6691413041280001</v>
      </c>
      <c r="AG286" s="316">
        <v>0.67411872950400009</v>
      </c>
      <c r="AH286" s="316">
        <v>0.67909615488000008</v>
      </c>
      <c r="AI286" s="316">
        <v>0.68269537290240012</v>
      </c>
      <c r="AJ286" s="316">
        <v>0.68629459092480005</v>
      </c>
      <c r="AK286" s="316">
        <v>0.68989380894720009</v>
      </c>
      <c r="AL286" s="316">
        <v>0.69349302696960002</v>
      </c>
      <c r="AM286" s="316">
        <v>0.69709224499200007</v>
      </c>
      <c r="AN286" s="316">
        <v>0.6976785429504001</v>
      </c>
      <c r="AO286" s="316">
        <v>0.69826484090880003</v>
      </c>
      <c r="AP286" s="316">
        <v>0.69885113886720007</v>
      </c>
      <c r="AQ286" s="316">
        <v>0.6994374368256</v>
      </c>
      <c r="AR286" s="316">
        <v>0.70002373478400004</v>
      </c>
      <c r="AS286" s="316">
        <v>0.70039896547737601</v>
      </c>
      <c r="AT286" s="316">
        <v>0.70077419617075198</v>
      </c>
      <c r="AU286" s="316">
        <v>0.70114942686412807</v>
      </c>
    </row>
    <row r="287" spans="1:47" x14ac:dyDescent="0.2">
      <c r="A287" s="315" t="s">
        <v>228</v>
      </c>
      <c r="B287" s="120"/>
      <c r="C287" s="316">
        <v>8.0500000000000002E-2</v>
      </c>
      <c r="D287" s="316">
        <v>8.925000000000001E-2</v>
      </c>
      <c r="E287" s="316">
        <v>9.4136999999999998E-2</v>
      </c>
      <c r="F287" s="316">
        <v>9.9024000000000001E-2</v>
      </c>
      <c r="G287" s="316">
        <v>0.10391099999999999</v>
      </c>
      <c r="H287" s="316">
        <v>0.10879799999999998</v>
      </c>
      <c r="I287" s="316">
        <v>0.11368499999999998</v>
      </c>
      <c r="J287" s="316">
        <v>0.11774509999999998</v>
      </c>
      <c r="K287" s="316">
        <v>0.12180519999999997</v>
      </c>
      <c r="L287" s="316">
        <v>0.12586529999999999</v>
      </c>
      <c r="M287" s="316">
        <v>0.12992539999999997</v>
      </c>
      <c r="N287" s="316">
        <v>0.13398549999999998</v>
      </c>
      <c r="O287" s="316">
        <v>0.13572310399999998</v>
      </c>
      <c r="P287" s="316">
        <v>0.13746070799999999</v>
      </c>
      <c r="Q287" s="316">
        <v>0.13919831199999999</v>
      </c>
      <c r="R287" s="316">
        <v>0.14093591599999999</v>
      </c>
      <c r="S287" s="316">
        <v>0.14267352</v>
      </c>
      <c r="T287" s="316">
        <v>0.14313461712</v>
      </c>
      <c r="U287" s="316">
        <v>0.14359571424000001</v>
      </c>
      <c r="V287" s="316">
        <v>0.14405681135999998</v>
      </c>
      <c r="W287" s="316">
        <v>0.14451790847999998</v>
      </c>
      <c r="X287" s="316">
        <v>0.14497900559999999</v>
      </c>
      <c r="Y287" s="316">
        <v>0.14460045177599998</v>
      </c>
      <c r="Z287" s="316">
        <v>0.14422189795199997</v>
      </c>
      <c r="AA287" s="316">
        <v>0.14384334412799998</v>
      </c>
      <c r="AB287" s="316">
        <v>0.14346479030399997</v>
      </c>
      <c r="AC287" s="316">
        <v>0.14308623647999996</v>
      </c>
      <c r="AD287" s="316">
        <v>0.14325418641599996</v>
      </c>
      <c r="AE287" s="316">
        <v>0.14342213635199996</v>
      </c>
      <c r="AF287" s="316">
        <v>0.14359008628799996</v>
      </c>
      <c r="AG287" s="316">
        <v>0.14375803622399996</v>
      </c>
      <c r="AH287" s="316">
        <v>0.14392598615999996</v>
      </c>
      <c r="AI287" s="316">
        <v>0.14502101974271997</v>
      </c>
      <c r="AJ287" s="316">
        <v>0.14611605332543998</v>
      </c>
      <c r="AK287" s="316">
        <v>0.14721108690815998</v>
      </c>
      <c r="AL287" s="316">
        <v>0.14830612049087999</v>
      </c>
      <c r="AM287" s="316">
        <v>0.1494011540736</v>
      </c>
      <c r="AN287" s="316">
        <v>0.15019298203852799</v>
      </c>
      <c r="AO287" s="316">
        <v>0.15098481000345601</v>
      </c>
      <c r="AP287" s="316">
        <v>0.151776637968384</v>
      </c>
      <c r="AQ287" s="316">
        <v>0.15256846593331203</v>
      </c>
      <c r="AR287" s="316">
        <v>0.15336029389824002</v>
      </c>
      <c r="AS287" s="316">
        <v>0.15348927944908802</v>
      </c>
      <c r="AT287" s="316">
        <v>0.153618264999936</v>
      </c>
      <c r="AU287" s="316">
        <v>0.153747250550784</v>
      </c>
    </row>
  </sheetData>
  <phoneticPr fontId="0" type="noConversion"/>
  <hyperlinks>
    <hyperlink ref="Q1:T1" r:id="rId1" display="SNZ Population: 2006 Base: Series 5"/>
    <hyperlink ref="F1" r:id="rId2"/>
  </hyperlinks>
  <pageMargins left="0.55118110236220474" right="0.55118110236220474" top="0.59055118110236227" bottom="0.59055118110236227" header="0.51181102362204722" footer="0.51181102362204722"/>
  <pageSetup paperSize="9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/>
  <dimension ref="A1:AY125"/>
  <sheetViews>
    <sheetView workbookViewId="0">
      <selection activeCell="BC15" sqref="BC15"/>
    </sheetView>
  </sheetViews>
  <sheetFormatPr defaultRowHeight="12.75" x14ac:dyDescent="0.2"/>
  <cols>
    <col min="1" max="1" width="35.7109375" customWidth="1"/>
    <col min="5" max="5" width="10" bestFit="1" customWidth="1"/>
    <col min="6" max="7" width="9.5703125" bestFit="1" customWidth="1"/>
    <col min="20" max="20" width="9.28515625" bestFit="1" customWidth="1"/>
  </cols>
  <sheetData>
    <row r="1" spans="1:51" ht="15.75" x14ac:dyDescent="0.25">
      <c r="A1" s="13" t="s">
        <v>353</v>
      </c>
    </row>
    <row r="3" spans="1:51" ht="18.75" x14ac:dyDescent="0.3">
      <c r="A3" s="14" t="s">
        <v>679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</row>
    <row r="4" spans="1:51" x14ac:dyDescent="0.2">
      <c r="A4" s="24" t="s">
        <v>861</v>
      </c>
      <c r="B4" s="15" t="s">
        <v>526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 x14ac:dyDescent="0.2">
      <c r="A5" s="15"/>
      <c r="B5" s="15"/>
      <c r="C5" s="88" t="s">
        <v>776</v>
      </c>
      <c r="D5" s="88" t="s">
        <v>777</v>
      </c>
      <c r="E5" s="88" t="s">
        <v>778</v>
      </c>
      <c r="F5" s="88" t="s">
        <v>779</v>
      </c>
      <c r="G5" s="88" t="s">
        <v>780</v>
      </c>
      <c r="H5" s="88" t="s">
        <v>781</v>
      </c>
      <c r="I5" s="88" t="s">
        <v>782</v>
      </c>
      <c r="J5" s="86" t="s">
        <v>783</v>
      </c>
      <c r="K5" s="86" t="s">
        <v>784</v>
      </c>
      <c r="L5" s="86" t="s">
        <v>785</v>
      </c>
      <c r="M5" s="86" t="s">
        <v>786</v>
      </c>
      <c r="N5" s="86" t="s">
        <v>787</v>
      </c>
      <c r="O5" s="16" t="s">
        <v>788</v>
      </c>
      <c r="P5" s="16" t="s">
        <v>789</v>
      </c>
      <c r="Q5" s="16" t="s">
        <v>790</v>
      </c>
      <c r="R5" s="16" t="s">
        <v>791</v>
      </c>
      <c r="S5" s="16" t="s">
        <v>792</v>
      </c>
      <c r="T5" s="16" t="s">
        <v>793</v>
      </c>
      <c r="U5" s="16" t="s">
        <v>794</v>
      </c>
      <c r="V5" s="16" t="s">
        <v>795</v>
      </c>
      <c r="W5" s="16" t="s">
        <v>796</v>
      </c>
      <c r="X5" s="16" t="s">
        <v>797</v>
      </c>
      <c r="Y5" s="16" t="s">
        <v>798</v>
      </c>
      <c r="Z5" s="16" t="s">
        <v>799</v>
      </c>
      <c r="AA5" s="16" t="s">
        <v>800</v>
      </c>
      <c r="AB5" s="16" t="s">
        <v>801</v>
      </c>
      <c r="AC5" s="16" t="s">
        <v>802</v>
      </c>
      <c r="AD5" s="16" t="s">
        <v>803</v>
      </c>
      <c r="AE5" s="16" t="s">
        <v>804</v>
      </c>
      <c r="AF5" s="16" t="s">
        <v>805</v>
      </c>
      <c r="AG5" s="16" t="s">
        <v>806</v>
      </c>
      <c r="AH5" s="16" t="s">
        <v>807</v>
      </c>
      <c r="AI5" s="16" t="s">
        <v>808</v>
      </c>
      <c r="AJ5" s="16" t="s">
        <v>809</v>
      </c>
      <c r="AK5" s="16" t="s">
        <v>810</v>
      </c>
      <c r="AL5" s="16" t="s">
        <v>811</v>
      </c>
      <c r="AM5" s="16" t="s">
        <v>812</v>
      </c>
      <c r="AN5" s="16" t="s">
        <v>813</v>
      </c>
      <c r="AO5" s="16" t="s">
        <v>814</v>
      </c>
      <c r="AP5" s="16" t="s">
        <v>815</v>
      </c>
      <c r="AQ5" s="16" t="s">
        <v>816</v>
      </c>
      <c r="AR5" s="16" t="s">
        <v>817</v>
      </c>
      <c r="AS5" s="16" t="s">
        <v>818</v>
      </c>
      <c r="AT5" s="16" t="s">
        <v>819</v>
      </c>
      <c r="AU5" s="16" t="s">
        <v>820</v>
      </c>
      <c r="AV5" s="16" t="s">
        <v>821</v>
      </c>
      <c r="AW5" s="16" t="s">
        <v>822</v>
      </c>
      <c r="AX5" s="16" t="s">
        <v>823</v>
      </c>
      <c r="AY5" s="16" t="s">
        <v>824</v>
      </c>
    </row>
    <row r="6" spans="1:51" x14ac:dyDescent="0.2">
      <c r="A6" s="17" t="s">
        <v>843</v>
      </c>
      <c r="B6" s="15"/>
      <c r="C6" s="87">
        <v>0.6</v>
      </c>
      <c r="D6" s="87">
        <v>1.2</v>
      </c>
      <c r="E6" s="87">
        <v>1.8789999999999996</v>
      </c>
      <c r="F6" s="140">
        <v>2.1070000000000002</v>
      </c>
      <c r="G6" s="140">
        <v>2.3369999999999997</v>
      </c>
      <c r="H6" s="140">
        <v>2.048</v>
      </c>
      <c r="I6" s="140">
        <v>2.1040000000000001</v>
      </c>
      <c r="J6" s="228">
        <v>2.242</v>
      </c>
      <c r="K6" s="228">
        <v>2.2309999999999999</v>
      </c>
      <c r="L6" s="228">
        <v>2.258</v>
      </c>
      <c r="M6" s="228">
        <v>2.2989999999999999</v>
      </c>
      <c r="N6" s="228">
        <v>2.3980000000000001</v>
      </c>
      <c r="O6" s="229">
        <v>2.3863621594612159</v>
      </c>
      <c r="P6" s="229">
        <v>2.357448976691142</v>
      </c>
      <c r="Q6" s="229">
        <v>2.3378409886424087</v>
      </c>
      <c r="R6" s="229">
        <v>2.3025828987531316</v>
      </c>
      <c r="S6" s="229">
        <v>2.247459257415521</v>
      </c>
      <c r="T6" s="229">
        <v>2.1694634973066549</v>
      </c>
      <c r="U6" s="229">
        <v>2.0729989264175632</v>
      </c>
      <c r="V6" s="229">
        <v>1.8859446104658986</v>
      </c>
      <c r="W6" s="229">
        <v>1.6752497027927458</v>
      </c>
      <c r="X6" s="229">
        <v>1.437031201784265</v>
      </c>
      <c r="Y6" s="229">
        <v>1.1325472220080783</v>
      </c>
      <c r="Z6" s="229">
        <v>0.79477138234556222</v>
      </c>
      <c r="AA6" s="229">
        <v>0.38835267437219301</v>
      </c>
      <c r="AB6" s="229">
        <v>-6.6329825353530936E-2</v>
      </c>
      <c r="AC6" s="229">
        <v>-0.54059932650514853</v>
      </c>
      <c r="AD6" s="229">
        <v>-1.0016747523351555</v>
      </c>
      <c r="AE6" s="229">
        <v>-1.4130145544256685</v>
      </c>
      <c r="AF6" s="229">
        <v>-1.8163603742930725</v>
      </c>
      <c r="AG6" s="229">
        <v>-2.2244330590257846</v>
      </c>
      <c r="AH6" s="229">
        <v>-2.6534434211959308</v>
      </c>
      <c r="AI6" s="229">
        <v>-3.1195361753897899</v>
      </c>
      <c r="AJ6" s="229">
        <v>-3.5743916851247981</v>
      </c>
      <c r="AK6" s="229">
        <v>-4.0853105866234962</v>
      </c>
      <c r="AL6" s="229">
        <v>-4.5774805094758833</v>
      </c>
      <c r="AM6" s="229">
        <v>-4.9869531409803258</v>
      </c>
      <c r="AN6" s="229">
        <v>-5.3203711799271929</v>
      </c>
      <c r="AO6" s="229">
        <v>-5.5758755091462291</v>
      </c>
      <c r="AP6" s="229">
        <v>-5.7396471530321307</v>
      </c>
      <c r="AQ6" s="229">
        <v>-5.8909908034602196</v>
      </c>
      <c r="AR6" s="229">
        <v>-6.0050500881700373</v>
      </c>
      <c r="AS6" s="229">
        <v>-6.1790746021149658</v>
      </c>
      <c r="AT6" s="229">
        <v>-6.3805501521274053</v>
      </c>
      <c r="AU6" s="229">
        <v>-6.624795462952946</v>
      </c>
      <c r="AV6" s="229">
        <v>-6.9168345930693818</v>
      </c>
      <c r="AW6" s="229">
        <v>-7.2811620317177841</v>
      </c>
      <c r="AX6" s="229">
        <v>-7.6320051424971638</v>
      </c>
      <c r="AY6" s="229">
        <v>-7.9635770875852003</v>
      </c>
    </row>
    <row r="7" spans="1:51" x14ac:dyDescent="0.2">
      <c r="A7" s="17" t="s">
        <v>887</v>
      </c>
      <c r="B7" s="15"/>
      <c r="C7" s="87">
        <v>1.4999999999999999E-2</v>
      </c>
      <c r="D7" s="87">
        <v>6.9000000000000006E-2</v>
      </c>
      <c r="E7" s="87">
        <f>0.131+0.146-0.007</f>
        <v>0.27</v>
      </c>
      <c r="F7" s="87">
        <f>0.191+0.557-0.022</f>
        <v>0.72599999999999998</v>
      </c>
      <c r="G7" s="87">
        <f>0.359+1.13-0.052+(-0.006)</f>
        <v>1.4309999999999998</v>
      </c>
      <c r="H7" s="87">
        <f>0.436+1.313-(-0.052)+(-0.024)</f>
        <v>1.7769999999999999</v>
      </c>
      <c r="I7" s="87">
        <f>0.385+(-0.995)-0.034+0.016</f>
        <v>-0.628</v>
      </c>
      <c r="J7" s="228">
        <v>-2.0880000000000001</v>
      </c>
      <c r="K7" s="228">
        <v>1.6400000000000001</v>
      </c>
      <c r="L7" s="228">
        <v>1.9350000000000001</v>
      </c>
      <c r="M7" s="228">
        <v>2.2560000000000002</v>
      </c>
      <c r="N7" s="228">
        <v>2.5939999999999999</v>
      </c>
      <c r="O7" s="229">
        <v>2.6757605144481516</v>
      </c>
      <c r="P7" s="229">
        <v>3.0568961874592091</v>
      </c>
      <c r="Q7" s="229">
        <v>3.460969436127479</v>
      </c>
      <c r="R7" s="229">
        <v>3.8892667071420162</v>
      </c>
      <c r="S7" s="229">
        <v>4.3418533796542462</v>
      </c>
      <c r="T7" s="229">
        <v>4.818484213721006</v>
      </c>
      <c r="U7" s="229">
        <v>5.3189425348131882</v>
      </c>
      <c r="V7" s="229">
        <v>5.8402309985055236</v>
      </c>
      <c r="W7" s="229">
        <v>6.3786364701658158</v>
      </c>
      <c r="X7" s="229">
        <v>6.9330796094657803</v>
      </c>
      <c r="Y7" s="229">
        <v>7.5006405540366163</v>
      </c>
      <c r="Z7" s="229">
        <v>8.0778058533126895</v>
      </c>
      <c r="AA7" s="229">
        <v>8.6608732248768803</v>
      </c>
      <c r="AB7" s="229">
        <v>9.2451312195897497</v>
      </c>
      <c r="AC7" s="229">
        <v>9.8276627186137677</v>
      </c>
      <c r="AD7" s="229">
        <v>10.408008176397985</v>
      </c>
      <c r="AE7" s="229">
        <v>10.988668061805724</v>
      </c>
      <c r="AF7" s="229">
        <v>11.572248414083814</v>
      </c>
      <c r="AG7" s="229">
        <v>12.159109517394525</v>
      </c>
      <c r="AH7" s="229">
        <v>12.748391451366757</v>
      </c>
      <c r="AI7" s="229">
        <v>13.337778247674407</v>
      </c>
      <c r="AJ7" s="229">
        <v>13.926056477474331</v>
      </c>
      <c r="AK7" s="229">
        <v>14.511357324616053</v>
      </c>
      <c r="AL7" s="229">
        <v>15.091712478053479</v>
      </c>
      <c r="AM7" s="229">
        <v>15.671048679807983</v>
      </c>
      <c r="AN7" s="229">
        <v>16.256179056800988</v>
      </c>
      <c r="AO7" s="229">
        <v>16.85413970269423</v>
      </c>
      <c r="AP7" s="229">
        <v>17.473081966205829</v>
      </c>
      <c r="AQ7" s="229">
        <v>18.119058389145202</v>
      </c>
      <c r="AR7" s="229">
        <v>18.795943518877113</v>
      </c>
      <c r="AS7" s="229">
        <v>19.504994681082078</v>
      </c>
      <c r="AT7" s="229">
        <v>20.244476731837555</v>
      </c>
      <c r="AU7" s="229">
        <v>21.013385650058026</v>
      </c>
      <c r="AV7" s="229">
        <v>21.809749742725177</v>
      </c>
      <c r="AW7" s="229">
        <v>22.630232330981318</v>
      </c>
      <c r="AX7" s="229">
        <v>23.473693708603626</v>
      </c>
      <c r="AY7" s="229">
        <v>24.343048898357132</v>
      </c>
    </row>
    <row r="8" spans="1:51" x14ac:dyDescent="0.2">
      <c r="A8" s="17" t="s">
        <v>859</v>
      </c>
      <c r="B8" s="15"/>
      <c r="C8" s="87">
        <v>0</v>
      </c>
      <c r="D8" s="87">
        <v>0</v>
      </c>
      <c r="E8" s="87">
        <v>7.6999999999999999E-2</v>
      </c>
      <c r="F8" s="140">
        <v>0.23400000000000001</v>
      </c>
      <c r="G8" s="140">
        <v>0.46800000000000003</v>
      </c>
      <c r="H8" s="140">
        <v>0.70699999999999996</v>
      </c>
      <c r="I8" s="140">
        <v>0.23699999999999999</v>
      </c>
      <c r="J8" s="228">
        <f>0.036-0.005</f>
        <v>3.0999999999999996E-2</v>
      </c>
      <c r="K8" s="228">
        <v>0.41899999999999998</v>
      </c>
      <c r="L8" s="228">
        <v>0.49399999999999999</v>
      </c>
      <c r="M8" s="228">
        <v>0.57399999999999995</v>
      </c>
      <c r="N8" s="228">
        <v>0.65500000000000003</v>
      </c>
      <c r="O8" s="229">
        <v>0.64218252346755633</v>
      </c>
      <c r="P8" s="229">
        <v>0.73365508499021015</v>
      </c>
      <c r="Q8" s="229">
        <v>0.83063266467059493</v>
      </c>
      <c r="R8" s="229">
        <v>0.93342400971408379</v>
      </c>
      <c r="S8" s="229">
        <v>1.0420448111170191</v>
      </c>
      <c r="T8" s="229">
        <v>1.1564362112930413</v>
      </c>
      <c r="U8" s="229">
        <v>1.2765462083551651</v>
      </c>
      <c r="V8" s="229">
        <v>1.4016554396413257</v>
      </c>
      <c r="W8" s="229">
        <v>1.5308727528397958</v>
      </c>
      <c r="X8" s="229">
        <v>1.6639391062717872</v>
      </c>
      <c r="Y8" s="229">
        <v>1.8001537329687878</v>
      </c>
      <c r="Z8" s="229">
        <v>1.9386734047950454</v>
      </c>
      <c r="AA8" s="229">
        <v>2.0786095739704513</v>
      </c>
      <c r="AB8" s="229">
        <v>2.2188314927015398</v>
      </c>
      <c r="AC8" s="229">
        <v>2.358639052467304</v>
      </c>
      <c r="AD8" s="229">
        <v>2.4979219623355164</v>
      </c>
      <c r="AE8" s="229">
        <v>2.6372803348333735</v>
      </c>
      <c r="AF8" s="229">
        <v>2.7773396193801152</v>
      </c>
      <c r="AG8" s="229">
        <v>2.918186284174686</v>
      </c>
      <c r="AH8" s="229">
        <v>3.0596139483280216</v>
      </c>
      <c r="AI8" s="229">
        <v>3.2010667794418577</v>
      </c>
      <c r="AJ8" s="229">
        <v>3.3422535545938392</v>
      </c>
      <c r="AK8" s="229">
        <v>3.4827257579078528</v>
      </c>
      <c r="AL8" s="229">
        <v>3.6220109947328347</v>
      </c>
      <c r="AM8" s="229">
        <v>3.7610516831539158</v>
      </c>
      <c r="AN8" s="229">
        <v>3.9014829736322372</v>
      </c>
      <c r="AO8" s="229">
        <v>4.0449935286466152</v>
      </c>
      <c r="AP8" s="229">
        <v>4.1935396718893987</v>
      </c>
      <c r="AQ8" s="229">
        <v>4.3485740133948481</v>
      </c>
      <c r="AR8" s="229">
        <v>4.5110264445305068</v>
      </c>
      <c r="AS8" s="229">
        <v>4.6811987234596986</v>
      </c>
      <c r="AT8" s="229">
        <v>4.8586744156410129</v>
      </c>
      <c r="AU8" s="229">
        <v>5.043212556013926</v>
      </c>
      <c r="AV8" s="229">
        <v>5.2343399382540428</v>
      </c>
      <c r="AW8" s="229">
        <v>5.4312557594355164</v>
      </c>
      <c r="AX8" s="229">
        <v>5.6336864900648704</v>
      </c>
      <c r="AY8" s="229">
        <v>5.8423317356057112</v>
      </c>
    </row>
    <row r="9" spans="1:51" x14ac:dyDescent="0.2">
      <c r="A9" s="17" t="s">
        <v>181</v>
      </c>
      <c r="B9" s="15"/>
      <c r="C9" s="87">
        <v>0.61499999999999999</v>
      </c>
      <c r="D9" s="87">
        <v>1.8839999999999999</v>
      </c>
      <c r="E9" s="87">
        <v>3.956</v>
      </c>
      <c r="F9" s="140">
        <v>6.5549999999999997</v>
      </c>
      <c r="G9" s="140">
        <v>9.8550000000000004</v>
      </c>
      <c r="H9" s="140">
        <v>12.973000000000001</v>
      </c>
      <c r="I9" s="140">
        <v>14.212</v>
      </c>
      <c r="J9" s="228">
        <f>14.33+0.005</f>
        <v>14.335000000000001</v>
      </c>
      <c r="K9" s="228">
        <f>17.782+0.005</f>
        <v>17.786999999999999</v>
      </c>
      <c r="L9" s="228">
        <f>21.481+0.005</f>
        <v>21.486000000000001</v>
      </c>
      <c r="M9" s="228">
        <f>25.462+0.005</f>
        <v>25.466999999999999</v>
      </c>
      <c r="N9" s="228">
        <f>29.799+0.005</f>
        <v>29.803999999999998</v>
      </c>
      <c r="O9" s="229">
        <v>34.21894015044181</v>
      </c>
      <c r="P9" s="229">
        <v>38.899630229601954</v>
      </c>
      <c r="Q9" s="229">
        <v>43.867807989701248</v>
      </c>
      <c r="R9" s="229">
        <v>49.126233585882311</v>
      </c>
      <c r="S9" s="229">
        <v>54.673501411835062</v>
      </c>
      <c r="T9" s="229">
        <v>60.505012911569679</v>
      </c>
      <c r="U9" s="229">
        <v>66.620408164445266</v>
      </c>
      <c r="V9" s="229">
        <v>72.944928333775366</v>
      </c>
      <c r="W9" s="229">
        <v>79.467941753894124</v>
      </c>
      <c r="X9" s="229">
        <v>86.174113458872384</v>
      </c>
      <c r="Y9" s="229">
        <v>93.007147501948296</v>
      </c>
      <c r="Z9" s="229">
        <v>99.941051332811497</v>
      </c>
      <c r="AA9" s="229">
        <v>106.91166765809011</v>
      </c>
      <c r="AB9" s="229">
        <v>113.87163755962479</v>
      </c>
      <c r="AC9" s="229">
        <v>120.80006189926611</v>
      </c>
      <c r="AD9" s="229">
        <v>127.70847336099344</v>
      </c>
      <c r="AE9" s="229">
        <v>134.64684653354013</v>
      </c>
      <c r="AF9" s="229">
        <v>141.62539495395075</v>
      </c>
      <c r="AG9" s="229">
        <v>148.64188512814479</v>
      </c>
      <c r="AH9" s="229">
        <v>155.67721920998758</v>
      </c>
      <c r="AI9" s="229">
        <v>162.69439450283036</v>
      </c>
      <c r="AJ9" s="229">
        <v>169.70380574058606</v>
      </c>
      <c r="AK9" s="229">
        <v>176.64712672067077</v>
      </c>
      <c r="AL9" s="229">
        <v>183.53934769451553</v>
      </c>
      <c r="AM9" s="229">
        <v>190.46239155018927</v>
      </c>
      <c r="AN9" s="229">
        <v>197.49671645343082</v>
      </c>
      <c r="AO9" s="229">
        <v>204.72998711833219</v>
      </c>
      <c r="AP9" s="229">
        <v>212.26988225961648</v>
      </c>
      <c r="AQ9" s="229">
        <v>220.14937583190661</v>
      </c>
      <c r="AR9" s="229">
        <v>228.42924281808317</v>
      </c>
      <c r="AS9" s="229">
        <v>237.07396417359055</v>
      </c>
      <c r="AT9" s="229">
        <v>246.07921633765969</v>
      </c>
      <c r="AU9" s="229">
        <v>255.42459396875083</v>
      </c>
      <c r="AV9" s="229">
        <v>265.08316918015259</v>
      </c>
      <c r="AW9" s="229">
        <v>275.00098371998064</v>
      </c>
      <c r="AX9" s="229">
        <v>285.2089857960222</v>
      </c>
      <c r="AY9" s="229">
        <v>295.74612587118844</v>
      </c>
    </row>
    <row r="10" spans="1:51" x14ac:dyDescent="0.2">
      <c r="A10" s="61" t="s">
        <v>182</v>
      </c>
      <c r="C10" s="402">
        <f t="shared" ref="C10:AH10" si="0">ROUND(B9+C6+C7-C8-C9,3)</f>
        <v>0</v>
      </c>
      <c r="D10" s="402">
        <f t="shared" si="0"/>
        <v>0</v>
      </c>
      <c r="E10" s="402">
        <f t="shared" si="0"/>
        <v>0</v>
      </c>
      <c r="F10" s="402">
        <f t="shared" si="0"/>
        <v>0</v>
      </c>
      <c r="G10" s="402">
        <f t="shared" si="0"/>
        <v>0</v>
      </c>
      <c r="H10" s="402">
        <f t="shared" si="0"/>
        <v>0</v>
      </c>
      <c r="I10" s="402">
        <f t="shared" si="0"/>
        <v>0</v>
      </c>
      <c r="J10" s="64">
        <f>ROUND(I9+J6+J7-J8-J9,3)</f>
        <v>0</v>
      </c>
      <c r="K10" s="64">
        <f t="shared" si="0"/>
        <v>0</v>
      </c>
      <c r="L10" s="64">
        <f t="shared" si="0"/>
        <v>0</v>
      </c>
      <c r="M10" s="64">
        <f t="shared" si="0"/>
        <v>0</v>
      </c>
      <c r="N10" s="64">
        <f t="shared" si="0"/>
        <v>0</v>
      </c>
      <c r="O10" s="115">
        <f t="shared" si="0"/>
        <v>5.0000000000000001E-3</v>
      </c>
      <c r="P10" s="115">
        <f t="shared" si="0"/>
        <v>0</v>
      </c>
      <c r="Q10" s="115">
        <f t="shared" si="0"/>
        <v>0</v>
      </c>
      <c r="R10" s="115">
        <f t="shared" si="0"/>
        <v>0</v>
      </c>
      <c r="S10" s="115">
        <f t="shared" si="0"/>
        <v>0</v>
      </c>
      <c r="T10" s="115">
        <f t="shared" si="0"/>
        <v>0</v>
      </c>
      <c r="U10" s="115">
        <f t="shared" si="0"/>
        <v>0</v>
      </c>
      <c r="V10" s="115">
        <f t="shared" si="0"/>
        <v>0</v>
      </c>
      <c r="W10" s="115">
        <f t="shared" si="0"/>
        <v>0</v>
      </c>
      <c r="X10" s="115">
        <f t="shared" si="0"/>
        <v>0</v>
      </c>
      <c r="Y10" s="115">
        <f t="shared" si="0"/>
        <v>0</v>
      </c>
      <c r="Z10" s="115">
        <f t="shared" si="0"/>
        <v>0</v>
      </c>
      <c r="AA10" s="115">
        <f t="shared" si="0"/>
        <v>0</v>
      </c>
      <c r="AB10" s="115">
        <f t="shared" si="0"/>
        <v>0</v>
      </c>
      <c r="AC10" s="115">
        <f t="shared" si="0"/>
        <v>0</v>
      </c>
      <c r="AD10" s="115">
        <f t="shared" si="0"/>
        <v>0</v>
      </c>
      <c r="AE10" s="115">
        <f t="shared" si="0"/>
        <v>0</v>
      </c>
      <c r="AF10" s="115">
        <f t="shared" si="0"/>
        <v>0</v>
      </c>
      <c r="AG10" s="115">
        <f t="shared" si="0"/>
        <v>0</v>
      </c>
      <c r="AH10" s="115">
        <f t="shared" si="0"/>
        <v>0</v>
      </c>
      <c r="AI10" s="115">
        <f t="shared" ref="AI10:AY10" si="1">ROUND(AH9+AI6+AI7-AI8-AI9,3)</f>
        <v>0</v>
      </c>
      <c r="AJ10" s="115">
        <f t="shared" si="1"/>
        <v>0</v>
      </c>
      <c r="AK10" s="115">
        <f t="shared" si="1"/>
        <v>0</v>
      </c>
      <c r="AL10" s="115">
        <f t="shared" si="1"/>
        <v>0</v>
      </c>
      <c r="AM10" s="115">
        <f t="shared" si="1"/>
        <v>0</v>
      </c>
      <c r="AN10" s="115">
        <f t="shared" si="1"/>
        <v>0</v>
      </c>
      <c r="AO10" s="115">
        <f t="shared" si="1"/>
        <v>0</v>
      </c>
      <c r="AP10" s="115">
        <f t="shared" si="1"/>
        <v>0</v>
      </c>
      <c r="AQ10" s="115">
        <f t="shared" si="1"/>
        <v>0</v>
      </c>
      <c r="AR10" s="115">
        <f t="shared" si="1"/>
        <v>0</v>
      </c>
      <c r="AS10" s="115">
        <f t="shared" si="1"/>
        <v>0</v>
      </c>
      <c r="AT10" s="115">
        <f t="shared" si="1"/>
        <v>0</v>
      </c>
      <c r="AU10" s="115">
        <f t="shared" si="1"/>
        <v>0</v>
      </c>
      <c r="AV10" s="115">
        <f t="shared" si="1"/>
        <v>0</v>
      </c>
      <c r="AW10" s="115">
        <f t="shared" si="1"/>
        <v>0</v>
      </c>
      <c r="AX10" s="115">
        <f t="shared" si="1"/>
        <v>0</v>
      </c>
      <c r="AY10" s="115">
        <f t="shared" si="1"/>
        <v>0</v>
      </c>
    </row>
    <row r="11" spans="1:51" x14ac:dyDescent="0.2">
      <c r="A11" s="61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</row>
    <row r="12" spans="1:51" ht="18.75" x14ac:dyDescent="0.3">
      <c r="A12" s="18" t="s">
        <v>839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x14ac:dyDescent="0.2">
      <c r="A13" s="25" t="s">
        <v>861</v>
      </c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x14ac:dyDescent="0.2">
      <c r="A14" s="9"/>
      <c r="B14" s="9"/>
      <c r="C14" s="89" t="s">
        <v>777</v>
      </c>
      <c r="D14" s="89" t="s">
        <v>778</v>
      </c>
      <c r="E14" s="89" t="s">
        <v>779</v>
      </c>
      <c r="F14" s="89" t="s">
        <v>780</v>
      </c>
      <c r="G14" s="89" t="s">
        <v>781</v>
      </c>
      <c r="H14" s="89" t="s">
        <v>782</v>
      </c>
      <c r="I14" s="235" t="s">
        <v>783</v>
      </c>
      <c r="J14" s="235" t="s">
        <v>784</v>
      </c>
      <c r="K14" s="235" t="s">
        <v>785</v>
      </c>
      <c r="L14" s="235" t="s">
        <v>786</v>
      </c>
      <c r="M14" s="235" t="s">
        <v>787</v>
      </c>
      <c r="N14" s="19" t="s">
        <v>788</v>
      </c>
      <c r="O14" s="19" t="s">
        <v>789</v>
      </c>
      <c r="P14" s="19" t="s">
        <v>790</v>
      </c>
      <c r="Q14" s="19" t="s">
        <v>791</v>
      </c>
      <c r="R14" s="19" t="s">
        <v>792</v>
      </c>
      <c r="S14" s="19" t="s">
        <v>793</v>
      </c>
      <c r="T14" s="19" t="s">
        <v>794</v>
      </c>
      <c r="U14" s="19" t="s">
        <v>795</v>
      </c>
      <c r="V14" s="19" t="s">
        <v>796</v>
      </c>
      <c r="W14" s="19" t="s">
        <v>797</v>
      </c>
      <c r="X14" s="19" t="s">
        <v>798</v>
      </c>
      <c r="Y14" s="19" t="s">
        <v>799</v>
      </c>
      <c r="Z14" s="19" t="s">
        <v>800</v>
      </c>
      <c r="AA14" s="19" t="s">
        <v>801</v>
      </c>
      <c r="AB14" s="19" t="s">
        <v>802</v>
      </c>
      <c r="AC14" s="19" t="s">
        <v>803</v>
      </c>
      <c r="AD14" s="19" t="s">
        <v>804</v>
      </c>
      <c r="AE14" s="19" t="s">
        <v>805</v>
      </c>
      <c r="AF14" s="19" t="s">
        <v>806</v>
      </c>
      <c r="AG14" s="19" t="s">
        <v>807</v>
      </c>
      <c r="AH14" s="19" t="s">
        <v>808</v>
      </c>
      <c r="AI14" s="19" t="s">
        <v>809</v>
      </c>
      <c r="AJ14" s="19" t="s">
        <v>810</v>
      </c>
      <c r="AK14" s="19" t="s">
        <v>811</v>
      </c>
      <c r="AL14" s="19" t="s">
        <v>812</v>
      </c>
      <c r="AM14" s="19" t="s">
        <v>813</v>
      </c>
      <c r="AN14" s="19" t="s">
        <v>814</v>
      </c>
      <c r="AO14" s="19" t="s">
        <v>815</v>
      </c>
      <c r="AP14" s="19" t="s">
        <v>816</v>
      </c>
      <c r="AQ14" s="19" t="s">
        <v>817</v>
      </c>
      <c r="AR14" s="19" t="s">
        <v>818</v>
      </c>
      <c r="AS14" s="19" t="s">
        <v>819</v>
      </c>
      <c r="AT14" s="19" t="s">
        <v>820</v>
      </c>
      <c r="AU14" s="19" t="s">
        <v>821</v>
      </c>
      <c r="AV14" s="19" t="s">
        <v>822</v>
      </c>
      <c r="AW14" s="19" t="s">
        <v>823</v>
      </c>
      <c r="AX14" s="19" t="s">
        <v>824</v>
      </c>
      <c r="AY14" s="19" t="s">
        <v>825</v>
      </c>
    </row>
    <row r="15" spans="1:51" x14ac:dyDescent="0.2">
      <c r="A15" s="20" t="s">
        <v>860</v>
      </c>
      <c r="B15" s="9"/>
      <c r="C15" s="90"/>
      <c r="D15" s="90"/>
      <c r="E15" s="90">
        <v>0.76200000000000001</v>
      </c>
      <c r="F15" s="90">
        <v>0.77300000000000002</v>
      </c>
      <c r="G15" s="90">
        <v>0.78858193374213903</v>
      </c>
      <c r="H15" s="90">
        <f>3*0.272814566577404</f>
        <v>0.81844369973221198</v>
      </c>
      <c r="I15" s="236">
        <f>0.550333331547055*12/8</f>
        <v>0.82549999732058255</v>
      </c>
      <c r="J15" s="236">
        <v>0.83883023624346098</v>
      </c>
      <c r="K15" s="236">
        <v>0.86639107068901322</v>
      </c>
      <c r="L15" s="236">
        <v>0.88637883407890328</v>
      </c>
      <c r="M15" s="236">
        <v>0.89214905294073998</v>
      </c>
      <c r="N15" s="10">
        <v>0.89247211081565336</v>
      </c>
      <c r="O15" s="10">
        <v>0.89681033151842648</v>
      </c>
      <c r="P15" s="10">
        <v>0.90419806588166662</v>
      </c>
      <c r="Q15" s="10">
        <v>0.91118536704781872</v>
      </c>
      <c r="R15" s="10">
        <v>0.91587461925972269</v>
      </c>
      <c r="S15" s="10">
        <v>0.92106374979123984</v>
      </c>
      <c r="T15" s="10">
        <v>0.92436723430386025</v>
      </c>
      <c r="U15" s="10">
        <v>0.92435986780272561</v>
      </c>
      <c r="V15" s="10">
        <v>0.92170982149940972</v>
      </c>
      <c r="W15" s="10">
        <v>0.91753569092296761</v>
      </c>
      <c r="X15" s="10">
        <v>0.91077528860806722</v>
      </c>
      <c r="Y15" s="10">
        <v>0.90141067547662579</v>
      </c>
      <c r="Z15" s="10">
        <v>0.89019331216033226</v>
      </c>
      <c r="AA15" s="10">
        <v>0.87693587236774784</v>
      </c>
      <c r="AB15" s="10">
        <v>0.86125654239098381</v>
      </c>
      <c r="AC15" s="10">
        <v>0.84399559502800303</v>
      </c>
      <c r="AD15" s="10">
        <v>0.82516745777714362</v>
      </c>
      <c r="AE15" s="10">
        <v>0.80446542609188798</v>
      </c>
      <c r="AF15" s="10">
        <v>0.78174773878902559</v>
      </c>
      <c r="AG15" s="10">
        <v>0.75698271997316535</v>
      </c>
      <c r="AH15" s="10">
        <v>0.72965469288674245</v>
      </c>
      <c r="AI15" s="10">
        <v>0.70012592836269572</v>
      </c>
      <c r="AJ15" s="10">
        <v>0.66905262253388131</v>
      </c>
      <c r="AK15" s="10">
        <v>0.63700869282516326</v>
      </c>
      <c r="AL15" s="10">
        <v>0.60424396427353333</v>
      </c>
      <c r="AM15" s="10">
        <v>0.57095656272302997</v>
      </c>
      <c r="AN15" s="10">
        <v>0.53740627347338987</v>
      </c>
      <c r="AO15" s="10">
        <v>0.50381614289004661</v>
      </c>
      <c r="AP15" s="10">
        <v>0.47039495796612335</v>
      </c>
      <c r="AQ15" s="10">
        <v>0.43734531672549998</v>
      </c>
      <c r="AR15" s="10">
        <v>0.40487255118606658</v>
      </c>
      <c r="AS15" s="10">
        <v>0.3731548026403666</v>
      </c>
      <c r="AT15" s="10">
        <v>0.31258221389750002</v>
      </c>
      <c r="AU15" s="10">
        <v>0.2840327664479666</v>
      </c>
      <c r="AV15" s="10">
        <v>0.25678710282043332</v>
      </c>
      <c r="AW15" s="10">
        <v>0.23093832965353331</v>
      </c>
      <c r="AX15" s="10">
        <v>0.2065843059211333</v>
      </c>
      <c r="AY15" s="10">
        <v>0.18376143646889997</v>
      </c>
    </row>
    <row r="16" spans="1:51" x14ac:dyDescent="0.2">
      <c r="A16" s="20" t="s">
        <v>829</v>
      </c>
      <c r="B16" s="9"/>
      <c r="C16" s="90"/>
      <c r="D16" s="90"/>
      <c r="E16" s="90">
        <v>14.101838651089306</v>
      </c>
      <c r="F16" s="90">
        <v>15.289161494110528</v>
      </c>
      <c r="G16" s="90">
        <v>15.554</v>
      </c>
      <c r="H16" s="90">
        <v>11.829000000000001</v>
      </c>
      <c r="I16" s="236">
        <v>12.185333333333334</v>
      </c>
      <c r="J16" s="236">
        <v>12.134333333333334</v>
      </c>
      <c r="K16" s="236">
        <v>12.048666666666666</v>
      </c>
      <c r="L16" s="236">
        <v>11.959</v>
      </c>
      <c r="M16" s="236">
        <v>11.872999999999999</v>
      </c>
      <c r="N16" s="10">
        <v>11.784000000000001</v>
      </c>
      <c r="O16" s="10">
        <v>11.534862167396563</v>
      </c>
      <c r="P16" s="10">
        <v>11.426709284738179</v>
      </c>
      <c r="Q16" s="10">
        <v>11.28055679989428</v>
      </c>
      <c r="R16" s="10">
        <v>11.101272725549794</v>
      </c>
      <c r="S16" s="10">
        <v>10.897574489029536</v>
      </c>
      <c r="T16" s="10">
        <v>10.669509970146041</v>
      </c>
      <c r="U16" s="10">
        <v>10.418048206317417</v>
      </c>
      <c r="V16" s="10">
        <v>10.145637000754034</v>
      </c>
      <c r="W16" s="10">
        <v>9.8543542940064324</v>
      </c>
      <c r="X16" s="10">
        <v>9.5450965931331577</v>
      </c>
      <c r="Y16" s="10">
        <v>9.2199118433024001</v>
      </c>
      <c r="Z16" s="10">
        <v>8.8810813933436581</v>
      </c>
      <c r="AA16" s="10">
        <v>8.5301009410358155</v>
      </c>
      <c r="AB16" s="10">
        <v>8.1687743750267305</v>
      </c>
      <c r="AC16" s="10">
        <v>7.7993867765655347</v>
      </c>
      <c r="AD16" s="10">
        <v>7.4233749192706817</v>
      </c>
      <c r="AE16" s="10">
        <v>7.0422474869520757</v>
      </c>
      <c r="AF16" s="10">
        <v>6.6578579349057723</v>
      </c>
      <c r="AG16" s="10">
        <v>6.2721753897722543</v>
      </c>
      <c r="AH16" s="10">
        <v>5.8873253899541798</v>
      </c>
      <c r="AI16" s="10">
        <v>5.5061406797930372</v>
      </c>
      <c r="AJ16" s="10">
        <v>5.1312025655474622</v>
      </c>
      <c r="AK16" s="10">
        <v>4.764551777597557</v>
      </c>
      <c r="AL16" s="10">
        <v>4.4077516197510302</v>
      </c>
      <c r="AM16" s="10">
        <v>4.0621983912189457</v>
      </c>
      <c r="AN16" s="10">
        <v>3.7291673946875981</v>
      </c>
      <c r="AO16" s="10">
        <v>3.4097367958777527</v>
      </c>
      <c r="AP16" s="10">
        <v>3.1048160582775162</v>
      </c>
      <c r="AQ16" s="10">
        <v>2.8151554527510285</v>
      </c>
      <c r="AR16" s="10">
        <v>2.5413436169880188</v>
      </c>
      <c r="AS16" s="10">
        <v>2.2837938817716732</v>
      </c>
      <c r="AT16" s="10">
        <v>1.8183630193976779</v>
      </c>
      <c r="AU16" s="10">
        <v>1.6105575706342032</v>
      </c>
      <c r="AV16" s="10">
        <v>1.4191487777412817</v>
      </c>
      <c r="AW16" s="10">
        <v>1.2438250140801734</v>
      </c>
      <c r="AX16" s="10">
        <v>1.0841567652681452</v>
      </c>
      <c r="AY16" s="10">
        <v>0.93958454189872331</v>
      </c>
    </row>
    <row r="17" spans="1:51" x14ac:dyDescent="0.2">
      <c r="A17" s="20" t="s">
        <v>629</v>
      </c>
      <c r="B17" s="9"/>
      <c r="C17" s="90"/>
      <c r="D17" s="90"/>
      <c r="E17" s="90">
        <v>3.5098800547468927</v>
      </c>
      <c r="F17" s="90">
        <v>3.5964454423520782</v>
      </c>
      <c r="G17" s="90">
        <v>4.0076666666666663</v>
      </c>
      <c r="H17" s="90">
        <v>3.5739999999999998</v>
      </c>
      <c r="I17" s="236">
        <v>2.9826666666666664</v>
      </c>
      <c r="J17" s="236">
        <v>2.9546666666666663</v>
      </c>
      <c r="K17" s="236">
        <v>2.9119999999999999</v>
      </c>
      <c r="L17" s="236">
        <v>2.8559999999999999</v>
      </c>
      <c r="M17" s="236">
        <v>2.7893333333333334</v>
      </c>
      <c r="N17" s="10">
        <v>2.7146666666666661</v>
      </c>
      <c r="O17" s="10">
        <v>2.7278053438691177</v>
      </c>
      <c r="P17" s="10">
        <v>2.7365105439247377</v>
      </c>
      <c r="Q17" s="10">
        <v>2.7314820610416133</v>
      </c>
      <c r="R17" s="10">
        <v>2.7220852033882612</v>
      </c>
      <c r="S17" s="10">
        <v>2.7081622577544189</v>
      </c>
      <c r="T17" s="10">
        <v>2.6805748999844283</v>
      </c>
      <c r="U17" s="10">
        <v>2.6489831808242248</v>
      </c>
      <c r="V17" s="10">
        <v>2.604545412966492</v>
      </c>
      <c r="W17" s="10">
        <v>2.5565977980067833</v>
      </c>
      <c r="X17" s="10">
        <v>2.5057805009232772</v>
      </c>
      <c r="Y17" s="10">
        <v>2.4434995430091826</v>
      </c>
      <c r="Z17" s="10">
        <v>2.3790834320283634</v>
      </c>
      <c r="AA17" s="10">
        <v>2.3040531173464966</v>
      </c>
      <c r="AB17" s="10">
        <v>2.2277366969838637</v>
      </c>
      <c r="AC17" s="10">
        <v>2.1505990505761341</v>
      </c>
      <c r="AD17" s="10">
        <v>2.0646154844153077</v>
      </c>
      <c r="AE17" s="10">
        <v>1.9785533591262154</v>
      </c>
      <c r="AF17" s="10">
        <v>1.8849421981039822</v>
      </c>
      <c r="AG17" s="10">
        <v>1.7922222820182934</v>
      </c>
      <c r="AH17" s="10">
        <v>1.6936958864929825</v>
      </c>
      <c r="AI17" s="10">
        <v>1.5974754550679893</v>
      </c>
      <c r="AJ17" s="10">
        <v>1.4972734432282264</v>
      </c>
      <c r="AK17" s="10">
        <v>1.4003668506797</v>
      </c>
      <c r="AL17" s="10">
        <v>1.3009574119851015</v>
      </c>
      <c r="AM17" s="10">
        <v>1.2056283374563324</v>
      </c>
      <c r="AN17" s="10">
        <v>1.1147200427157975</v>
      </c>
      <c r="AO17" s="10">
        <v>1.0233263222130882</v>
      </c>
      <c r="AP17" s="10">
        <v>0.93690482922661111</v>
      </c>
      <c r="AQ17" s="10">
        <v>0.85113742653385926</v>
      </c>
      <c r="AR17" s="10">
        <v>0.7707255738008234</v>
      </c>
      <c r="AS17" s="10">
        <v>0.6957548372920539</v>
      </c>
      <c r="AT17" s="10">
        <v>0.5552834080048582</v>
      </c>
      <c r="AU17" s="10">
        <v>0.49332872017333818</v>
      </c>
      <c r="AV17" s="10">
        <v>0.43412578725775741</v>
      </c>
      <c r="AW17" s="10">
        <v>0.38028589712659711</v>
      </c>
      <c r="AX17" s="10">
        <v>0.33162014343341206</v>
      </c>
      <c r="AY17" s="10">
        <v>0.28602000892250679</v>
      </c>
    </row>
    <row r="18" spans="1:51" x14ac:dyDescent="0.2">
      <c r="A18" s="20" t="s">
        <v>630</v>
      </c>
      <c r="B18" s="9"/>
      <c r="C18" s="90"/>
      <c r="D18" s="90"/>
      <c r="E18" s="90">
        <f t="shared" ref="E18:AJ18" si="2">E16-E17</f>
        <v>10.591958596342414</v>
      </c>
      <c r="F18" s="90">
        <f t="shared" si="2"/>
        <v>11.692716051758451</v>
      </c>
      <c r="G18" s="90">
        <f t="shared" si="2"/>
        <v>11.546333333333333</v>
      </c>
      <c r="H18" s="90">
        <f t="shared" si="2"/>
        <v>8.2550000000000008</v>
      </c>
      <c r="I18" s="236">
        <f t="shared" si="2"/>
        <v>9.2026666666666674</v>
      </c>
      <c r="J18" s="236">
        <f t="shared" si="2"/>
        <v>9.1796666666666678</v>
      </c>
      <c r="K18" s="236">
        <f t="shared" si="2"/>
        <v>9.1366666666666667</v>
      </c>
      <c r="L18" s="236">
        <f t="shared" si="2"/>
        <v>9.1029999999999998</v>
      </c>
      <c r="M18" s="236">
        <f t="shared" si="2"/>
        <v>9.0836666666666659</v>
      </c>
      <c r="N18" s="10">
        <f t="shared" si="2"/>
        <v>9.0693333333333346</v>
      </c>
      <c r="O18" s="10">
        <f t="shared" si="2"/>
        <v>8.8070568235274447</v>
      </c>
      <c r="P18" s="10">
        <f t="shared" si="2"/>
        <v>8.6901987408134413</v>
      </c>
      <c r="Q18" s="10">
        <f t="shared" si="2"/>
        <v>8.5490747388526671</v>
      </c>
      <c r="R18" s="10">
        <f t="shared" si="2"/>
        <v>8.3791875221615335</v>
      </c>
      <c r="S18" s="10">
        <f t="shared" si="2"/>
        <v>8.1894122312751172</v>
      </c>
      <c r="T18" s="10">
        <f t="shared" si="2"/>
        <v>7.9889350701616131</v>
      </c>
      <c r="U18" s="10">
        <f t="shared" si="2"/>
        <v>7.7690650254931928</v>
      </c>
      <c r="V18" s="10">
        <f t="shared" si="2"/>
        <v>7.541091587787542</v>
      </c>
      <c r="W18" s="10">
        <f t="shared" si="2"/>
        <v>7.297756495999649</v>
      </c>
      <c r="X18" s="10">
        <f t="shared" si="2"/>
        <v>7.0393160922098801</v>
      </c>
      <c r="Y18" s="10">
        <f t="shared" si="2"/>
        <v>6.7764123002932175</v>
      </c>
      <c r="Z18" s="10">
        <f t="shared" si="2"/>
        <v>6.5019979613152952</v>
      </c>
      <c r="AA18" s="10">
        <f t="shared" si="2"/>
        <v>6.2260478236893189</v>
      </c>
      <c r="AB18" s="10">
        <f t="shared" si="2"/>
        <v>5.9410376780428669</v>
      </c>
      <c r="AC18" s="10">
        <f t="shared" si="2"/>
        <v>5.6487877259894006</v>
      </c>
      <c r="AD18" s="10">
        <f t="shared" si="2"/>
        <v>5.358759434855374</v>
      </c>
      <c r="AE18" s="10">
        <f t="shared" si="2"/>
        <v>5.06369412782586</v>
      </c>
      <c r="AF18" s="10">
        <f t="shared" si="2"/>
        <v>4.7729157368017905</v>
      </c>
      <c r="AG18" s="10">
        <f t="shared" si="2"/>
        <v>4.4799531077539605</v>
      </c>
      <c r="AH18" s="10">
        <f t="shared" si="2"/>
        <v>4.1936295034611977</v>
      </c>
      <c r="AI18" s="10">
        <f t="shared" si="2"/>
        <v>3.908665224725048</v>
      </c>
      <c r="AJ18" s="10">
        <f t="shared" si="2"/>
        <v>3.6339291223192358</v>
      </c>
      <c r="AK18" s="10">
        <f t="shared" ref="AK18:AY18" si="3">AK16-AK17</f>
        <v>3.364184926917857</v>
      </c>
      <c r="AL18" s="10">
        <f t="shared" si="3"/>
        <v>3.1067942077659287</v>
      </c>
      <c r="AM18" s="10">
        <f t="shared" si="3"/>
        <v>2.8565700537626135</v>
      </c>
      <c r="AN18" s="10">
        <f t="shared" si="3"/>
        <v>2.6144473519718003</v>
      </c>
      <c r="AO18" s="10">
        <f t="shared" si="3"/>
        <v>2.3864104736646645</v>
      </c>
      <c r="AP18" s="10">
        <f t="shared" si="3"/>
        <v>2.1679112290509051</v>
      </c>
      <c r="AQ18" s="10">
        <f t="shared" si="3"/>
        <v>1.9640180262171691</v>
      </c>
      <c r="AR18" s="10">
        <f t="shared" si="3"/>
        <v>1.7706180431871954</v>
      </c>
      <c r="AS18" s="10">
        <f t="shared" si="3"/>
        <v>1.5880390444796193</v>
      </c>
      <c r="AT18" s="10">
        <f t="shared" si="3"/>
        <v>1.2630796113928198</v>
      </c>
      <c r="AU18" s="10">
        <f t="shared" si="3"/>
        <v>1.1172288504608652</v>
      </c>
      <c r="AV18" s="10">
        <f t="shared" si="3"/>
        <v>0.98502299048352426</v>
      </c>
      <c r="AW18" s="10">
        <f t="shared" si="3"/>
        <v>0.86353911695357632</v>
      </c>
      <c r="AX18" s="10">
        <f t="shared" si="3"/>
        <v>0.75253662183473313</v>
      </c>
      <c r="AY18" s="10">
        <f t="shared" si="3"/>
        <v>0.65356453297621653</v>
      </c>
    </row>
    <row r="19" spans="1:51" x14ac:dyDescent="0.2"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</row>
    <row r="20" spans="1:51" ht="18.75" x14ac:dyDescent="0.3">
      <c r="A20" s="21" t="s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51" x14ac:dyDescent="0.2">
      <c r="A21" s="26" t="s">
        <v>862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</row>
    <row r="22" spans="1:51" x14ac:dyDescent="0.2">
      <c r="A22" s="22"/>
      <c r="B22" s="23" t="s">
        <v>830</v>
      </c>
      <c r="C22" s="23" t="s">
        <v>831</v>
      </c>
      <c r="D22" s="23" t="s">
        <v>832</v>
      </c>
      <c r="E22" s="23" t="s">
        <v>770</v>
      </c>
      <c r="F22" s="23" t="s">
        <v>771</v>
      </c>
      <c r="G22" s="23" t="s">
        <v>772</v>
      </c>
      <c r="H22" s="23" t="s">
        <v>773</v>
      </c>
      <c r="I22" s="23" t="s">
        <v>774</v>
      </c>
      <c r="J22" s="23" t="s">
        <v>775</v>
      </c>
      <c r="K22" s="23" t="s">
        <v>776</v>
      </c>
      <c r="L22" s="23" t="s">
        <v>777</v>
      </c>
      <c r="M22" s="23" t="s">
        <v>778</v>
      </c>
      <c r="N22" s="23" t="s">
        <v>779</v>
      </c>
      <c r="O22" s="23" t="s">
        <v>780</v>
      </c>
      <c r="P22" s="23" t="s">
        <v>781</v>
      </c>
      <c r="Q22" s="91" t="s">
        <v>782</v>
      </c>
      <c r="R22" s="91" t="s">
        <v>783</v>
      </c>
      <c r="S22" s="91" t="s">
        <v>784</v>
      </c>
      <c r="T22" s="91" t="s">
        <v>785</v>
      </c>
      <c r="U22" s="91" t="s">
        <v>786</v>
      </c>
      <c r="V22" s="23" t="s">
        <v>787</v>
      </c>
      <c r="W22" s="23" t="s">
        <v>788</v>
      </c>
      <c r="X22" s="23" t="s">
        <v>789</v>
      </c>
      <c r="Y22" s="23" t="s">
        <v>790</v>
      </c>
      <c r="Z22" s="23" t="s">
        <v>791</v>
      </c>
      <c r="AA22" s="23" t="s">
        <v>792</v>
      </c>
      <c r="AB22" s="23" t="s">
        <v>793</v>
      </c>
      <c r="AC22" s="23" t="s">
        <v>794</v>
      </c>
      <c r="AD22" s="23" t="s">
        <v>795</v>
      </c>
      <c r="AE22" s="23" t="s">
        <v>796</v>
      </c>
      <c r="AF22" s="23" t="s">
        <v>797</v>
      </c>
      <c r="AG22" s="23" t="s">
        <v>798</v>
      </c>
      <c r="AH22" s="23" t="s">
        <v>799</v>
      </c>
      <c r="AI22" s="23" t="s">
        <v>800</v>
      </c>
      <c r="AJ22" s="23" t="s">
        <v>801</v>
      </c>
      <c r="AK22" s="23" t="s">
        <v>802</v>
      </c>
      <c r="AL22" s="23" t="s">
        <v>803</v>
      </c>
      <c r="AM22" s="23" t="s">
        <v>804</v>
      </c>
      <c r="AN22" s="23" t="s">
        <v>805</v>
      </c>
      <c r="AO22" s="23" t="s">
        <v>806</v>
      </c>
      <c r="AP22" s="23" t="s">
        <v>807</v>
      </c>
      <c r="AQ22" s="23" t="s">
        <v>808</v>
      </c>
      <c r="AR22" s="23" t="s">
        <v>809</v>
      </c>
      <c r="AS22" s="23" t="s">
        <v>810</v>
      </c>
      <c r="AT22" s="23" t="s">
        <v>811</v>
      </c>
      <c r="AU22" s="23" t="s">
        <v>812</v>
      </c>
      <c r="AV22" s="23" t="s">
        <v>813</v>
      </c>
      <c r="AW22" s="23" t="s">
        <v>814</v>
      </c>
      <c r="AX22" s="23" t="s">
        <v>815</v>
      </c>
      <c r="AY22" s="23" t="s">
        <v>816</v>
      </c>
    </row>
    <row r="23" spans="1:51" x14ac:dyDescent="0.2">
      <c r="A23" s="27" t="s">
        <v>863</v>
      </c>
      <c r="B23" s="28">
        <v>234.93085400000001</v>
      </c>
      <c r="C23" s="28">
        <v>329.71210839999998</v>
      </c>
      <c r="D23" s="28">
        <v>392.97075079999996</v>
      </c>
      <c r="E23" s="28">
        <v>440.60464719999999</v>
      </c>
      <c r="F23" s="28">
        <v>553.37520919999997</v>
      </c>
      <c r="G23" s="28">
        <v>650.78662320000001</v>
      </c>
      <c r="H23" s="28">
        <v>613.31438600000001</v>
      </c>
      <c r="I23" s="28">
        <v>727.62862640000003</v>
      </c>
      <c r="J23" s="28">
        <v>878.29898519999995</v>
      </c>
      <c r="K23" s="28">
        <v>976.72428719999994</v>
      </c>
      <c r="L23" s="28">
        <v>957.17836000000011</v>
      </c>
      <c r="M23" s="28">
        <v>1036.8515212000002</v>
      </c>
      <c r="N23" s="28">
        <v>994.43827880000003</v>
      </c>
      <c r="O23" s="28">
        <v>1115.9777736000001</v>
      </c>
      <c r="P23" s="28">
        <v>1205.9000000000001</v>
      </c>
      <c r="Q23" s="92">
        <v>1250</v>
      </c>
      <c r="R23" s="92">
        <v>1305.5767752262038</v>
      </c>
      <c r="S23" s="92">
        <v>1398.2668118308832</v>
      </c>
      <c r="T23" s="92">
        <v>1482.5845561553572</v>
      </c>
      <c r="U23" s="92">
        <v>1567.9618419185838</v>
      </c>
      <c r="V23" s="75">
        <v>1651.8768847663077</v>
      </c>
      <c r="W23" s="75">
        <v>1730.918762797332</v>
      </c>
      <c r="X23" s="75">
        <v>1807.8062152118189</v>
      </c>
      <c r="Y23" s="75">
        <v>1882.5283196577266</v>
      </c>
      <c r="Z23" s="75">
        <v>1955.108362876663</v>
      </c>
      <c r="AA23" s="75">
        <v>2025.597482808251</v>
      </c>
      <c r="AB23" s="75">
        <v>2094.0689349269305</v>
      </c>
      <c r="AC23" s="75">
        <v>2160.6130221466251</v>
      </c>
      <c r="AD23" s="75">
        <v>2225.3326896278345</v>
      </c>
      <c r="AE23" s="75">
        <v>2288.3397591556559</v>
      </c>
      <c r="AF23" s="75">
        <v>2349.8468852124333</v>
      </c>
      <c r="AG23" s="75">
        <v>2412.0452761489164</v>
      </c>
      <c r="AH23" s="75">
        <v>2479.7415980231253</v>
      </c>
      <c r="AI23" s="75">
        <v>2551.2313424949912</v>
      </c>
      <c r="AJ23" s="75">
        <v>2627.0276472771529</v>
      </c>
      <c r="AK23" s="75">
        <v>2705.4032700797861</v>
      </c>
      <c r="AL23" s="75">
        <v>2782.1311111926643</v>
      </c>
      <c r="AM23" s="75">
        <v>2856.9757916756157</v>
      </c>
      <c r="AN23" s="75">
        <v>2931.1235058496532</v>
      </c>
      <c r="AO23" s="75">
        <v>3000.7672765112266</v>
      </c>
      <c r="AP23" s="75">
        <v>3067.6425064066784</v>
      </c>
      <c r="AQ23" s="75">
        <v>3135.1925041251102</v>
      </c>
      <c r="AR23" s="75">
        <v>3204.5799033397775</v>
      </c>
      <c r="AS23" s="75">
        <v>3276.2992717128695</v>
      </c>
      <c r="AT23" s="75">
        <v>3350.2792457056353</v>
      </c>
      <c r="AU23" s="75">
        <v>3426.3501792426632</v>
      </c>
      <c r="AV23" s="75">
        <v>3504.3996141161247</v>
      </c>
      <c r="AW23" s="75">
        <v>3584.3246585975276</v>
      </c>
      <c r="AX23" s="75">
        <v>3665.9837672880917</v>
      </c>
      <c r="AY23" s="75">
        <v>3749.305900749494</v>
      </c>
    </row>
    <row r="24" spans="1:51" x14ac:dyDescent="0.2">
      <c r="A24" s="27" t="s">
        <v>265</v>
      </c>
      <c r="B24" s="28">
        <v>13.2096</v>
      </c>
      <c r="C24" s="28">
        <v>27.69455</v>
      </c>
      <c r="D24" s="28">
        <v>50.679600000000001</v>
      </c>
      <c r="E24" s="28">
        <v>79.633150000000001</v>
      </c>
      <c r="F24" s="28">
        <v>108.05420000000001</v>
      </c>
      <c r="G24" s="28">
        <v>137.52834999999999</v>
      </c>
      <c r="H24" s="28">
        <v>160.64660000000001</v>
      </c>
      <c r="I24" s="28">
        <v>125.3184</v>
      </c>
      <c r="J24" s="28">
        <v>111.47444999999999</v>
      </c>
      <c r="K24" s="28">
        <v>146.05984999999998</v>
      </c>
      <c r="L24" s="28">
        <v>169.06610000000001</v>
      </c>
      <c r="M24" s="28">
        <v>184.91519999999997</v>
      </c>
      <c r="N24" s="28">
        <v>213.93615</v>
      </c>
      <c r="O24" s="28">
        <v>152.631281</v>
      </c>
      <c r="P24" s="28">
        <v>94.7</v>
      </c>
      <c r="Q24" s="92">
        <v>93.8814356596517</v>
      </c>
      <c r="R24" s="92">
        <v>105.3905572378586</v>
      </c>
      <c r="S24" s="92">
        <v>105.41996575177002</v>
      </c>
      <c r="T24" s="92">
        <v>124.25847848665147</v>
      </c>
      <c r="U24" s="92">
        <v>144.74030833432644</v>
      </c>
      <c r="V24" s="75">
        <v>160.44404429790495</v>
      </c>
      <c r="W24" s="75">
        <v>173.69005149227587</v>
      </c>
      <c r="X24" s="75">
        <v>185.69389333635206</v>
      </c>
      <c r="Y24" s="75">
        <v>197.14563732069701</v>
      </c>
      <c r="Z24" s="75">
        <v>208.34652543821269</v>
      </c>
      <c r="AA24" s="75">
        <v>219.46374630212756</v>
      </c>
      <c r="AB24" s="75">
        <v>230.5659889116817</v>
      </c>
      <c r="AC24" s="75">
        <v>241.71549662572778</v>
      </c>
      <c r="AD24" s="75">
        <v>252.93079101994624</v>
      </c>
      <c r="AE24" s="75">
        <v>264.20474948919821</v>
      </c>
      <c r="AF24" s="75">
        <v>275.51273532500898</v>
      </c>
      <c r="AG24" s="75">
        <v>286.84136338291756</v>
      </c>
      <c r="AH24" s="75">
        <v>298.21730250560347</v>
      </c>
      <c r="AI24" s="75">
        <v>309.68138263923817</v>
      </c>
      <c r="AJ24" s="75">
        <v>321.2622373317048</v>
      </c>
      <c r="AK24" s="75">
        <v>332.97703642901689</v>
      </c>
      <c r="AL24" s="75">
        <v>344.80356732387787</v>
      </c>
      <c r="AM24" s="75">
        <v>356.69194246961416</v>
      </c>
      <c r="AN24" s="75">
        <v>368.59733201195962</v>
      </c>
      <c r="AO24" s="75">
        <v>380.45680945595711</v>
      </c>
      <c r="AP24" s="75">
        <v>392.21733985125326</v>
      </c>
      <c r="AQ24" s="75">
        <v>403.86072874174789</v>
      </c>
      <c r="AR24" s="75">
        <v>415.39795270873663</v>
      </c>
      <c r="AS24" s="75">
        <v>426.84944700276134</v>
      </c>
      <c r="AT24" s="75">
        <v>438.2370072426412</v>
      </c>
      <c r="AU24" s="75">
        <v>449.57965611156823</v>
      </c>
      <c r="AV24" s="75">
        <v>460.89354867353359</v>
      </c>
      <c r="AW24" s="75">
        <v>472.19253974398094</v>
      </c>
      <c r="AX24" s="75">
        <v>483.48813844435466</v>
      </c>
      <c r="AY24" s="75">
        <v>494.78983802286791</v>
      </c>
    </row>
    <row r="25" spans="1:51" x14ac:dyDescent="0.2">
      <c r="A25" s="27" t="s">
        <v>864</v>
      </c>
      <c r="B25" s="28">
        <v>9.9423500000000011</v>
      </c>
      <c r="C25" s="28">
        <v>25.795300000000001</v>
      </c>
      <c r="D25" s="28">
        <v>48.683350000000004</v>
      </c>
      <c r="E25" s="28">
        <v>80.3827</v>
      </c>
      <c r="F25" s="28">
        <v>114.63715000000001</v>
      </c>
      <c r="G25" s="28">
        <v>151.113</v>
      </c>
      <c r="H25" s="28">
        <v>197.85424999999998</v>
      </c>
      <c r="I25" s="28">
        <v>255.59524999999999</v>
      </c>
      <c r="J25" s="28">
        <v>317.15300000000002</v>
      </c>
      <c r="K25" s="28">
        <v>383.65369999999996</v>
      </c>
      <c r="L25" s="28">
        <v>464.28100000000001</v>
      </c>
      <c r="M25" s="28">
        <v>532.72114999999997</v>
      </c>
      <c r="N25" s="28">
        <v>620.62120000000004</v>
      </c>
      <c r="O25" s="28">
        <v>649.32548399999996</v>
      </c>
      <c r="P25" s="28">
        <v>553.4</v>
      </c>
      <c r="Q25" s="92">
        <v>610.714651</v>
      </c>
      <c r="R25" s="92">
        <v>681.3760480422269</v>
      </c>
      <c r="S25" s="92">
        <v>749.01707934436365</v>
      </c>
      <c r="T25" s="92">
        <v>820.0245733954431</v>
      </c>
      <c r="U25" s="92">
        <v>891.92357074780466</v>
      </c>
      <c r="V25" s="75">
        <v>961.56309667698633</v>
      </c>
      <c r="W25" s="75">
        <v>1030.6156842940752</v>
      </c>
      <c r="X25" s="75">
        <v>1095.9576706170774</v>
      </c>
      <c r="Y25" s="75">
        <v>1160.8259137626833</v>
      </c>
      <c r="Z25" s="75">
        <v>1227.9008196888115</v>
      </c>
      <c r="AA25" s="75">
        <v>1292.7935268741292</v>
      </c>
      <c r="AB25" s="75">
        <v>1353.9799088228533</v>
      </c>
      <c r="AC25" s="75">
        <v>1415.4843169959129</v>
      </c>
      <c r="AD25" s="75">
        <v>1476.5615554317412</v>
      </c>
      <c r="AE25" s="75">
        <v>1538.1494118032133</v>
      </c>
      <c r="AF25" s="75">
        <v>1600.0650769227448</v>
      </c>
      <c r="AG25" s="75">
        <v>1662.2126478600376</v>
      </c>
      <c r="AH25" s="75">
        <v>1724.7383031042791</v>
      </c>
      <c r="AI25" s="75">
        <v>1787.8732860822442</v>
      </c>
      <c r="AJ25" s="75">
        <v>1851.7789403595032</v>
      </c>
      <c r="AK25" s="75">
        <v>1916.5504893358407</v>
      </c>
      <c r="AL25" s="75">
        <v>1982.0565662299875</v>
      </c>
      <c r="AM25" s="75">
        <v>2048.0075774075331</v>
      </c>
      <c r="AN25" s="75">
        <v>2114.1440007945366</v>
      </c>
      <c r="AO25" s="75">
        <v>2180.1032476696687</v>
      </c>
      <c r="AP25" s="75">
        <v>2245.580153642527</v>
      </c>
      <c r="AQ25" s="75">
        <v>2310.4692729962126</v>
      </c>
      <c r="AR25" s="75">
        <v>2374.8316590860131</v>
      </c>
      <c r="AS25" s="75">
        <v>2438.7817726271128</v>
      </c>
      <c r="AT25" s="75">
        <v>2502.4412405608323</v>
      </c>
      <c r="AU25" s="75">
        <v>2565.915404930518</v>
      </c>
      <c r="AV25" s="75">
        <v>2629.2929533067586</v>
      </c>
      <c r="AW25" s="75">
        <v>2692.6492903103454</v>
      </c>
      <c r="AX25" s="75">
        <v>2756.0463791365592</v>
      </c>
      <c r="AY25" s="75">
        <v>2819.5346996295652</v>
      </c>
    </row>
    <row r="26" spans="1:51" x14ac:dyDescent="0.2">
      <c r="A26" s="27" t="s">
        <v>865</v>
      </c>
      <c r="B26" s="28">
        <v>0.1318</v>
      </c>
      <c r="C26" s="28">
        <v>0.25755</v>
      </c>
      <c r="D26" s="28">
        <v>0.57889999999999997</v>
      </c>
      <c r="E26" s="28">
        <v>1.4560999999999997</v>
      </c>
      <c r="F26" s="28">
        <v>1.4548000000000001</v>
      </c>
      <c r="G26" s="28">
        <v>0.66484999999999994</v>
      </c>
      <c r="H26" s="28">
        <v>2.4987999999999997</v>
      </c>
      <c r="I26" s="28">
        <v>4.3253500000000003</v>
      </c>
      <c r="J26" s="28">
        <v>2.7087500000000002</v>
      </c>
      <c r="K26" s="28">
        <v>6.5157999999999996</v>
      </c>
      <c r="L26" s="28">
        <v>7.2706</v>
      </c>
      <c r="M26" s="28">
        <v>5.247600000000002</v>
      </c>
      <c r="N26" s="28">
        <v>7.1947499999999991</v>
      </c>
      <c r="O26" s="28">
        <v>10.475100000000005</v>
      </c>
      <c r="P26" s="28">
        <v>20.100000000000001</v>
      </c>
      <c r="Q26" s="92">
        <v>30.177292132711504</v>
      </c>
      <c r="R26" s="92">
        <v>33.717553406713357</v>
      </c>
      <c r="S26" s="92">
        <v>36.925187117519428</v>
      </c>
      <c r="T26" s="92">
        <v>41.903359891594711</v>
      </c>
      <c r="U26" s="92">
        <v>46.755981059039577</v>
      </c>
      <c r="V26" s="75">
        <v>51.402804314566865</v>
      </c>
      <c r="W26" s="75">
        <v>55.621561214989441</v>
      </c>
      <c r="X26" s="75">
        <v>59.419401908916178</v>
      </c>
      <c r="Y26" s="75">
        <v>66.213881931735244</v>
      </c>
      <c r="Z26" s="75">
        <v>70.646951002088372</v>
      </c>
      <c r="AA26" s="75">
        <v>77.978878172958488</v>
      </c>
      <c r="AB26" s="75">
        <v>86.408424556953605</v>
      </c>
      <c r="AC26" s="75">
        <v>93.560153946407709</v>
      </c>
      <c r="AD26" s="75">
        <v>101.29547013992719</v>
      </c>
      <c r="AE26" s="75">
        <v>109.68156645274885</v>
      </c>
      <c r="AF26" s="75">
        <v>118.82976468104563</v>
      </c>
      <c r="AG26" s="75">
        <v>128.83799982198713</v>
      </c>
      <c r="AH26" s="75">
        <v>139.87743990508426</v>
      </c>
      <c r="AI26" s="75">
        <v>152.12562115868059</v>
      </c>
      <c r="AJ26" s="75">
        <v>165.7677075660531</v>
      </c>
      <c r="AK26" s="75">
        <v>180.99657913071371</v>
      </c>
      <c r="AL26" s="75">
        <v>197.9749561669974</v>
      </c>
      <c r="AM26" s="75">
        <v>216.99573476429435</v>
      </c>
      <c r="AN26" s="75">
        <v>238.45978772885292</v>
      </c>
      <c r="AO26" s="75">
        <v>260.81105712682643</v>
      </c>
      <c r="AP26" s="75">
        <v>284.00582010930543</v>
      </c>
      <c r="AQ26" s="75">
        <v>308.01874389313321</v>
      </c>
      <c r="AR26" s="75">
        <v>332.8450630287474</v>
      </c>
      <c r="AS26" s="75">
        <v>358.48965076261811</v>
      </c>
      <c r="AT26" s="75">
        <v>384.96172955300307</v>
      </c>
      <c r="AU26" s="75">
        <v>412.27134299559771</v>
      </c>
      <c r="AV26" s="75">
        <v>440.42873029811943</v>
      </c>
      <c r="AW26" s="75">
        <v>469.44433708780343</v>
      </c>
      <c r="AX26" s="75">
        <v>499.3283246969059</v>
      </c>
      <c r="AY26" s="75">
        <v>530.0904709829897</v>
      </c>
    </row>
    <row r="27" spans="1:51" x14ac:dyDescent="0.2">
      <c r="A27" s="29" t="s">
        <v>866</v>
      </c>
      <c r="B27" s="28">
        <v>359.75478679999998</v>
      </c>
      <c r="C27" s="28">
        <v>691.10859519999997</v>
      </c>
      <c r="D27" s="28">
        <v>1085.4966959999999</v>
      </c>
      <c r="E27" s="28">
        <v>1523.8956931999999</v>
      </c>
      <c r="F27" s="28">
        <v>2069.2331523999997</v>
      </c>
      <c r="G27" s="28">
        <v>2705.7702755999999</v>
      </c>
      <c r="H27" s="28">
        <v>3279.3782116000002</v>
      </c>
      <c r="I27" s="28">
        <v>3872.4046380000004</v>
      </c>
      <c r="J27" s="28">
        <v>4542.3163231999997</v>
      </c>
      <c r="K27" s="28">
        <v>5274.9</v>
      </c>
      <c r="L27" s="92">
        <v>6094.2</v>
      </c>
      <c r="M27" s="92">
        <v>6820.6</v>
      </c>
      <c r="N27" s="92">
        <v>7499.1</v>
      </c>
      <c r="O27" s="92">
        <v>8370</v>
      </c>
      <c r="P27" s="92">
        <v>9412.6979019999999</v>
      </c>
      <c r="Q27" s="92">
        <v>10115.68739452694</v>
      </c>
      <c r="R27" s="92">
        <v>10811.561125542063</v>
      </c>
      <c r="S27" s="92">
        <v>11529.305636662832</v>
      </c>
      <c r="T27" s="92">
        <v>12274.220738017804</v>
      </c>
      <c r="U27" s="92">
        <v>13048.243336463871</v>
      </c>
      <c r="V27" s="75">
        <v>13847.598364536532</v>
      </c>
      <c r="W27" s="75">
        <v>14665.969933317076</v>
      </c>
      <c r="X27" s="75">
        <v>15504.092969339254</v>
      </c>
      <c r="Y27" s="75">
        <v>16356.727130623256</v>
      </c>
      <c r="Z27" s="75">
        <v>17221.634248247236</v>
      </c>
      <c r="AA27" s="75">
        <v>18095.923072310528</v>
      </c>
      <c r="AB27" s="75">
        <v>18980.169662769335</v>
      </c>
      <c r="AC27" s="75">
        <v>19873.45371059937</v>
      </c>
      <c r="AD27" s="75">
        <v>20773.86016567548</v>
      </c>
      <c r="AE27" s="75">
        <v>21678.573696064374</v>
      </c>
      <c r="AF27" s="75">
        <v>22585.038474998026</v>
      </c>
      <c r="AG27" s="75">
        <v>23492.874466847839</v>
      </c>
      <c r="AH27" s="75">
        <v>24406.217624367204</v>
      </c>
      <c r="AI27" s="75">
        <v>25327.131442260506</v>
      </c>
      <c r="AJ27" s="75">
        <v>26257.874678943808</v>
      </c>
      <c r="AK27" s="75">
        <v>27198.707916986055</v>
      </c>
      <c r="AL27" s="75">
        <v>28145.611073105614</v>
      </c>
      <c r="AM27" s="75">
        <v>29094.275495079015</v>
      </c>
      <c r="AN27" s="75">
        <v>30041.392544417235</v>
      </c>
      <c r="AO27" s="75">
        <v>30981.702325587928</v>
      </c>
      <c r="AP27" s="75">
        <v>31911.976198094024</v>
      </c>
      <c r="AQ27" s="75">
        <v>32832.541414071537</v>
      </c>
      <c r="AR27" s="75">
        <v>33744.84254800529</v>
      </c>
      <c r="AS27" s="75">
        <v>34650.719843331193</v>
      </c>
      <c r="AT27" s="75">
        <v>35551.833126165635</v>
      </c>
      <c r="AU27" s="75">
        <v>36449.576213593748</v>
      </c>
      <c r="AV27" s="75">
        <v>37345.147692778533</v>
      </c>
      <c r="AW27" s="75">
        <v>38239.571263721897</v>
      </c>
      <c r="AX27" s="75">
        <v>39133.668465620874</v>
      </c>
      <c r="AY27" s="75">
        <v>40028.139033780681</v>
      </c>
    </row>
    <row r="28" spans="1:51" x14ac:dyDescent="0.2">
      <c r="A28" t="s">
        <v>647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64"/>
      <c r="M28" s="64"/>
      <c r="N28" s="64"/>
      <c r="O28" s="64"/>
      <c r="P28" s="64"/>
      <c r="Q28" s="64" t="str">
        <f t="shared" ref="Q28:AV28" si="4">IF(ROUND((P27+Q23+Q24-Q25-Q26)-Q27,1)=0,"OK","ERROR")</f>
        <v>OK</v>
      </c>
      <c r="R28" s="64" t="str">
        <f t="shared" si="4"/>
        <v>OK</v>
      </c>
      <c r="S28" s="64" t="str">
        <f t="shared" si="4"/>
        <v>OK</v>
      </c>
      <c r="T28" s="64" t="str">
        <f t="shared" si="4"/>
        <v>OK</v>
      </c>
      <c r="U28" s="64" t="str">
        <f t="shared" si="4"/>
        <v>OK</v>
      </c>
      <c r="V28" s="64" t="str">
        <f t="shared" si="4"/>
        <v>OK</v>
      </c>
      <c r="W28" s="64" t="str">
        <f t="shared" si="4"/>
        <v>OK</v>
      </c>
      <c r="X28" s="64" t="str">
        <f t="shared" si="4"/>
        <v>OK</v>
      </c>
      <c r="Y28" s="64" t="str">
        <f t="shared" si="4"/>
        <v>OK</v>
      </c>
      <c r="Z28" s="64" t="str">
        <f t="shared" si="4"/>
        <v>OK</v>
      </c>
      <c r="AA28" s="64" t="str">
        <f t="shared" si="4"/>
        <v>OK</v>
      </c>
      <c r="AB28" s="64" t="str">
        <f t="shared" si="4"/>
        <v>OK</v>
      </c>
      <c r="AC28" s="64" t="str">
        <f t="shared" si="4"/>
        <v>OK</v>
      </c>
      <c r="AD28" s="64" t="str">
        <f t="shared" si="4"/>
        <v>OK</v>
      </c>
      <c r="AE28" s="64" t="str">
        <f t="shared" si="4"/>
        <v>OK</v>
      </c>
      <c r="AF28" s="64" t="str">
        <f t="shared" si="4"/>
        <v>OK</v>
      </c>
      <c r="AG28" s="64" t="str">
        <f t="shared" si="4"/>
        <v>OK</v>
      </c>
      <c r="AH28" s="64" t="str">
        <f t="shared" si="4"/>
        <v>OK</v>
      </c>
      <c r="AI28" s="64" t="str">
        <f t="shared" si="4"/>
        <v>OK</v>
      </c>
      <c r="AJ28" s="64" t="str">
        <f t="shared" si="4"/>
        <v>OK</v>
      </c>
      <c r="AK28" s="64" t="str">
        <f t="shared" si="4"/>
        <v>OK</v>
      </c>
      <c r="AL28" s="64" t="str">
        <f t="shared" si="4"/>
        <v>OK</v>
      </c>
      <c r="AM28" s="64" t="str">
        <f t="shared" si="4"/>
        <v>OK</v>
      </c>
      <c r="AN28" s="64" t="str">
        <f t="shared" si="4"/>
        <v>OK</v>
      </c>
      <c r="AO28" s="64" t="str">
        <f t="shared" si="4"/>
        <v>OK</v>
      </c>
      <c r="AP28" s="64" t="str">
        <f t="shared" si="4"/>
        <v>OK</v>
      </c>
      <c r="AQ28" s="64" t="str">
        <f t="shared" si="4"/>
        <v>OK</v>
      </c>
      <c r="AR28" s="64" t="str">
        <f t="shared" si="4"/>
        <v>OK</v>
      </c>
      <c r="AS28" s="64" t="str">
        <f t="shared" si="4"/>
        <v>OK</v>
      </c>
      <c r="AT28" s="64" t="str">
        <f t="shared" si="4"/>
        <v>OK</v>
      </c>
      <c r="AU28" s="64" t="str">
        <f t="shared" si="4"/>
        <v>OK</v>
      </c>
      <c r="AV28" s="64" t="str">
        <f t="shared" si="4"/>
        <v>OK</v>
      </c>
      <c r="AW28" s="64" t="str">
        <f>IF(ROUND((AV27+AW23+AW24-AW25-AW26)-AW27,1)=0,"OK","ERROR")</f>
        <v>OK</v>
      </c>
      <c r="AX28" s="64" t="str">
        <f>IF(ROUND((AW27+AX23+AX24-AX25-AX26)-AX27,1)=0,"OK","ERROR")</f>
        <v>OK</v>
      </c>
      <c r="AY28" s="64" t="str">
        <f>IF(ROUND((AX27+AY23+AY24-AY25-AY26)-AY27,1)=0,"OK","ERROR")</f>
        <v>OK</v>
      </c>
    </row>
    <row r="29" spans="1:51" x14ac:dyDescent="0.2">
      <c r="C29" s="65"/>
      <c r="D29" s="65"/>
      <c r="E29" s="65"/>
      <c r="F29" s="65"/>
      <c r="G29" s="65"/>
      <c r="H29" s="65"/>
      <c r="I29" s="65"/>
      <c r="J29" s="110"/>
      <c r="K29" s="110"/>
      <c r="L29" s="110"/>
      <c r="M29" s="110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110"/>
      <c r="AR29" s="110"/>
      <c r="AS29" s="110"/>
      <c r="AT29" s="110"/>
      <c r="AU29" s="110"/>
      <c r="AV29" s="110"/>
      <c r="AW29" s="110"/>
      <c r="AX29" s="110"/>
      <c r="AY29" s="110"/>
    </row>
    <row r="30" spans="1:51" ht="18.75" x14ac:dyDescent="0.3">
      <c r="A30" s="55" t="s">
        <v>680</v>
      </c>
      <c r="B30" s="55"/>
      <c r="C30" s="56"/>
      <c r="D30" s="56"/>
      <c r="E30" s="105"/>
      <c r="F30" s="105"/>
      <c r="G30" s="105"/>
      <c r="H30" s="105"/>
      <c r="I30" s="105"/>
      <c r="J30" s="110"/>
      <c r="K30" s="110"/>
      <c r="L30" s="110"/>
      <c r="M30" s="110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110"/>
      <c r="AR30" s="110"/>
      <c r="AS30" s="110"/>
      <c r="AT30" s="110"/>
      <c r="AU30" s="110"/>
      <c r="AV30" s="110"/>
      <c r="AW30" s="110"/>
      <c r="AX30" s="110"/>
      <c r="AY30" s="110"/>
    </row>
    <row r="31" spans="1:51" ht="15.75" x14ac:dyDescent="0.25">
      <c r="A31" s="265" t="s">
        <v>681</v>
      </c>
      <c r="B31" s="122"/>
      <c r="C31" s="56"/>
      <c r="D31" s="56"/>
      <c r="E31" s="122"/>
      <c r="F31" s="105"/>
      <c r="G31" s="105"/>
      <c r="H31" s="105"/>
      <c r="I31" s="105"/>
      <c r="J31" s="110"/>
      <c r="K31" s="110"/>
      <c r="L31" s="110"/>
      <c r="M31" s="110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110"/>
      <c r="AR31" s="110"/>
      <c r="AS31" s="110"/>
      <c r="AT31" s="110"/>
      <c r="AU31" s="110"/>
      <c r="AV31" s="110"/>
      <c r="AW31" s="110"/>
      <c r="AX31" s="110"/>
      <c r="AY31" s="110"/>
    </row>
    <row r="32" spans="1:51" x14ac:dyDescent="0.2">
      <c r="A32" s="57"/>
      <c r="B32" s="122" t="s">
        <v>288</v>
      </c>
      <c r="C32" s="56"/>
      <c r="D32" s="56"/>
      <c r="E32" s="122" t="s">
        <v>289</v>
      </c>
      <c r="F32" s="105"/>
      <c r="G32" s="105"/>
      <c r="H32" s="105"/>
      <c r="I32" s="105"/>
      <c r="J32" s="110"/>
      <c r="K32" s="110"/>
      <c r="L32" s="110"/>
      <c r="M32" s="110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110"/>
      <c r="AR32" s="110"/>
      <c r="AS32" s="110"/>
      <c r="AT32" s="110"/>
      <c r="AU32" s="110"/>
      <c r="AV32" s="110"/>
      <c r="AW32" s="110"/>
      <c r="AX32" s="110"/>
      <c r="AY32" s="110"/>
    </row>
    <row r="33" spans="1:51" x14ac:dyDescent="0.2">
      <c r="A33" s="124" t="s">
        <v>282</v>
      </c>
      <c r="B33" s="104" t="s">
        <v>155</v>
      </c>
      <c r="C33" s="104" t="s">
        <v>156</v>
      </c>
      <c r="D33" s="56"/>
      <c r="E33" s="104" t="s">
        <v>155</v>
      </c>
      <c r="F33" s="104" t="s">
        <v>156</v>
      </c>
      <c r="G33" s="105"/>
      <c r="H33" s="105"/>
      <c r="I33" s="105"/>
      <c r="J33" s="110"/>
      <c r="K33" s="110"/>
      <c r="L33" s="110"/>
      <c r="M33" s="110"/>
      <c r="N33" s="110"/>
      <c r="O33" s="110"/>
      <c r="P33" s="110"/>
      <c r="Q33" s="110"/>
      <c r="R33" s="110"/>
      <c r="S33" s="278"/>
      <c r="T33" s="278"/>
      <c r="U33" s="278"/>
      <c r="V33" s="278"/>
      <c r="W33" s="278"/>
      <c r="X33" s="278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</row>
    <row r="34" spans="1:51" x14ac:dyDescent="0.2">
      <c r="A34" s="124" t="s">
        <v>354</v>
      </c>
      <c r="B34" s="118">
        <v>226</v>
      </c>
      <c r="C34" s="118">
        <v>207</v>
      </c>
      <c r="D34" s="56"/>
      <c r="E34" s="118">
        <v>119</v>
      </c>
      <c r="F34" s="118">
        <v>127</v>
      </c>
      <c r="G34" s="105"/>
      <c r="H34" s="105">
        <f>B34*SUM(Popn!C101:C105)/1000000000</f>
        <v>1.9228080000000002E-2</v>
      </c>
      <c r="I34" s="105">
        <f>C34*SUM(Popn!C7:C11)/1000000000</f>
        <v>1.8431280000000001E-2</v>
      </c>
      <c r="J34" s="110"/>
      <c r="K34" s="110"/>
      <c r="L34" s="110"/>
      <c r="M34" s="110"/>
      <c r="N34" s="110"/>
      <c r="O34" s="110"/>
      <c r="P34" s="110"/>
      <c r="Q34" s="110"/>
      <c r="R34" s="110"/>
      <c r="S34" s="278"/>
      <c r="T34" s="278"/>
      <c r="U34" s="278"/>
      <c r="V34" s="278"/>
      <c r="W34" s="278"/>
      <c r="X34" s="278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</row>
    <row r="35" spans="1:51" x14ac:dyDescent="0.2">
      <c r="A35" s="124" t="s">
        <v>355</v>
      </c>
      <c r="B35" s="118">
        <v>294</v>
      </c>
      <c r="C35" s="118">
        <v>217</v>
      </c>
      <c r="D35" s="56"/>
      <c r="E35" s="118">
        <v>110</v>
      </c>
      <c r="F35" s="118">
        <v>110</v>
      </c>
      <c r="G35" s="105"/>
      <c r="H35" s="105">
        <f>B35*SUM(Popn!C106:C110)/1000000000</f>
        <v>4.1151180000000002E-2</v>
      </c>
      <c r="I35" s="105">
        <f>C35*SUM(Popn!C12:C16)/1000000000</f>
        <v>3.1816539999999997E-2</v>
      </c>
      <c r="J35" s="110"/>
      <c r="K35" s="110"/>
      <c r="L35" s="110"/>
      <c r="M35" s="110"/>
      <c r="N35" s="110"/>
      <c r="O35" s="110"/>
      <c r="P35" s="110"/>
      <c r="Q35" s="110"/>
      <c r="R35" s="110"/>
      <c r="S35" s="278"/>
      <c r="T35" s="278"/>
      <c r="U35" s="278"/>
      <c r="V35" s="278"/>
      <c r="W35" s="278"/>
      <c r="X35" s="278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</row>
    <row r="36" spans="1:51" x14ac:dyDescent="0.2">
      <c r="A36" s="124" t="s">
        <v>356</v>
      </c>
      <c r="B36" s="118">
        <v>355</v>
      </c>
      <c r="C36" s="118">
        <v>283</v>
      </c>
      <c r="D36" s="56"/>
      <c r="E36" s="118">
        <v>264</v>
      </c>
      <c r="F36" s="118">
        <v>251</v>
      </c>
      <c r="G36" s="105"/>
      <c r="H36" s="105">
        <f>B36*SUM(Popn!C111:C115)/1000000000</f>
        <v>5.2042999999999999E-2</v>
      </c>
      <c r="I36" s="105">
        <f>C36*SUM(Popn!C17:C21)/1000000000</f>
        <v>4.3607470000000002E-2</v>
      </c>
      <c r="J36" s="110"/>
      <c r="K36" s="110"/>
      <c r="L36" s="110"/>
      <c r="M36" s="110"/>
      <c r="N36" s="110"/>
      <c r="O36" s="110"/>
      <c r="P36" s="110"/>
      <c r="Q36" s="110"/>
      <c r="R36" s="110"/>
      <c r="S36" s="278"/>
      <c r="T36" s="278"/>
      <c r="U36" s="278"/>
      <c r="V36" s="278"/>
      <c r="W36" s="278"/>
      <c r="X36" s="278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</row>
    <row r="37" spans="1:51" x14ac:dyDescent="0.2">
      <c r="A37" s="124" t="s">
        <v>357</v>
      </c>
      <c r="B37" s="118">
        <v>296</v>
      </c>
      <c r="C37" s="118">
        <v>271</v>
      </c>
      <c r="D37" s="56"/>
      <c r="E37" s="118">
        <v>422</v>
      </c>
      <c r="F37" s="118">
        <v>531</v>
      </c>
      <c r="G37" s="105"/>
      <c r="H37" s="105">
        <f>B37*SUM(Popn!C116:C120)/1000000000</f>
        <v>4.6356559999999998E-2</v>
      </c>
      <c r="I37" s="105">
        <f>C37*SUM(Popn!C22:C26)/1000000000</f>
        <v>4.423262E-2</v>
      </c>
      <c r="J37" s="110"/>
      <c r="K37" s="110"/>
      <c r="L37" s="110"/>
      <c r="M37" s="110"/>
      <c r="N37" s="110"/>
      <c r="O37" s="110"/>
      <c r="P37" s="110"/>
      <c r="Q37" s="110"/>
      <c r="R37" s="110"/>
      <c r="S37" s="278"/>
      <c r="T37" s="278"/>
      <c r="U37" s="278"/>
      <c r="V37" s="278"/>
      <c r="W37" s="278"/>
      <c r="X37" s="278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</row>
    <row r="38" spans="1:51" x14ac:dyDescent="0.2">
      <c r="A38" s="124" t="s">
        <v>283</v>
      </c>
      <c r="B38" s="118">
        <v>468</v>
      </c>
      <c r="C38" s="118">
        <v>807</v>
      </c>
      <c r="D38" s="56"/>
      <c r="E38" s="118">
        <v>447</v>
      </c>
      <c r="F38" s="118">
        <v>1089</v>
      </c>
      <c r="G38" s="105"/>
      <c r="H38" s="105">
        <f>B38*SUM(Popn!C121:C130)/1000000000</f>
        <v>0.13353912000000001</v>
      </c>
      <c r="I38" s="105">
        <f>C38*SUM(Popn!C27:C36)/1000000000</f>
        <v>0.22987394999999999</v>
      </c>
      <c r="J38" s="110"/>
      <c r="K38" s="110"/>
      <c r="L38" s="110"/>
      <c r="M38" s="110"/>
      <c r="N38" s="110"/>
      <c r="O38" s="110"/>
      <c r="P38" s="110"/>
      <c r="Q38" s="110"/>
      <c r="R38" s="110"/>
      <c r="S38" s="278"/>
      <c r="T38" s="278"/>
      <c r="U38" s="278"/>
      <c r="V38" s="278"/>
      <c r="W38" s="278"/>
      <c r="X38" s="278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</row>
    <row r="39" spans="1:51" x14ac:dyDescent="0.2">
      <c r="A39" s="124" t="s">
        <v>284</v>
      </c>
      <c r="B39" s="118">
        <v>751</v>
      </c>
      <c r="C39" s="118">
        <v>1272</v>
      </c>
      <c r="D39" s="56"/>
      <c r="E39" s="118">
        <v>662</v>
      </c>
      <c r="F39" s="118">
        <v>1015</v>
      </c>
      <c r="G39" s="105"/>
      <c r="H39" s="105">
        <f>B39*SUM(Popn!C131:C140)/1000000000</f>
        <v>0.22627630000000001</v>
      </c>
      <c r="I39" s="105">
        <f>C39*SUM(Popn!C37:C46)/1000000000</f>
        <v>0.35024519999999998</v>
      </c>
      <c r="J39" s="110"/>
      <c r="K39" s="110"/>
      <c r="L39" s="110"/>
      <c r="M39" s="110"/>
      <c r="N39" s="110"/>
      <c r="O39" s="110"/>
      <c r="P39" s="110"/>
      <c r="Q39" s="110"/>
      <c r="R39" s="110"/>
      <c r="S39" s="278"/>
      <c r="T39" s="278"/>
      <c r="U39" s="278"/>
      <c r="V39" s="278"/>
      <c r="W39" s="278"/>
      <c r="X39" s="278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</row>
    <row r="40" spans="1:51" x14ac:dyDescent="0.2">
      <c r="A40" s="124" t="s">
        <v>285</v>
      </c>
      <c r="B40" s="118">
        <v>3475</v>
      </c>
      <c r="C40" s="118">
        <v>5103</v>
      </c>
      <c r="D40" s="56"/>
      <c r="E40" s="118">
        <v>441</v>
      </c>
      <c r="F40" s="118">
        <v>230</v>
      </c>
      <c r="G40" s="105"/>
      <c r="H40" s="105">
        <f>B40*SUM(Popn!C141:C150)/1000000000</f>
        <v>1.1398347499999999</v>
      </c>
      <c r="I40" s="105">
        <f>C40*SUM(Popn!C47:C56)/1000000000</f>
        <v>1.56835602</v>
      </c>
      <c r="J40" s="110"/>
      <c r="K40" s="110"/>
      <c r="L40" s="110"/>
      <c r="M40" s="110"/>
      <c r="N40" s="110"/>
      <c r="O40" s="110"/>
      <c r="P40" s="110"/>
      <c r="Q40" s="110"/>
      <c r="R40" s="110"/>
      <c r="S40" s="278"/>
      <c r="T40" s="278"/>
      <c r="U40" s="278"/>
      <c r="V40" s="278"/>
      <c r="W40" s="278"/>
      <c r="X40" s="278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</row>
    <row r="41" spans="1:51" x14ac:dyDescent="0.2">
      <c r="A41" s="124" t="s">
        <v>286</v>
      </c>
      <c r="B41" s="118">
        <v>1243</v>
      </c>
      <c r="C41" s="118">
        <v>1949</v>
      </c>
      <c r="D41" s="56"/>
      <c r="E41" s="118">
        <v>444</v>
      </c>
      <c r="F41" s="118">
        <v>522</v>
      </c>
      <c r="G41" s="105"/>
      <c r="H41" s="105">
        <f>B41*SUM(Popn!C151:C160)/1000000000</f>
        <v>0.33159511000000003</v>
      </c>
      <c r="I41" s="105">
        <f>C41*SUM(Popn!C57:C66)/1000000000</f>
        <v>0.50500539</v>
      </c>
      <c r="J41" s="110"/>
      <c r="K41" s="110"/>
      <c r="L41" s="110"/>
      <c r="M41" s="110"/>
      <c r="N41" s="110"/>
      <c r="O41" s="110"/>
      <c r="P41" s="110"/>
      <c r="Q41" s="110"/>
      <c r="R41" s="110"/>
      <c r="S41" s="278"/>
      <c r="T41" s="278"/>
      <c r="U41" s="278"/>
      <c r="V41" s="278"/>
      <c r="W41" s="278"/>
      <c r="X41" s="278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</row>
    <row r="42" spans="1:51" x14ac:dyDescent="0.2">
      <c r="A42" s="124" t="s">
        <v>366</v>
      </c>
      <c r="B42" s="118">
        <v>1339</v>
      </c>
      <c r="C42" s="118">
        <v>2460</v>
      </c>
      <c r="D42" s="56"/>
      <c r="E42" s="118">
        <v>372</v>
      </c>
      <c r="F42" s="118">
        <v>420</v>
      </c>
      <c r="G42" s="105"/>
      <c r="H42" s="105">
        <f>B42*SUM(Popn!C161:C165)/1000000000</f>
        <v>0.14504048</v>
      </c>
      <c r="I42" s="105">
        <f>C42*SUM(Popn!C67:C71)/1000000000</f>
        <v>0.25980059999999999</v>
      </c>
      <c r="J42" s="110"/>
      <c r="K42" s="110"/>
      <c r="L42" s="110"/>
      <c r="M42" s="110"/>
      <c r="N42" s="110"/>
      <c r="O42" s="110"/>
      <c r="P42" s="110"/>
      <c r="Q42" s="110"/>
      <c r="R42" s="110"/>
      <c r="S42" s="278"/>
      <c r="T42" s="278"/>
      <c r="U42" s="278"/>
      <c r="V42" s="278"/>
      <c r="W42" s="278"/>
      <c r="X42" s="278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</row>
    <row r="43" spans="1:51" x14ac:dyDescent="0.2">
      <c r="A43" s="124" t="s">
        <v>287</v>
      </c>
      <c r="B43" s="118">
        <v>610</v>
      </c>
      <c r="C43" s="118">
        <v>884</v>
      </c>
      <c r="D43" s="56"/>
      <c r="E43" s="118">
        <v>530</v>
      </c>
      <c r="F43" s="118">
        <v>472</v>
      </c>
      <c r="G43" s="105"/>
      <c r="H43" s="105">
        <f>B43*SUM(Popn!C166:C191)/1000000000</f>
        <v>0.1832684</v>
      </c>
      <c r="I43" s="105">
        <f>C43*SUM(Popn!C72:C97)/1000000000</f>
        <v>0.22666644</v>
      </c>
      <c r="J43" s="110"/>
      <c r="K43" s="110"/>
      <c r="L43" s="110"/>
      <c r="M43" s="110"/>
      <c r="N43" s="110"/>
      <c r="O43" s="110"/>
      <c r="P43" s="110"/>
      <c r="Q43" s="110"/>
      <c r="R43" s="110"/>
      <c r="S43" s="278"/>
      <c r="T43" s="278"/>
      <c r="U43" s="278"/>
      <c r="V43" s="278"/>
      <c r="W43" s="278"/>
      <c r="X43" s="278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</row>
    <row r="44" spans="1:51" ht="13.5" thickBot="1" x14ac:dyDescent="0.25">
      <c r="A44" s="123" t="s">
        <v>371</v>
      </c>
      <c r="B44" s="125">
        <f>SUM(B34:B43)</f>
        <v>9057</v>
      </c>
      <c r="C44" s="125">
        <f>SUM(C34:C43)</f>
        <v>13453</v>
      </c>
      <c r="D44" s="125"/>
      <c r="E44" s="125">
        <f>SUM(E34:E43)</f>
        <v>3811</v>
      </c>
      <c r="F44" s="125">
        <f>SUM(F34:F43)</f>
        <v>4767</v>
      </c>
      <c r="G44" s="105"/>
      <c r="H44" s="105">
        <f>SUM(H34:H43)</f>
        <v>2.3183329800000001</v>
      </c>
      <c r="I44" s="105">
        <f>SUM(I34:I43)</f>
        <v>3.2780355099999996</v>
      </c>
      <c r="J44" s="110"/>
      <c r="K44" s="110"/>
      <c r="L44" s="110"/>
      <c r="M44" s="110"/>
      <c r="N44" s="110"/>
      <c r="O44" s="110"/>
      <c r="P44" s="110"/>
      <c r="Q44" s="110"/>
      <c r="R44" s="110"/>
      <c r="S44" s="278"/>
      <c r="T44" s="278"/>
      <c r="U44" s="278"/>
      <c r="V44" s="278"/>
      <c r="W44" s="278"/>
      <c r="X44" s="278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</row>
    <row r="45" spans="1:51" x14ac:dyDescent="0.2">
      <c r="C45" s="65"/>
      <c r="D45" s="65"/>
      <c r="E45" s="109"/>
      <c r="F45" s="109"/>
      <c r="G45" s="109"/>
      <c r="H45" s="109"/>
      <c r="I45" s="109"/>
      <c r="J45" s="110"/>
      <c r="K45" s="110"/>
      <c r="L45" s="110"/>
      <c r="M45" s="110"/>
      <c r="N45" s="110"/>
      <c r="O45" s="110"/>
      <c r="P45" s="110"/>
      <c r="Q45" s="110"/>
      <c r="R45" s="110"/>
      <c r="S45" s="278"/>
      <c r="T45" s="278"/>
      <c r="U45" s="278"/>
      <c r="V45" s="278"/>
      <c r="W45" s="278"/>
      <c r="X45" s="278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</row>
    <row r="46" spans="1:51" x14ac:dyDescent="0.2">
      <c r="K46" s="109"/>
      <c r="L46" s="110"/>
      <c r="M46" s="110"/>
      <c r="N46" s="110"/>
      <c r="O46" s="110"/>
      <c r="P46" s="110"/>
      <c r="Q46" s="110"/>
      <c r="R46" s="110"/>
    </row>
    <row r="47" spans="1:51" ht="15.75" x14ac:dyDescent="0.25">
      <c r="A47" s="32" t="s">
        <v>226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10"/>
      <c r="O47" s="110"/>
      <c r="P47" s="110"/>
      <c r="Q47" s="110"/>
    </row>
    <row r="48" spans="1:51" ht="13.5" thickBot="1" x14ac:dyDescent="0.25">
      <c r="A48" s="77" t="s">
        <v>373</v>
      </c>
      <c r="B48" s="79" t="s">
        <v>372</v>
      </c>
      <c r="C48" s="81"/>
      <c r="D48" s="79" t="s">
        <v>281</v>
      </c>
      <c r="E48" s="78"/>
      <c r="F48" s="79" t="s">
        <v>375</v>
      </c>
      <c r="G48" s="81"/>
      <c r="H48" s="79" t="s">
        <v>376</v>
      </c>
      <c r="I48" s="81"/>
      <c r="J48" s="79" t="s">
        <v>280</v>
      </c>
      <c r="K48" s="81"/>
      <c r="L48" s="79" t="s">
        <v>377</v>
      </c>
      <c r="M48" s="81"/>
      <c r="N48" s="110"/>
      <c r="O48" s="110"/>
      <c r="P48" s="110"/>
      <c r="Q48" s="110"/>
    </row>
    <row r="49" spans="1:23" ht="13.5" thickBot="1" x14ac:dyDescent="0.25">
      <c r="A49" s="76" t="s">
        <v>374</v>
      </c>
      <c r="B49" s="80" t="s">
        <v>155</v>
      </c>
      <c r="C49" s="81" t="s">
        <v>156</v>
      </c>
      <c r="D49" s="80" t="s">
        <v>155</v>
      </c>
      <c r="E49" s="81" t="s">
        <v>156</v>
      </c>
      <c r="F49" s="80" t="s">
        <v>155</v>
      </c>
      <c r="G49" s="81" t="s">
        <v>156</v>
      </c>
      <c r="H49" s="80" t="s">
        <v>155</v>
      </c>
      <c r="I49" s="81" t="s">
        <v>156</v>
      </c>
      <c r="J49" s="80" t="s">
        <v>155</v>
      </c>
      <c r="K49" s="81" t="s">
        <v>156</v>
      </c>
      <c r="L49" s="80" t="s">
        <v>155</v>
      </c>
      <c r="M49" s="81" t="s">
        <v>156</v>
      </c>
      <c r="N49" s="110"/>
      <c r="O49" s="110"/>
      <c r="P49" s="110"/>
      <c r="Q49" s="110"/>
    </row>
    <row r="50" spans="1:23" x14ac:dyDescent="0.2">
      <c r="A50" s="82" t="s">
        <v>354</v>
      </c>
      <c r="B50" s="84">
        <v>1890.0413222232678</v>
      </c>
      <c r="C50" s="84">
        <v>2231.7786403029104</v>
      </c>
      <c r="D50" s="84">
        <v>0</v>
      </c>
      <c r="E50" s="84">
        <v>0</v>
      </c>
      <c r="F50" s="84">
        <v>99.597831714026441</v>
      </c>
      <c r="G50" s="84">
        <v>99.60325422812052</v>
      </c>
      <c r="H50" s="84">
        <v>72.164006014314637</v>
      </c>
      <c r="I50" s="84">
        <v>72.164006014314637</v>
      </c>
      <c r="J50" s="84">
        <v>195.72437023167495</v>
      </c>
      <c r="K50" s="84">
        <v>195.72437023167495</v>
      </c>
      <c r="L50" s="84">
        <f t="shared" ref="L50:L67" si="5">SUM(B50,D50,F50,H50,J50)</f>
        <v>2257.5275301832839</v>
      </c>
      <c r="M50" s="84">
        <f t="shared" ref="M50:M67" si="6">SUM(C50,E50,G50,I50,K50)</f>
        <v>2599.2702707770204</v>
      </c>
      <c r="N50" s="110"/>
      <c r="O50" s="110"/>
      <c r="P50" s="110"/>
      <c r="Q50" s="110"/>
      <c r="R50" s="49"/>
      <c r="S50" s="49"/>
      <c r="T50" s="54"/>
      <c r="U50" s="49"/>
      <c r="V50" s="49"/>
      <c r="W50" s="49"/>
    </row>
    <row r="51" spans="1:23" x14ac:dyDescent="0.2">
      <c r="A51" s="82" t="s">
        <v>355</v>
      </c>
      <c r="B51" s="84">
        <v>466.71477102943925</v>
      </c>
      <c r="C51" s="84">
        <v>547.92984998357701</v>
      </c>
      <c r="D51" s="84">
        <v>0</v>
      </c>
      <c r="E51" s="84">
        <v>0</v>
      </c>
      <c r="F51" s="84">
        <v>96.572057274814966</v>
      </c>
      <c r="G51" s="84">
        <v>96.610371770035727</v>
      </c>
      <c r="H51" s="84">
        <v>72.164006014314623</v>
      </c>
      <c r="I51" s="84">
        <v>72.164006014314637</v>
      </c>
      <c r="J51" s="84">
        <v>195.72437023167498</v>
      </c>
      <c r="K51" s="84">
        <v>195.72437023167507</v>
      </c>
      <c r="L51" s="84">
        <f t="shared" si="5"/>
        <v>831.17520455024373</v>
      </c>
      <c r="M51" s="84">
        <f t="shared" si="6"/>
        <v>912.4285979996024</v>
      </c>
      <c r="N51" s="110"/>
      <c r="O51" s="110"/>
      <c r="P51" s="110"/>
      <c r="Q51" s="110"/>
      <c r="R51" s="49"/>
      <c r="S51" s="49"/>
      <c r="T51" s="54"/>
      <c r="U51" s="49"/>
      <c r="V51" s="49"/>
      <c r="W51" s="49"/>
    </row>
    <row r="52" spans="1:23" x14ac:dyDescent="0.2">
      <c r="A52" s="82" t="s">
        <v>356</v>
      </c>
      <c r="B52" s="84">
        <v>435.64290930742152</v>
      </c>
      <c r="C52" s="84">
        <v>488.0775732029507</v>
      </c>
      <c r="D52" s="84">
        <v>0</v>
      </c>
      <c r="E52" s="84">
        <v>0</v>
      </c>
      <c r="F52" s="84">
        <v>94.335741882351641</v>
      </c>
      <c r="G52" s="84">
        <v>94.550110566146572</v>
      </c>
      <c r="H52" s="84">
        <v>72.164006014314609</v>
      </c>
      <c r="I52" s="84">
        <v>72.164006014314637</v>
      </c>
      <c r="J52" s="84">
        <v>195.72437023167498</v>
      </c>
      <c r="K52" s="84">
        <v>195.72437023167498</v>
      </c>
      <c r="L52" s="84">
        <f t="shared" si="5"/>
        <v>797.86702743576279</v>
      </c>
      <c r="M52" s="84">
        <f t="shared" si="6"/>
        <v>850.51606001508685</v>
      </c>
      <c r="N52" s="110"/>
      <c r="O52" s="110"/>
      <c r="P52" s="110"/>
      <c r="Q52" s="110"/>
      <c r="R52" s="49"/>
      <c r="S52" s="49"/>
      <c r="T52" s="54"/>
      <c r="U52" s="49"/>
      <c r="V52" s="49"/>
      <c r="W52" s="49"/>
    </row>
    <row r="53" spans="1:23" x14ac:dyDescent="0.2">
      <c r="A53" s="82" t="s">
        <v>357</v>
      </c>
      <c r="B53" s="84">
        <v>718.74618779753541</v>
      </c>
      <c r="C53" s="84">
        <v>581.29415159863015</v>
      </c>
      <c r="D53" s="84">
        <v>0</v>
      </c>
      <c r="E53" s="84">
        <v>0</v>
      </c>
      <c r="F53" s="84">
        <v>295.60659895818247</v>
      </c>
      <c r="G53" s="84">
        <v>292.63817148767203</v>
      </c>
      <c r="H53" s="84">
        <v>72.164006014314637</v>
      </c>
      <c r="I53" s="84">
        <v>72.164006014314637</v>
      </c>
      <c r="J53" s="84">
        <v>195.72437023167501</v>
      </c>
      <c r="K53" s="84">
        <v>195.72437023167504</v>
      </c>
      <c r="L53" s="84">
        <f t="shared" si="5"/>
        <v>1282.2411630017077</v>
      </c>
      <c r="M53" s="84">
        <f t="shared" si="6"/>
        <v>1141.820699332292</v>
      </c>
      <c r="N53" s="110"/>
      <c r="O53" s="110"/>
      <c r="P53" s="110"/>
      <c r="Q53" s="110"/>
      <c r="R53" s="49"/>
      <c r="S53" s="49"/>
      <c r="T53" s="54"/>
      <c r="U53" s="49"/>
      <c r="V53" s="49"/>
      <c r="W53" s="49"/>
    </row>
    <row r="54" spans="1:23" x14ac:dyDescent="0.2">
      <c r="A54" s="82" t="s">
        <v>358</v>
      </c>
      <c r="B54" s="84">
        <v>1037.7640029471736</v>
      </c>
      <c r="C54" s="84">
        <v>594.19953348612853</v>
      </c>
      <c r="D54" s="84">
        <v>0</v>
      </c>
      <c r="E54" s="84">
        <v>0</v>
      </c>
      <c r="F54" s="84">
        <v>260.56737975304395</v>
      </c>
      <c r="G54" s="84">
        <v>256.79018813005666</v>
      </c>
      <c r="H54" s="84">
        <v>72.164006014314623</v>
      </c>
      <c r="I54" s="84">
        <v>72.164006014314623</v>
      </c>
      <c r="J54" s="84">
        <v>195.72437023167501</v>
      </c>
      <c r="K54" s="84">
        <v>195.72437023167495</v>
      </c>
      <c r="L54" s="84">
        <f t="shared" si="5"/>
        <v>1566.2197589462071</v>
      </c>
      <c r="M54" s="84">
        <f t="shared" si="6"/>
        <v>1118.8780978621749</v>
      </c>
      <c r="N54" s="110"/>
      <c r="O54" s="110"/>
      <c r="P54" s="110"/>
      <c r="Q54" s="110"/>
      <c r="R54" s="49"/>
      <c r="S54" s="49"/>
      <c r="T54" s="54"/>
      <c r="U54" s="49"/>
      <c r="V54" s="49"/>
      <c r="W54" s="49"/>
    </row>
    <row r="55" spans="1:23" x14ac:dyDescent="0.2">
      <c r="A55" s="82" t="s">
        <v>359</v>
      </c>
      <c r="B55" s="84">
        <v>1290.5630224691186</v>
      </c>
      <c r="C55" s="84">
        <v>631.06684043590826</v>
      </c>
      <c r="D55" s="84">
        <v>0</v>
      </c>
      <c r="E55" s="84">
        <v>0</v>
      </c>
      <c r="F55" s="84">
        <v>256.34559337607192</v>
      </c>
      <c r="G55" s="84">
        <v>255.74772004686071</v>
      </c>
      <c r="H55" s="84">
        <v>72.164006014314623</v>
      </c>
      <c r="I55" s="84">
        <v>72.164006014314623</v>
      </c>
      <c r="J55" s="84">
        <v>195.72437023167495</v>
      </c>
      <c r="K55" s="84">
        <v>195.72437023167495</v>
      </c>
      <c r="L55" s="84">
        <f t="shared" si="5"/>
        <v>1814.7969920911801</v>
      </c>
      <c r="M55" s="84">
        <f t="shared" si="6"/>
        <v>1154.7029367287585</v>
      </c>
      <c r="N55" s="110"/>
      <c r="O55" s="110"/>
      <c r="P55" s="110"/>
      <c r="Q55" s="110"/>
      <c r="R55" s="49"/>
      <c r="S55" s="49"/>
      <c r="T55" s="54"/>
      <c r="U55" s="49"/>
      <c r="V55" s="49"/>
      <c r="W55" s="49"/>
    </row>
    <row r="56" spans="1:23" x14ac:dyDescent="0.2">
      <c r="A56" s="82" t="s">
        <v>360</v>
      </c>
      <c r="B56" s="84">
        <v>1347.4541398545221</v>
      </c>
      <c r="C56" s="84">
        <v>655.66507401397985</v>
      </c>
      <c r="D56" s="84">
        <v>0</v>
      </c>
      <c r="E56" s="84">
        <v>0</v>
      </c>
      <c r="F56" s="84">
        <v>248.78588813349654</v>
      </c>
      <c r="G56" s="84">
        <v>249.75248594867713</v>
      </c>
      <c r="H56" s="84">
        <v>72.164006014314637</v>
      </c>
      <c r="I56" s="84">
        <v>72.164006014314623</v>
      </c>
      <c r="J56" s="84">
        <v>195.72437023167504</v>
      </c>
      <c r="K56" s="84">
        <v>195.72437023167501</v>
      </c>
      <c r="L56" s="84">
        <f t="shared" si="5"/>
        <v>1864.1284042340083</v>
      </c>
      <c r="M56" s="84">
        <f t="shared" si="6"/>
        <v>1173.3059362086465</v>
      </c>
      <c r="N56" s="110"/>
      <c r="O56" s="110"/>
      <c r="P56" s="110"/>
      <c r="Q56" s="110"/>
      <c r="R56" s="49"/>
      <c r="S56" s="49"/>
      <c r="T56" s="54"/>
      <c r="U56" s="49"/>
      <c r="V56" s="49"/>
      <c r="W56" s="49"/>
    </row>
    <row r="57" spans="1:23" x14ac:dyDescent="0.2">
      <c r="A57" s="82" t="s">
        <v>361</v>
      </c>
      <c r="B57" s="84">
        <v>1119.7952198325174</v>
      </c>
      <c r="C57" s="84">
        <v>722.59747274583447</v>
      </c>
      <c r="D57" s="84">
        <v>0</v>
      </c>
      <c r="E57" s="84">
        <v>0</v>
      </c>
      <c r="F57" s="84">
        <v>240.98397269376409</v>
      </c>
      <c r="G57" s="84">
        <v>241.67635765667472</v>
      </c>
      <c r="H57" s="84">
        <v>72.164006014314651</v>
      </c>
      <c r="I57" s="84">
        <v>72.164006014314651</v>
      </c>
      <c r="J57" s="84">
        <v>195.72437023167504</v>
      </c>
      <c r="K57" s="84">
        <v>195.72437023167504</v>
      </c>
      <c r="L57" s="84">
        <f t="shared" si="5"/>
        <v>1628.6675687722714</v>
      </c>
      <c r="M57" s="84">
        <f t="shared" si="6"/>
        <v>1232.162206648499</v>
      </c>
      <c r="N57" s="110"/>
      <c r="O57" s="110"/>
      <c r="P57" s="110"/>
      <c r="Q57" s="110"/>
      <c r="R57" s="49"/>
      <c r="S57" s="49"/>
      <c r="T57" s="54"/>
      <c r="U57" s="49"/>
      <c r="V57" s="49"/>
      <c r="W57" s="49"/>
    </row>
    <row r="58" spans="1:23" x14ac:dyDescent="0.2">
      <c r="A58" s="82" t="s">
        <v>362</v>
      </c>
      <c r="B58" s="84">
        <v>956.47245594150047</v>
      </c>
      <c r="C58" s="84">
        <v>838.72767592342348</v>
      </c>
      <c r="D58" s="84">
        <v>0</v>
      </c>
      <c r="E58" s="84">
        <v>0</v>
      </c>
      <c r="F58" s="84">
        <v>236.44242823853034</v>
      </c>
      <c r="G58" s="84">
        <v>235.62590996491863</v>
      </c>
      <c r="H58" s="84">
        <v>72.164006014314609</v>
      </c>
      <c r="I58" s="84">
        <v>72.164006014314651</v>
      </c>
      <c r="J58" s="84">
        <v>195.72437023167495</v>
      </c>
      <c r="K58" s="84">
        <v>195.72437023167504</v>
      </c>
      <c r="L58" s="84">
        <f t="shared" si="5"/>
        <v>1460.8032604260204</v>
      </c>
      <c r="M58" s="84">
        <f t="shared" si="6"/>
        <v>1342.241962134332</v>
      </c>
      <c r="N58" s="110"/>
      <c r="O58" s="110"/>
      <c r="P58" s="110"/>
      <c r="Q58" s="110"/>
      <c r="R58" s="49"/>
      <c r="S58" s="49"/>
      <c r="T58" s="54"/>
      <c r="U58" s="49"/>
      <c r="V58" s="49"/>
      <c r="W58" s="49"/>
    </row>
    <row r="59" spans="1:23" x14ac:dyDescent="0.2">
      <c r="A59" s="82" t="s">
        <v>363</v>
      </c>
      <c r="B59" s="84">
        <v>1064.7160361461479</v>
      </c>
      <c r="C59" s="84">
        <v>1049.0017030844572</v>
      </c>
      <c r="D59" s="84">
        <v>0</v>
      </c>
      <c r="E59" s="84">
        <v>0</v>
      </c>
      <c r="F59" s="84">
        <v>232.13081339214955</v>
      </c>
      <c r="G59" s="84">
        <v>231.09328974541344</v>
      </c>
      <c r="H59" s="84">
        <v>72.164006014314651</v>
      </c>
      <c r="I59" s="84">
        <v>72.164006014314651</v>
      </c>
      <c r="J59" s="84">
        <v>195.72437023167504</v>
      </c>
      <c r="K59" s="84">
        <v>195.72437023167501</v>
      </c>
      <c r="L59" s="84">
        <f t="shared" si="5"/>
        <v>1564.7352257842872</v>
      </c>
      <c r="M59" s="84">
        <f t="shared" si="6"/>
        <v>1547.9833690758603</v>
      </c>
      <c r="N59" s="110"/>
      <c r="O59" s="110"/>
      <c r="P59" s="110"/>
      <c r="Q59" s="110"/>
      <c r="R59" s="49"/>
      <c r="S59" s="49"/>
      <c r="T59" s="54"/>
      <c r="U59" s="49"/>
      <c r="V59" s="49"/>
      <c r="W59" s="49"/>
    </row>
    <row r="60" spans="1:23" x14ac:dyDescent="0.2">
      <c r="A60" s="82" t="s">
        <v>364</v>
      </c>
      <c r="B60" s="84">
        <v>1268.0599191268068</v>
      </c>
      <c r="C60" s="84">
        <v>1328.5613380008165</v>
      </c>
      <c r="D60" s="84">
        <v>17.608737583980471</v>
      </c>
      <c r="E60" s="84">
        <v>14.97270862889734</v>
      </c>
      <c r="F60" s="84">
        <v>229.16706127254179</v>
      </c>
      <c r="G60" s="84">
        <v>227.69924694777339</v>
      </c>
      <c r="H60" s="84">
        <v>72.164006014314637</v>
      </c>
      <c r="I60" s="84">
        <v>72.164006014314651</v>
      </c>
      <c r="J60" s="84">
        <v>195.72437023167498</v>
      </c>
      <c r="K60" s="84">
        <v>195.72437023167501</v>
      </c>
      <c r="L60" s="84">
        <f t="shared" si="5"/>
        <v>1782.7240942293188</v>
      </c>
      <c r="M60" s="84">
        <f t="shared" si="6"/>
        <v>1839.1216698234771</v>
      </c>
      <c r="N60" s="110"/>
      <c r="O60" s="110"/>
      <c r="P60" s="110"/>
      <c r="Q60" s="110"/>
      <c r="R60" s="49"/>
      <c r="S60" s="49"/>
      <c r="T60" s="54"/>
      <c r="U60" s="49"/>
      <c r="V60" s="49"/>
      <c r="W60" s="49"/>
    </row>
    <row r="61" spans="1:23" x14ac:dyDescent="0.2">
      <c r="A61" s="82" t="s">
        <v>365</v>
      </c>
      <c r="B61" s="84">
        <v>1607.9447566780254</v>
      </c>
      <c r="C61" s="84">
        <v>1815.5748379208619</v>
      </c>
      <c r="D61" s="84">
        <v>29.835496477906958</v>
      </c>
      <c r="E61" s="84">
        <v>27.396725421047318</v>
      </c>
      <c r="F61" s="84">
        <v>231.39509256081351</v>
      </c>
      <c r="G61" s="84">
        <v>225.54582302746718</v>
      </c>
      <c r="H61" s="84">
        <v>72.164006014314623</v>
      </c>
      <c r="I61" s="84">
        <v>72.164006014314623</v>
      </c>
      <c r="J61" s="84">
        <v>195.72437023167504</v>
      </c>
      <c r="K61" s="84">
        <v>195.72437023167498</v>
      </c>
      <c r="L61" s="84">
        <f t="shared" si="5"/>
        <v>2137.0637219627356</v>
      </c>
      <c r="M61" s="84">
        <f t="shared" si="6"/>
        <v>2336.4057626153658</v>
      </c>
      <c r="N61" s="110"/>
      <c r="O61" s="110"/>
      <c r="P61" s="110"/>
      <c r="Q61" s="110"/>
      <c r="R61" s="49"/>
      <c r="S61" s="49"/>
      <c r="T61" s="54"/>
      <c r="U61" s="49"/>
      <c r="V61" s="49"/>
      <c r="W61" s="49"/>
    </row>
    <row r="62" spans="1:23" x14ac:dyDescent="0.2">
      <c r="A62" s="82" t="s">
        <v>366</v>
      </c>
      <c r="B62" s="84">
        <v>2083.6058593475577</v>
      </c>
      <c r="C62" s="84">
        <v>2481.195759724078</v>
      </c>
      <c r="D62" s="84">
        <v>85.505987007130031</v>
      </c>
      <c r="E62" s="84">
        <v>77.650661623563252</v>
      </c>
      <c r="F62" s="84">
        <v>236.50431058693943</v>
      </c>
      <c r="G62" s="84">
        <v>237.51910605131781</v>
      </c>
      <c r="H62" s="84">
        <v>72.164006014314666</v>
      </c>
      <c r="I62" s="84">
        <v>72.164006014314623</v>
      </c>
      <c r="J62" s="84">
        <v>195.72437023167507</v>
      </c>
      <c r="K62" s="84">
        <v>195.72437023167495</v>
      </c>
      <c r="L62" s="84">
        <f t="shared" si="5"/>
        <v>2673.5045331876167</v>
      </c>
      <c r="M62" s="84">
        <f t="shared" si="6"/>
        <v>3064.2539036449489</v>
      </c>
      <c r="N62" s="110"/>
      <c r="O62" s="110"/>
      <c r="P62" s="110"/>
      <c r="Q62" s="110"/>
      <c r="R62" s="49"/>
      <c r="S62" s="49"/>
      <c r="T62" s="54"/>
      <c r="U62" s="49"/>
      <c r="V62" s="49"/>
      <c r="W62" s="49"/>
    </row>
    <row r="63" spans="1:23" x14ac:dyDescent="0.2">
      <c r="A63" s="82" t="s">
        <v>367</v>
      </c>
      <c r="B63" s="84">
        <v>2837.6325484579183</v>
      </c>
      <c r="C63" s="84">
        <v>3499.4436101752967</v>
      </c>
      <c r="D63" s="84">
        <v>306.76810207076085</v>
      </c>
      <c r="E63" s="84">
        <v>281.02305600606826</v>
      </c>
      <c r="F63" s="84">
        <v>208.10680502833441</v>
      </c>
      <c r="G63" s="84">
        <v>197.7849564543624</v>
      </c>
      <c r="H63" s="84">
        <v>72.164006014314666</v>
      </c>
      <c r="I63" s="84">
        <v>72.164006014314637</v>
      </c>
      <c r="J63" s="84">
        <v>0</v>
      </c>
      <c r="K63" s="84">
        <v>0</v>
      </c>
      <c r="L63" s="84">
        <f t="shared" si="5"/>
        <v>3424.6714615713281</v>
      </c>
      <c r="M63" s="84">
        <f t="shared" si="6"/>
        <v>4050.415628650042</v>
      </c>
      <c r="N63" s="110"/>
      <c r="O63" s="110"/>
      <c r="P63" s="110"/>
      <c r="Q63" s="110"/>
      <c r="R63" s="49"/>
      <c r="S63" s="49"/>
      <c r="T63" s="54"/>
      <c r="U63" s="49"/>
      <c r="V63" s="49"/>
      <c r="W63" s="49"/>
    </row>
    <row r="64" spans="1:23" x14ac:dyDescent="0.2">
      <c r="A64" s="82" t="s">
        <v>368</v>
      </c>
      <c r="B64" s="84">
        <v>3536.509921773732</v>
      </c>
      <c r="C64" s="84">
        <v>4557.1569540129267</v>
      </c>
      <c r="D64" s="84">
        <v>742.22887310943838</v>
      </c>
      <c r="E64" s="84">
        <v>649.31016949120078</v>
      </c>
      <c r="F64" s="84">
        <v>219.43066336023313</v>
      </c>
      <c r="G64" s="84">
        <v>206.12753367862982</v>
      </c>
      <c r="H64" s="84">
        <v>72.164006014314637</v>
      </c>
      <c r="I64" s="84">
        <v>72.164006014314637</v>
      </c>
      <c r="J64" s="84">
        <v>0</v>
      </c>
      <c r="K64" s="84">
        <v>0</v>
      </c>
      <c r="L64" s="84">
        <f t="shared" si="5"/>
        <v>4570.3334642577174</v>
      </c>
      <c r="M64" s="84">
        <f t="shared" si="6"/>
        <v>5484.7586631970726</v>
      </c>
      <c r="N64" s="110"/>
      <c r="O64" s="110"/>
      <c r="P64" s="110"/>
      <c r="Q64" s="110"/>
      <c r="R64" s="49"/>
      <c r="S64" s="49"/>
      <c r="T64" s="54"/>
      <c r="U64" s="49"/>
      <c r="V64" s="49"/>
      <c r="W64" s="49"/>
    </row>
    <row r="65" spans="1:23" x14ac:dyDescent="0.2">
      <c r="A65" s="82" t="s">
        <v>369</v>
      </c>
      <c r="B65" s="84">
        <v>4420.1487014642562</v>
      </c>
      <c r="C65" s="84">
        <v>5648.896758494453</v>
      </c>
      <c r="D65" s="84">
        <v>1607.2124858510122</v>
      </c>
      <c r="E65" s="84">
        <v>1309.482930466605</v>
      </c>
      <c r="F65" s="84">
        <v>232.80876697018155</v>
      </c>
      <c r="G65" s="84">
        <v>211.47829356719342</v>
      </c>
      <c r="H65" s="84">
        <v>72.164006014314623</v>
      </c>
      <c r="I65" s="84">
        <v>72.164006014314637</v>
      </c>
      <c r="J65" s="84">
        <v>0</v>
      </c>
      <c r="K65" s="84">
        <v>0</v>
      </c>
      <c r="L65" s="84">
        <f t="shared" si="5"/>
        <v>6332.3339602997648</v>
      </c>
      <c r="M65" s="84">
        <f t="shared" si="6"/>
        <v>7242.0219885425668</v>
      </c>
      <c r="N65" s="110"/>
      <c r="O65" s="110"/>
      <c r="P65" s="110"/>
      <c r="Q65" s="110"/>
      <c r="R65" s="49"/>
      <c r="S65" s="49"/>
      <c r="T65" s="54"/>
      <c r="U65" s="49"/>
      <c r="V65" s="49"/>
      <c r="W65" s="49"/>
    </row>
    <row r="66" spans="1:23" x14ac:dyDescent="0.2">
      <c r="A66" s="82" t="s">
        <v>370</v>
      </c>
      <c r="B66" s="84">
        <v>5895.8581568576601</v>
      </c>
      <c r="C66" s="84">
        <v>7105.0558073149896</v>
      </c>
      <c r="D66" s="84">
        <v>3362.5843505088569</v>
      </c>
      <c r="E66" s="84">
        <v>2468.9609978099716</v>
      </c>
      <c r="F66" s="84">
        <v>243.34122905517236</v>
      </c>
      <c r="G66" s="84">
        <v>211.83460176987703</v>
      </c>
      <c r="H66" s="84">
        <v>72.164006014314651</v>
      </c>
      <c r="I66" s="84">
        <v>72.164006014314651</v>
      </c>
      <c r="J66" s="84">
        <v>0</v>
      </c>
      <c r="K66" s="84">
        <v>0</v>
      </c>
      <c r="L66" s="84">
        <f t="shared" si="5"/>
        <v>9573.9477424360048</v>
      </c>
      <c r="M66" s="84">
        <f t="shared" si="6"/>
        <v>9858.0154129091516</v>
      </c>
      <c r="N66" s="110"/>
      <c r="O66" s="110"/>
      <c r="P66" s="110"/>
      <c r="Q66" s="110"/>
      <c r="R66" s="49"/>
      <c r="S66" s="49"/>
      <c r="T66" s="54"/>
      <c r="U66" s="49"/>
      <c r="V66" s="49"/>
      <c r="W66" s="49"/>
    </row>
    <row r="67" spans="1:23" x14ac:dyDescent="0.2">
      <c r="A67" s="82" t="s">
        <v>279</v>
      </c>
      <c r="B67" s="84">
        <v>5404.6895119027495</v>
      </c>
      <c r="C67" s="84">
        <v>6115.3446103746892</v>
      </c>
      <c r="D67" s="84">
        <v>9335.382928292378</v>
      </c>
      <c r="E67" s="84">
        <v>5938.6735695517391</v>
      </c>
      <c r="F67" s="84">
        <v>237.69213447332373</v>
      </c>
      <c r="G67" s="84">
        <v>198.62457900599651</v>
      </c>
      <c r="H67" s="84">
        <v>72.164006014314637</v>
      </c>
      <c r="I67" s="84">
        <v>72.164006014314637</v>
      </c>
      <c r="J67" s="84">
        <v>0</v>
      </c>
      <c r="K67" s="84">
        <v>0</v>
      </c>
      <c r="L67" s="84">
        <f t="shared" si="5"/>
        <v>15049.928580682765</v>
      </c>
      <c r="M67" s="84">
        <f t="shared" si="6"/>
        <v>12324.806764946739</v>
      </c>
      <c r="N67" s="110"/>
      <c r="O67" s="110"/>
      <c r="P67" s="110"/>
      <c r="Q67" s="110"/>
      <c r="R67" s="49"/>
      <c r="S67" s="49"/>
      <c r="T67" s="54"/>
      <c r="U67" s="49"/>
      <c r="V67" s="49"/>
      <c r="W67" s="49"/>
    </row>
    <row r="68" spans="1:23" ht="13.5" thickBot="1" x14ac:dyDescent="0.25">
      <c r="A68" s="83" t="s">
        <v>371</v>
      </c>
      <c r="B68" s="85">
        <f t="shared" ref="B68:M68" si="7">SUM(B50:B67)</f>
        <v>37382.359443157351</v>
      </c>
      <c r="C68" s="85">
        <f t="shared" si="7"/>
        <v>40891.568190795908</v>
      </c>
      <c r="D68" s="85">
        <f t="shared" si="7"/>
        <v>15487.126960901463</v>
      </c>
      <c r="E68" s="85">
        <f t="shared" si="7"/>
        <v>10767.470818999092</v>
      </c>
      <c r="F68" s="85">
        <f t="shared" si="7"/>
        <v>3899.8143687239722</v>
      </c>
      <c r="G68" s="85">
        <f t="shared" si="7"/>
        <v>3770.7020000471935</v>
      </c>
      <c r="H68" s="85">
        <f t="shared" si="7"/>
        <v>1298.9521082576634</v>
      </c>
      <c r="I68" s="85">
        <f t="shared" si="7"/>
        <v>1298.9521082576637</v>
      </c>
      <c r="J68" s="85">
        <f t="shared" si="7"/>
        <v>2544.416813011775</v>
      </c>
      <c r="K68" s="85">
        <f t="shared" si="7"/>
        <v>2544.416813011775</v>
      </c>
      <c r="L68" s="85">
        <f t="shared" si="7"/>
        <v>60612.669694052223</v>
      </c>
      <c r="M68" s="85">
        <f t="shared" si="7"/>
        <v>59273.109931111641</v>
      </c>
      <c r="N68" s="110"/>
      <c r="O68" s="110"/>
      <c r="P68" s="110"/>
      <c r="Q68" s="110"/>
      <c r="R68" s="49"/>
      <c r="S68" s="49"/>
      <c r="T68" s="54"/>
      <c r="U68" s="49"/>
      <c r="V68" s="49"/>
      <c r="W68" s="49"/>
    </row>
    <row r="69" spans="1:23" x14ac:dyDescent="0.2">
      <c r="N69" s="110"/>
      <c r="O69" s="110"/>
      <c r="P69" s="110"/>
      <c r="Q69" s="110"/>
      <c r="R69" s="49"/>
      <c r="S69" s="49"/>
      <c r="T69" s="54"/>
      <c r="U69" s="49"/>
      <c r="V69" s="49"/>
      <c r="W69" s="49"/>
    </row>
    <row r="70" spans="1:23" x14ac:dyDescent="0.2">
      <c r="N70" s="110"/>
      <c r="O70" s="110"/>
      <c r="P70" s="110"/>
      <c r="Q70" s="110"/>
      <c r="R70" s="121"/>
      <c r="S70" s="121"/>
      <c r="T70" s="54"/>
    </row>
    <row r="71" spans="1:23" ht="15.75" x14ac:dyDescent="0.25">
      <c r="A71" s="39" t="s">
        <v>187</v>
      </c>
      <c r="B71" s="38"/>
      <c r="C71" s="38"/>
      <c r="D71" s="38"/>
      <c r="E71" s="38"/>
      <c r="F71" s="38"/>
      <c r="G71" s="38"/>
      <c r="H71" s="38"/>
      <c r="I71" s="38"/>
      <c r="N71" s="110"/>
      <c r="O71" s="110"/>
      <c r="P71" s="110"/>
      <c r="Q71" s="110"/>
    </row>
    <row r="72" spans="1:23" x14ac:dyDescent="0.2">
      <c r="A72" s="38"/>
      <c r="B72" s="38"/>
      <c r="C72" s="38"/>
      <c r="D72" s="38"/>
      <c r="E72" s="38"/>
      <c r="F72" s="38"/>
      <c r="G72" s="38"/>
      <c r="H72" s="38"/>
      <c r="I72" s="38"/>
      <c r="N72" s="110"/>
      <c r="O72" s="110"/>
      <c r="P72" s="110"/>
      <c r="Q72" s="110"/>
    </row>
    <row r="73" spans="1:23" x14ac:dyDescent="0.2">
      <c r="A73" s="33"/>
      <c r="B73" s="128" t="s">
        <v>870</v>
      </c>
      <c r="C73" s="129"/>
      <c r="D73" s="128" t="s">
        <v>867</v>
      </c>
      <c r="E73" s="129"/>
      <c r="F73" s="128" t="s">
        <v>868</v>
      </c>
      <c r="G73" s="129"/>
      <c r="H73" s="128" t="s">
        <v>345</v>
      </c>
      <c r="I73" s="129"/>
      <c r="N73" s="110"/>
      <c r="O73" s="110"/>
      <c r="P73" s="110"/>
      <c r="Q73" s="110"/>
    </row>
    <row r="74" spans="1:23" x14ac:dyDescent="0.2">
      <c r="A74" s="34" t="s">
        <v>153</v>
      </c>
      <c r="B74" s="35" t="s">
        <v>155</v>
      </c>
      <c r="C74" s="35" t="s">
        <v>156</v>
      </c>
      <c r="D74" s="35" t="s">
        <v>155</v>
      </c>
      <c r="E74" s="35" t="s">
        <v>156</v>
      </c>
      <c r="F74" s="35" t="s">
        <v>155</v>
      </c>
      <c r="G74" s="35" t="s">
        <v>156</v>
      </c>
      <c r="H74" s="35" t="s">
        <v>155</v>
      </c>
      <c r="I74" s="35" t="s">
        <v>156</v>
      </c>
      <c r="N74" s="110"/>
      <c r="O74" s="110"/>
      <c r="P74" s="110"/>
      <c r="Q74" s="110"/>
    </row>
    <row r="75" spans="1:23" x14ac:dyDescent="0.2">
      <c r="A75" s="126">
        <v>16</v>
      </c>
      <c r="B75" s="130">
        <v>152</v>
      </c>
      <c r="C75" s="130">
        <v>0</v>
      </c>
      <c r="D75" s="130">
        <v>169</v>
      </c>
      <c r="E75" s="130">
        <v>268</v>
      </c>
      <c r="F75" s="130">
        <v>39</v>
      </c>
      <c r="G75" s="130">
        <v>4</v>
      </c>
      <c r="H75" s="130">
        <f t="shared" ref="H75:H87" si="8">AVERAGE(B75,D75,F75)</f>
        <v>120</v>
      </c>
      <c r="I75" s="130">
        <f t="shared" ref="I75:I87" si="9">AVERAGE(C75,E75,G75)</f>
        <v>90.666666666666671</v>
      </c>
      <c r="N75" s="110"/>
      <c r="O75" s="110"/>
      <c r="P75" s="110"/>
      <c r="Q75" s="110"/>
    </row>
    <row r="76" spans="1:23" x14ac:dyDescent="0.2">
      <c r="A76" s="126">
        <v>17</v>
      </c>
      <c r="B76" s="131">
        <v>443</v>
      </c>
      <c r="C76" s="131">
        <v>9</v>
      </c>
      <c r="D76" s="131">
        <v>252</v>
      </c>
      <c r="E76" s="131">
        <v>370</v>
      </c>
      <c r="F76" s="131">
        <v>74</v>
      </c>
      <c r="G76" s="131">
        <v>8</v>
      </c>
      <c r="H76" s="131">
        <f t="shared" si="8"/>
        <v>256.33333333333331</v>
      </c>
      <c r="I76" s="131">
        <f t="shared" si="9"/>
        <v>129</v>
      </c>
      <c r="N76" s="110"/>
      <c r="O76" s="110"/>
      <c r="P76" s="110"/>
      <c r="Q76" s="110"/>
    </row>
    <row r="77" spans="1:23" x14ac:dyDescent="0.2">
      <c r="A77" s="126" t="s">
        <v>291</v>
      </c>
      <c r="B77" s="131">
        <v>2906</v>
      </c>
      <c r="C77" s="131">
        <v>53</v>
      </c>
      <c r="D77" s="131">
        <v>647</v>
      </c>
      <c r="E77" s="131">
        <v>768</v>
      </c>
      <c r="F77" s="131">
        <v>962</v>
      </c>
      <c r="G77" s="131">
        <v>427</v>
      </c>
      <c r="H77" s="131">
        <f t="shared" si="8"/>
        <v>1505</v>
      </c>
      <c r="I77" s="131">
        <f t="shared" si="9"/>
        <v>416</v>
      </c>
      <c r="N77" s="110"/>
      <c r="O77" s="110"/>
      <c r="P77" s="110"/>
      <c r="Q77" s="110"/>
    </row>
    <row r="78" spans="1:23" x14ac:dyDescent="0.2">
      <c r="A78" s="126" t="s">
        <v>292</v>
      </c>
      <c r="B78" s="131">
        <v>15244</v>
      </c>
      <c r="C78" s="131">
        <v>550</v>
      </c>
      <c r="D78" s="131">
        <v>1572</v>
      </c>
      <c r="E78" s="131">
        <v>2162</v>
      </c>
      <c r="F78" s="131">
        <v>2173</v>
      </c>
      <c r="G78" s="131">
        <v>1898</v>
      </c>
      <c r="H78" s="131">
        <f t="shared" si="8"/>
        <v>6329.666666666667</v>
      </c>
      <c r="I78" s="131">
        <f t="shared" si="9"/>
        <v>1536.6666666666667</v>
      </c>
      <c r="N78" s="110"/>
      <c r="O78" s="110"/>
      <c r="P78" s="110"/>
      <c r="Q78" s="110"/>
    </row>
    <row r="79" spans="1:23" x14ac:dyDescent="0.2">
      <c r="A79" s="126" t="s">
        <v>293</v>
      </c>
      <c r="B79" s="131">
        <v>17510</v>
      </c>
      <c r="C79" s="131">
        <v>1148</v>
      </c>
      <c r="D79" s="131">
        <v>1675</v>
      </c>
      <c r="E79" s="131">
        <v>2420</v>
      </c>
      <c r="F79" s="131">
        <v>1588</v>
      </c>
      <c r="G79" s="131">
        <v>2364</v>
      </c>
      <c r="H79" s="131">
        <f t="shared" si="8"/>
        <v>6924.333333333333</v>
      </c>
      <c r="I79" s="131">
        <f t="shared" si="9"/>
        <v>1977.3333333333333</v>
      </c>
      <c r="N79" s="110"/>
      <c r="O79" s="110"/>
      <c r="P79" s="110"/>
      <c r="Q79" s="110"/>
    </row>
    <row r="80" spans="1:23" x14ac:dyDescent="0.2">
      <c r="A80" s="126" t="s">
        <v>294</v>
      </c>
      <c r="B80" s="131">
        <v>18452</v>
      </c>
      <c r="C80" s="131">
        <v>1929</v>
      </c>
      <c r="D80" s="131">
        <v>2431</v>
      </c>
      <c r="E80" s="131">
        <v>3215</v>
      </c>
      <c r="F80" s="131">
        <v>1604</v>
      </c>
      <c r="G80" s="131">
        <v>3017</v>
      </c>
      <c r="H80" s="131">
        <f t="shared" si="8"/>
        <v>7495.666666666667</v>
      </c>
      <c r="I80" s="131">
        <f t="shared" si="9"/>
        <v>2720.3333333333335</v>
      </c>
      <c r="N80" s="110"/>
      <c r="O80" s="110"/>
      <c r="P80" s="110"/>
      <c r="Q80" s="110"/>
    </row>
    <row r="81" spans="1:17" x14ac:dyDescent="0.2">
      <c r="A81" s="126" t="s">
        <v>295</v>
      </c>
      <c r="B81" s="131">
        <v>17118</v>
      </c>
      <c r="C81" s="131">
        <v>2148</v>
      </c>
      <c r="D81" s="131">
        <v>3032</v>
      </c>
      <c r="E81" s="131">
        <v>3968</v>
      </c>
      <c r="F81" s="131">
        <v>1555</v>
      </c>
      <c r="G81" s="131">
        <v>3157</v>
      </c>
      <c r="H81" s="131">
        <f t="shared" si="8"/>
        <v>7235</v>
      </c>
      <c r="I81" s="131">
        <f t="shared" si="9"/>
        <v>3091</v>
      </c>
      <c r="N81" s="110"/>
      <c r="O81" s="110"/>
      <c r="P81" s="110"/>
      <c r="Q81" s="110"/>
    </row>
    <row r="82" spans="1:17" x14ac:dyDescent="0.2">
      <c r="A82" s="126" t="s">
        <v>296</v>
      </c>
      <c r="B82" s="131">
        <v>13578</v>
      </c>
      <c r="C82" s="131">
        <v>1916</v>
      </c>
      <c r="D82" s="131">
        <v>3979</v>
      </c>
      <c r="E82" s="131">
        <v>4603</v>
      </c>
      <c r="F82" s="131">
        <v>1975</v>
      </c>
      <c r="G82" s="131">
        <v>3327</v>
      </c>
      <c r="H82" s="131">
        <f t="shared" si="8"/>
        <v>6510.666666666667</v>
      </c>
      <c r="I82" s="131">
        <f t="shared" si="9"/>
        <v>3282</v>
      </c>
      <c r="N82" s="110"/>
      <c r="O82" s="110"/>
      <c r="P82" s="110"/>
      <c r="Q82" s="110"/>
    </row>
    <row r="83" spans="1:17" x14ac:dyDescent="0.2">
      <c r="A83" s="126" t="s">
        <v>297</v>
      </c>
      <c r="B83" s="131">
        <v>6936</v>
      </c>
      <c r="C83" s="131">
        <v>1301</v>
      </c>
      <c r="D83" s="131">
        <v>4112</v>
      </c>
      <c r="E83" s="131">
        <v>4635</v>
      </c>
      <c r="F83" s="131">
        <v>2281</v>
      </c>
      <c r="G83" s="131">
        <v>3063</v>
      </c>
      <c r="H83" s="131">
        <f t="shared" si="8"/>
        <v>4443</v>
      </c>
      <c r="I83" s="131">
        <f t="shared" si="9"/>
        <v>2999.6666666666665</v>
      </c>
      <c r="N83" s="110"/>
      <c r="O83" s="110"/>
      <c r="P83" s="110"/>
      <c r="Q83" s="110"/>
    </row>
    <row r="84" spans="1:17" x14ac:dyDescent="0.2">
      <c r="A84" s="126" t="s">
        <v>298</v>
      </c>
      <c r="B84" s="131">
        <v>3046</v>
      </c>
      <c r="C84" s="131">
        <v>732</v>
      </c>
      <c r="D84" s="131">
        <v>4694</v>
      </c>
      <c r="E84" s="131">
        <v>4726</v>
      </c>
      <c r="F84" s="131">
        <v>2717</v>
      </c>
      <c r="G84" s="131">
        <v>2873</v>
      </c>
      <c r="H84" s="131">
        <f t="shared" si="8"/>
        <v>3485.6666666666665</v>
      </c>
      <c r="I84" s="131">
        <f t="shared" si="9"/>
        <v>2777</v>
      </c>
      <c r="N84" s="110"/>
      <c r="O84" s="110"/>
      <c r="P84" s="110"/>
      <c r="Q84" s="110"/>
    </row>
    <row r="85" spans="1:17" x14ac:dyDescent="0.2">
      <c r="A85" s="126" t="s">
        <v>299</v>
      </c>
      <c r="B85" s="131">
        <v>1931</v>
      </c>
      <c r="C85" s="131">
        <v>410</v>
      </c>
      <c r="D85" s="131">
        <v>5529</v>
      </c>
      <c r="E85" s="131">
        <v>5460</v>
      </c>
      <c r="F85" s="131">
        <v>2652</v>
      </c>
      <c r="G85" s="131">
        <v>3131</v>
      </c>
      <c r="H85" s="131">
        <f t="shared" si="8"/>
        <v>3370.6666666666665</v>
      </c>
      <c r="I85" s="131">
        <f t="shared" si="9"/>
        <v>3000.3333333333335</v>
      </c>
      <c r="N85" s="110"/>
      <c r="O85" s="110"/>
      <c r="P85" s="110"/>
      <c r="Q85" s="110"/>
    </row>
    <row r="86" spans="1:17" x14ac:dyDescent="0.2">
      <c r="A86" s="126" t="s">
        <v>300</v>
      </c>
      <c r="B86" s="131">
        <v>1946</v>
      </c>
      <c r="C86" s="131">
        <v>167</v>
      </c>
      <c r="D86" s="131">
        <v>5455</v>
      </c>
      <c r="E86" s="131">
        <v>6556</v>
      </c>
      <c r="F86" s="131">
        <v>1305</v>
      </c>
      <c r="G86" s="131">
        <v>2041</v>
      </c>
      <c r="H86" s="131">
        <f t="shared" si="8"/>
        <v>2902</v>
      </c>
      <c r="I86" s="131">
        <f t="shared" si="9"/>
        <v>2921.3333333333335</v>
      </c>
    </row>
    <row r="87" spans="1:17" x14ac:dyDescent="0.2">
      <c r="A87" s="126" t="s">
        <v>157</v>
      </c>
      <c r="B87" s="132">
        <v>35</v>
      </c>
      <c r="C87" s="132">
        <v>13</v>
      </c>
      <c r="D87" s="132">
        <v>199</v>
      </c>
      <c r="E87" s="132">
        <v>294</v>
      </c>
      <c r="F87" s="132">
        <v>144</v>
      </c>
      <c r="G87" s="132">
        <v>157</v>
      </c>
      <c r="H87" s="132">
        <f t="shared" si="8"/>
        <v>126</v>
      </c>
      <c r="I87" s="132">
        <f t="shared" si="9"/>
        <v>154.66666666666666</v>
      </c>
    </row>
    <row r="88" spans="1:17" x14ac:dyDescent="0.2">
      <c r="A88" s="127" t="s">
        <v>371</v>
      </c>
      <c r="B88" s="133">
        <f t="shared" ref="B88:I88" si="10">SUM(B$75:B$87)</f>
        <v>99297</v>
      </c>
      <c r="C88" s="133">
        <f t="shared" si="10"/>
        <v>10376</v>
      </c>
      <c r="D88" s="133">
        <f t="shared" si="10"/>
        <v>33746</v>
      </c>
      <c r="E88" s="133">
        <f t="shared" si="10"/>
        <v>39445</v>
      </c>
      <c r="F88" s="133">
        <f t="shared" si="10"/>
        <v>19069</v>
      </c>
      <c r="G88" s="133">
        <f t="shared" si="10"/>
        <v>25467</v>
      </c>
      <c r="H88" s="133">
        <f t="shared" si="10"/>
        <v>50703.999999999993</v>
      </c>
      <c r="I88" s="133">
        <f t="shared" si="10"/>
        <v>25095.999999999996</v>
      </c>
    </row>
    <row r="89" spans="1:17" x14ac:dyDescent="0.2">
      <c r="A89" s="33" t="s">
        <v>301</v>
      </c>
      <c r="B89" s="128" t="s">
        <v>870</v>
      </c>
      <c r="C89" s="129"/>
      <c r="D89" s="128" t="s">
        <v>867</v>
      </c>
      <c r="E89" s="129"/>
      <c r="F89" s="128" t="s">
        <v>868</v>
      </c>
      <c r="G89" s="129"/>
      <c r="H89" s="128" t="s">
        <v>158</v>
      </c>
      <c r="I89" s="129"/>
    </row>
    <row r="90" spans="1:17" x14ac:dyDescent="0.2">
      <c r="A90" s="34" t="s">
        <v>153</v>
      </c>
      <c r="B90" s="35" t="s">
        <v>155</v>
      </c>
      <c r="C90" s="35" t="s">
        <v>156</v>
      </c>
      <c r="D90" s="35" t="s">
        <v>155</v>
      </c>
      <c r="E90" s="35" t="s">
        <v>156</v>
      </c>
      <c r="F90" s="35" t="s">
        <v>155</v>
      </c>
      <c r="G90" s="35" t="s">
        <v>156</v>
      </c>
      <c r="H90" s="35" t="s">
        <v>155</v>
      </c>
      <c r="I90" s="35" t="s">
        <v>156</v>
      </c>
    </row>
    <row r="91" spans="1:17" x14ac:dyDescent="0.2">
      <c r="A91" s="36" t="s">
        <v>302</v>
      </c>
      <c r="B91" s="134">
        <f>SUM($B75:$B77)/SUM($B$75:$C$87)</f>
        <v>3.1922168628559448E-2</v>
      </c>
      <c r="C91" s="134">
        <f>SUM($C75:$C77)/SUM($B$75:$C$87)</f>
        <v>5.6531689659259797E-4</v>
      </c>
      <c r="D91" s="134">
        <f>SUM($D75:$D77)/SUM($D$75:$E$87)</f>
        <v>1.4591958027626348E-2</v>
      </c>
      <c r="E91" s="134">
        <f>SUM($E75:$E77)/SUM($D$75:$E$87)</f>
        <v>1.9210012159965022E-2</v>
      </c>
      <c r="F91" s="134">
        <f>SUM($F75:$F77)/SUM($F$75:$G$87)</f>
        <v>2.4137776181067001E-2</v>
      </c>
      <c r="G91" s="134">
        <f>SUM($G75:$G77)/SUM($F$75:$G$87)</f>
        <v>9.8571941799892229E-3</v>
      </c>
      <c r="H91" s="134">
        <f>SUM($H75:$H77)/SUM($H$75:$I$87)</f>
        <v>2.4819700967458228E-2</v>
      </c>
      <c r="I91" s="134">
        <f>SUM($I75:$I77)/SUM($H$75:$I$87)</f>
        <v>8.3861037818821482E-3</v>
      </c>
    </row>
    <row r="92" spans="1:17" x14ac:dyDescent="0.2">
      <c r="A92" s="36" t="s">
        <v>292</v>
      </c>
      <c r="B92" s="134">
        <f t="shared" ref="B92:B101" si="11">$B78/SUM($B$75:$C$87)</f>
        <v>0.13899501244608975</v>
      </c>
      <c r="C92" s="134">
        <f t="shared" ref="C92:C101" si="12">$C78/SUM($B$75:$C$87)</f>
        <v>5.0149079536440143E-3</v>
      </c>
      <c r="D92" s="134">
        <f t="shared" ref="D92:D101" si="13">$D78/SUM($D$75:$E$87)</f>
        <v>2.1478050579989343E-2</v>
      </c>
      <c r="E92" s="134">
        <f t="shared" ref="E92:E101" si="14">$E78/SUM($D$75:$E$87)</f>
        <v>2.9539150988509517E-2</v>
      </c>
      <c r="F92" s="134">
        <f t="shared" ref="F92:F101" si="15">$F78/SUM($F$75:$G$87)</f>
        <v>4.8791988503682417E-2</v>
      </c>
      <c r="G92" s="134">
        <f t="shared" ref="G92:G101" si="16">$G78/SUM($F$75:$G$87)</f>
        <v>4.2617208550386206E-2</v>
      </c>
      <c r="H92" s="134">
        <f t="shared" ref="H92:H101" si="17">$H78/SUM($H$75:$I$87)</f>
        <v>8.350483729111699E-2</v>
      </c>
      <c r="I92" s="134">
        <f t="shared" ref="I92:I101" si="18">$I78/SUM($H$75:$I$87)</f>
        <v>2.0272647317502203E-2</v>
      </c>
    </row>
    <row r="93" spans="1:17" x14ac:dyDescent="0.2">
      <c r="A93" s="36" t="s">
        <v>293</v>
      </c>
      <c r="B93" s="134">
        <f t="shared" si="11"/>
        <v>0.15965643321510309</v>
      </c>
      <c r="C93" s="134">
        <f t="shared" si="12"/>
        <v>1.0467480601424235E-2</v>
      </c>
      <c r="D93" s="134">
        <f t="shared" si="13"/>
        <v>2.2885327430968289E-2</v>
      </c>
      <c r="E93" s="134">
        <f t="shared" si="14"/>
        <v>3.3064174556981046E-2</v>
      </c>
      <c r="F93" s="134">
        <f t="shared" si="15"/>
        <v>3.565654751212502E-2</v>
      </c>
      <c r="G93" s="134">
        <f t="shared" si="16"/>
        <v>5.3080653853062688E-2</v>
      </c>
      <c r="H93" s="134">
        <f t="shared" si="17"/>
        <v>9.1350043975373801E-2</v>
      </c>
      <c r="I93" s="134">
        <f t="shared" si="18"/>
        <v>2.6086191732629733E-2</v>
      </c>
    </row>
    <row r="94" spans="1:17" x14ac:dyDescent="0.2">
      <c r="A94" s="36" t="s">
        <v>294</v>
      </c>
      <c r="B94" s="134">
        <f t="shared" si="11"/>
        <v>0.1682456028375261</v>
      </c>
      <c r="C94" s="134">
        <f t="shared" si="12"/>
        <v>1.7588649895598735E-2</v>
      </c>
      <c r="D94" s="134">
        <f t="shared" si="13"/>
        <v>3.3214466259512784E-2</v>
      </c>
      <c r="E94" s="134">
        <f t="shared" si="14"/>
        <v>4.3926165785410774E-2</v>
      </c>
      <c r="F94" s="134">
        <f t="shared" si="15"/>
        <v>3.6015807436680439E-2</v>
      </c>
      <c r="G94" s="134">
        <f t="shared" si="16"/>
        <v>6.7742949523980606E-2</v>
      </c>
      <c r="H94" s="134">
        <f t="shared" si="17"/>
        <v>9.888742304309589E-2</v>
      </c>
      <c r="I94" s="134">
        <f t="shared" si="18"/>
        <v>3.5888302550571689E-2</v>
      </c>
    </row>
    <row r="95" spans="1:17" x14ac:dyDescent="0.2">
      <c r="A95" s="36" t="s">
        <v>295</v>
      </c>
      <c r="B95" s="134">
        <f t="shared" si="11"/>
        <v>0.15608217154632406</v>
      </c>
      <c r="C95" s="134">
        <f t="shared" si="12"/>
        <v>1.958549506259517E-2</v>
      </c>
      <c r="D95" s="134">
        <f t="shared" si="13"/>
        <v>4.1425858370564686E-2</v>
      </c>
      <c r="E95" s="134">
        <f t="shared" si="14"/>
        <v>5.4214315967810248E-2</v>
      </c>
      <c r="F95" s="134">
        <f t="shared" si="15"/>
        <v>3.4915573917729474E-2</v>
      </c>
      <c r="G95" s="134">
        <f t="shared" si="16"/>
        <v>7.0886473863840491E-2</v>
      </c>
      <c r="H95" s="134">
        <f t="shared" si="17"/>
        <v>9.544854881266493E-2</v>
      </c>
      <c r="I95" s="134">
        <f t="shared" si="18"/>
        <v>4.0778364116094992E-2</v>
      </c>
    </row>
    <row r="96" spans="1:17" x14ac:dyDescent="0.2">
      <c r="A96" s="36" t="s">
        <v>296</v>
      </c>
      <c r="B96" s="134">
        <f t="shared" si="11"/>
        <v>0.12380440035377896</v>
      </c>
      <c r="C96" s="134">
        <f t="shared" si="12"/>
        <v>1.7470115707603512E-2</v>
      </c>
      <c r="D96" s="134">
        <f t="shared" si="13"/>
        <v>5.4364607670341979E-2</v>
      </c>
      <c r="E96" s="134">
        <f t="shared" si="14"/>
        <v>6.2890246068505684E-2</v>
      </c>
      <c r="F96" s="134">
        <f t="shared" si="15"/>
        <v>4.4346146937309143E-2</v>
      </c>
      <c r="G96" s="134">
        <f t="shared" si="16"/>
        <v>7.4703610562241785E-2</v>
      </c>
      <c r="H96" s="134">
        <f t="shared" si="17"/>
        <v>8.5892700087950774E-2</v>
      </c>
      <c r="I96" s="134">
        <f t="shared" si="18"/>
        <v>4.3298153034300797E-2</v>
      </c>
    </row>
    <row r="97" spans="1:17" x14ac:dyDescent="0.2">
      <c r="A97" s="36" t="s">
        <v>297</v>
      </c>
      <c r="B97" s="134">
        <f t="shared" si="11"/>
        <v>6.3242548302681612E-2</v>
      </c>
      <c r="C97" s="134">
        <f t="shared" si="12"/>
        <v>1.1862536813983388E-2</v>
      </c>
      <c r="D97" s="134">
        <f t="shared" si="13"/>
        <v>5.6181770982771106E-2</v>
      </c>
      <c r="E97" s="134">
        <f t="shared" si="14"/>
        <v>6.3327458294052549E-2</v>
      </c>
      <c r="F97" s="134">
        <f t="shared" si="15"/>
        <v>5.1216992994431471E-2</v>
      </c>
      <c r="G97" s="134">
        <f t="shared" si="16"/>
        <v>6.877582180707742E-2</v>
      </c>
      <c r="H97" s="134">
        <f t="shared" si="17"/>
        <v>5.8614775725593676E-2</v>
      </c>
      <c r="I97" s="134">
        <f t="shared" si="18"/>
        <v>3.9573438874230434E-2</v>
      </c>
    </row>
    <row r="98" spans="1:17" x14ac:dyDescent="0.2">
      <c r="A98" s="36" t="s">
        <v>298</v>
      </c>
      <c r="B98" s="134">
        <f t="shared" si="11"/>
        <v>2.7773472048726669E-2</v>
      </c>
      <c r="C98" s="134">
        <f t="shared" si="12"/>
        <v>6.674386585577125E-3</v>
      </c>
      <c r="D98" s="134">
        <f t="shared" si="13"/>
        <v>6.4133568334904564E-2</v>
      </c>
      <c r="E98" s="134">
        <f t="shared" si="14"/>
        <v>6.4570780560451416E-2</v>
      </c>
      <c r="F98" s="134">
        <f t="shared" si="15"/>
        <v>6.1006825938566552E-2</v>
      </c>
      <c r="G98" s="134">
        <f t="shared" si="16"/>
        <v>6.4509610202981862E-2</v>
      </c>
      <c r="H98" s="134">
        <f t="shared" si="17"/>
        <v>4.5985048372911175E-2</v>
      </c>
      <c r="I98" s="134">
        <f t="shared" si="18"/>
        <v>3.6635883905013197E-2</v>
      </c>
    </row>
    <row r="99" spans="1:17" x14ac:dyDescent="0.2">
      <c r="A99" s="36" t="s">
        <v>299</v>
      </c>
      <c r="B99" s="134">
        <f t="shared" si="11"/>
        <v>1.7606885924521077E-2</v>
      </c>
      <c r="C99" s="134">
        <f t="shared" si="12"/>
        <v>3.7383859290800836E-3</v>
      </c>
      <c r="D99" s="134">
        <f t="shared" si="13"/>
        <v>7.5542074845267856E-2</v>
      </c>
      <c r="E99" s="134">
        <f t="shared" si="14"/>
        <v>7.4599335983932452E-2</v>
      </c>
      <c r="F99" s="134">
        <f t="shared" si="15"/>
        <v>5.9547332495060175E-2</v>
      </c>
      <c r="G99" s="134">
        <f t="shared" si="16"/>
        <v>7.030267648643794E-2</v>
      </c>
      <c r="H99" s="134">
        <f t="shared" si="17"/>
        <v>4.4467897977132811E-2</v>
      </c>
      <c r="I99" s="134">
        <f t="shared" si="18"/>
        <v>3.9582233948988577E-2</v>
      </c>
    </row>
    <row r="100" spans="1:17" x14ac:dyDescent="0.2">
      <c r="A100" s="36" t="s">
        <v>300</v>
      </c>
      <c r="B100" s="134">
        <f t="shared" si="11"/>
        <v>1.7743656141438639E-2</v>
      </c>
      <c r="C100" s="134">
        <f t="shared" si="12"/>
        <v>1.5227084150155462E-3</v>
      </c>
      <c r="D100" s="134">
        <f t="shared" si="13"/>
        <v>7.4531021573690751E-2</v>
      </c>
      <c r="E100" s="134">
        <f t="shared" si="14"/>
        <v>8.9573854708912298E-2</v>
      </c>
      <c r="F100" s="134">
        <f t="shared" si="15"/>
        <v>2.9302137596551106E-2</v>
      </c>
      <c r="G100" s="134">
        <f t="shared" si="16"/>
        <v>4.5828094126100234E-2</v>
      </c>
      <c r="H100" s="134">
        <f t="shared" si="17"/>
        <v>3.8284960422163596E-2</v>
      </c>
      <c r="I100" s="134">
        <f t="shared" si="18"/>
        <v>3.8540017590149522E-2</v>
      </c>
    </row>
    <row r="101" spans="1:17" x14ac:dyDescent="0.2">
      <c r="A101" s="37" t="s">
        <v>157</v>
      </c>
      <c r="B101" s="134">
        <f t="shared" si="11"/>
        <v>3.1913050614098274E-4</v>
      </c>
      <c r="C101" s="134">
        <f t="shared" si="12"/>
        <v>1.1853418799522216E-4</v>
      </c>
      <c r="D101" s="134">
        <f t="shared" si="13"/>
        <v>2.7189135276195161E-3</v>
      </c>
      <c r="E101" s="134">
        <f t="shared" si="14"/>
        <v>4.0168873222117471E-3</v>
      </c>
      <c r="F101" s="134">
        <f t="shared" si="15"/>
        <v>3.2333393209987428E-3</v>
      </c>
      <c r="G101" s="134">
        <f t="shared" si="16"/>
        <v>3.5252380097000181E-3</v>
      </c>
      <c r="H101" s="134">
        <f t="shared" si="17"/>
        <v>1.6622691292875994E-3</v>
      </c>
      <c r="I101" s="134">
        <f t="shared" si="18"/>
        <v>2.0404573438874232E-3</v>
      </c>
    </row>
    <row r="102" spans="1:17" x14ac:dyDescent="0.2">
      <c r="B102" s="390"/>
      <c r="C102" s="390"/>
      <c r="D102" s="390"/>
      <c r="E102" s="390"/>
      <c r="F102" s="390"/>
      <c r="G102" s="390"/>
      <c r="H102" s="390"/>
      <c r="I102" s="390"/>
      <c r="J102" s="390"/>
      <c r="K102" s="390"/>
      <c r="L102" s="390"/>
      <c r="M102" s="390"/>
    </row>
    <row r="103" spans="1:17" x14ac:dyDescent="0.2">
      <c r="A103" s="389"/>
      <c r="B103" s="389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</row>
    <row r="104" spans="1:17" ht="18.75" x14ac:dyDescent="0.3">
      <c r="A104" s="351" t="s">
        <v>218</v>
      </c>
      <c r="B104" s="352"/>
      <c r="C104" s="352"/>
      <c r="D104" s="352"/>
      <c r="E104" s="352"/>
      <c r="F104" s="352"/>
      <c r="G104" s="352"/>
      <c r="H104" s="352"/>
      <c r="I104" s="352"/>
      <c r="J104" s="352"/>
      <c r="K104" s="352"/>
      <c r="L104" s="352"/>
      <c r="M104" s="352"/>
    </row>
    <row r="105" spans="1:17" x14ac:dyDescent="0.2">
      <c r="A105" s="353" t="s">
        <v>862</v>
      </c>
      <c r="B105" s="352"/>
      <c r="C105" s="352"/>
      <c r="D105" s="352"/>
      <c r="E105" s="352"/>
      <c r="F105" s="352"/>
      <c r="G105" s="352"/>
      <c r="H105" s="352"/>
      <c r="I105" s="352"/>
      <c r="J105" s="352"/>
      <c r="K105" s="352"/>
      <c r="L105" s="352"/>
      <c r="M105" s="352"/>
    </row>
    <row r="106" spans="1:17" x14ac:dyDescent="0.2">
      <c r="A106" s="352"/>
      <c r="B106" s="354" t="s">
        <v>109</v>
      </c>
      <c r="C106" s="354" t="s">
        <v>110</v>
      </c>
      <c r="D106" s="354" t="s">
        <v>111</v>
      </c>
      <c r="E106" s="354" t="s">
        <v>112</v>
      </c>
      <c r="F106" s="354" t="s">
        <v>113</v>
      </c>
      <c r="G106" s="354" t="s">
        <v>3</v>
      </c>
      <c r="H106" s="354" t="s">
        <v>114</v>
      </c>
      <c r="I106" s="354" t="s">
        <v>115</v>
      </c>
      <c r="J106" s="354" t="s">
        <v>116</v>
      </c>
      <c r="K106" s="354" t="s">
        <v>117</v>
      </c>
      <c r="L106" s="354" t="s">
        <v>120</v>
      </c>
      <c r="M106" s="354" t="s">
        <v>121</v>
      </c>
    </row>
    <row r="107" spans="1:17" x14ac:dyDescent="0.2">
      <c r="A107" s="355" t="s">
        <v>118</v>
      </c>
      <c r="B107" s="395">
        <v>1102</v>
      </c>
      <c r="C107" s="396">
        <v>1367.5032865954752</v>
      </c>
      <c r="D107" s="396">
        <v>888.56639982703814</v>
      </c>
      <c r="E107" s="396">
        <v>910.46897303949311</v>
      </c>
      <c r="F107" s="396">
        <v>919.27466303510676</v>
      </c>
      <c r="G107" s="396">
        <v>950.16723215272748</v>
      </c>
      <c r="H107" s="397">
        <v>969.16329163779926</v>
      </c>
      <c r="I107" s="397">
        <v>981.51486803044122</v>
      </c>
      <c r="J107" s="397">
        <v>996.77589228536033</v>
      </c>
      <c r="K107" s="397">
        <v>1017.0199601204142</v>
      </c>
      <c r="L107" s="397">
        <v>1036.7822031177616</v>
      </c>
      <c r="M107" s="397">
        <v>1055.9440976578071</v>
      </c>
    </row>
    <row r="108" spans="1:17" x14ac:dyDescent="0.2">
      <c r="A108" s="391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1:17" ht="18.75" x14ac:dyDescent="0.3">
      <c r="A109" s="356" t="s">
        <v>119</v>
      </c>
      <c r="B109" s="357"/>
      <c r="C109" s="357"/>
      <c r="D109" s="357"/>
      <c r="E109" s="357"/>
      <c r="F109" s="357"/>
      <c r="G109" s="357"/>
      <c r="H109" s="357"/>
      <c r="I109" s="357"/>
      <c r="J109" s="357"/>
      <c r="K109" s="357"/>
      <c r="L109" s="357"/>
      <c r="M109" s="357"/>
      <c r="N109" s="357"/>
      <c r="O109" s="357"/>
      <c r="P109" s="357"/>
      <c r="Q109" s="357"/>
    </row>
    <row r="110" spans="1:17" x14ac:dyDescent="0.2">
      <c r="A110" s="358" t="s">
        <v>861</v>
      </c>
      <c r="B110" s="357"/>
      <c r="C110" s="357"/>
      <c r="D110" s="357"/>
      <c r="E110" s="357"/>
      <c r="F110" s="357"/>
      <c r="G110" s="357"/>
      <c r="H110" s="357"/>
      <c r="I110" s="357"/>
      <c r="J110" s="357"/>
      <c r="K110" s="357"/>
      <c r="L110" s="357"/>
      <c r="M110" s="357"/>
      <c r="N110" s="357"/>
      <c r="O110" s="357"/>
      <c r="P110" s="357"/>
      <c r="Q110" s="357"/>
    </row>
    <row r="111" spans="1:17" x14ac:dyDescent="0.2">
      <c r="A111" s="357"/>
      <c r="B111" s="359" t="s">
        <v>109</v>
      </c>
      <c r="C111" s="359" t="s">
        <v>110</v>
      </c>
      <c r="D111" s="359" t="s">
        <v>111</v>
      </c>
      <c r="E111" s="359" t="s">
        <v>112</v>
      </c>
      <c r="F111" s="359" t="s">
        <v>113</v>
      </c>
      <c r="G111" s="359" t="s">
        <v>3</v>
      </c>
      <c r="H111" s="359" t="s">
        <v>114</v>
      </c>
      <c r="I111" s="359" t="s">
        <v>115</v>
      </c>
      <c r="J111" s="359" t="s">
        <v>116</v>
      </c>
      <c r="K111" s="359" t="s">
        <v>117</v>
      </c>
      <c r="L111" s="359" t="s">
        <v>120</v>
      </c>
      <c r="M111" s="359" t="s">
        <v>121</v>
      </c>
      <c r="N111" s="359" t="s">
        <v>703</v>
      </c>
      <c r="O111" s="359" t="s">
        <v>122</v>
      </c>
      <c r="P111" s="359" t="s">
        <v>123</v>
      </c>
      <c r="Q111" s="359" t="s">
        <v>699</v>
      </c>
    </row>
    <row r="112" spans="1:17" x14ac:dyDescent="0.2">
      <c r="A112" s="360" t="s">
        <v>124</v>
      </c>
      <c r="B112" s="377">
        <v>0.95899999999999996</v>
      </c>
      <c r="C112" s="361">
        <v>0.56200000000000006</v>
      </c>
      <c r="D112" s="361">
        <v>0.56200000000000006</v>
      </c>
      <c r="E112" s="361">
        <v>0.56200000000000006</v>
      </c>
      <c r="F112" s="361">
        <v>0.56200000000000006</v>
      </c>
      <c r="G112" s="361">
        <v>0.56200000000000006</v>
      </c>
      <c r="H112" s="362">
        <v>0</v>
      </c>
      <c r="I112" s="362">
        <v>0</v>
      </c>
      <c r="J112" s="362">
        <v>0</v>
      </c>
      <c r="K112" s="362">
        <v>0</v>
      </c>
      <c r="L112" s="362">
        <v>0</v>
      </c>
      <c r="M112" s="362">
        <v>0</v>
      </c>
      <c r="N112" s="362">
        <v>0</v>
      </c>
      <c r="O112" s="362">
        <v>0</v>
      </c>
      <c r="P112" s="362">
        <v>0</v>
      </c>
      <c r="Q112" s="362">
        <v>0</v>
      </c>
    </row>
    <row r="113" spans="1:17" x14ac:dyDescent="0.2">
      <c r="A113" s="360"/>
      <c r="B113" s="378"/>
      <c r="C113" s="363"/>
      <c r="D113" s="363"/>
      <c r="E113" s="363"/>
      <c r="F113" s="363"/>
      <c r="G113" s="363"/>
      <c r="H113" s="364"/>
      <c r="I113" s="364"/>
      <c r="J113" s="364"/>
      <c r="K113" s="364"/>
      <c r="L113" s="364"/>
      <c r="M113" s="364"/>
      <c r="N113" s="365"/>
      <c r="O113" s="365"/>
      <c r="P113" s="365"/>
      <c r="Q113" s="365"/>
    </row>
    <row r="114" spans="1:17" x14ac:dyDescent="0.2">
      <c r="A114" s="360" t="s">
        <v>125</v>
      </c>
      <c r="B114" s="377">
        <v>0</v>
      </c>
      <c r="C114" s="361">
        <v>8.7999999999999995E-2</v>
      </c>
      <c r="D114" s="361">
        <v>0.41399999999999998</v>
      </c>
      <c r="E114" s="361">
        <v>0.84599999999999997</v>
      </c>
      <c r="F114" s="361">
        <v>1.044</v>
      </c>
      <c r="G114" s="361">
        <v>1.577</v>
      </c>
      <c r="H114" s="366">
        <v>1.35</v>
      </c>
      <c r="I114" s="366">
        <v>1.35</v>
      </c>
      <c r="J114" s="366">
        <v>1.35</v>
      </c>
      <c r="K114" s="366">
        <v>1.35</v>
      </c>
      <c r="L114" s="366">
        <v>1.35</v>
      </c>
      <c r="M114" s="366">
        <v>1.2479166666666666</v>
      </c>
      <c r="N114" s="366">
        <v>1.1458333333333335</v>
      </c>
      <c r="O114" s="366">
        <v>1.04375</v>
      </c>
      <c r="P114" s="366">
        <v>0.94166666666666665</v>
      </c>
      <c r="Q114" s="366">
        <v>0.83958333333333335</v>
      </c>
    </row>
    <row r="115" spans="1:17" x14ac:dyDescent="0.2">
      <c r="A115" s="360" t="s">
        <v>126</v>
      </c>
      <c r="B115" s="377">
        <v>0</v>
      </c>
      <c r="C115" s="361">
        <v>0.32700000000000001</v>
      </c>
      <c r="D115" s="361">
        <v>0.95599999999999996</v>
      </c>
      <c r="E115" s="361">
        <v>0.629</v>
      </c>
      <c r="F115" s="361">
        <v>0.64200000000000002</v>
      </c>
      <c r="G115" s="361">
        <v>1.07</v>
      </c>
      <c r="H115" s="366">
        <v>1.35</v>
      </c>
      <c r="I115" s="366">
        <v>1.35</v>
      </c>
      <c r="J115" s="366">
        <v>1.35</v>
      </c>
      <c r="K115" s="366">
        <v>1.35</v>
      </c>
      <c r="L115" s="366">
        <v>1.35</v>
      </c>
      <c r="M115" s="366">
        <v>1.2479166666666666</v>
      </c>
      <c r="N115" s="366">
        <v>1.1458333333333335</v>
      </c>
      <c r="O115" s="366">
        <v>1.04375</v>
      </c>
      <c r="P115" s="366">
        <v>0.94166666666666665</v>
      </c>
      <c r="Q115" s="366">
        <v>0.83958333333333335</v>
      </c>
    </row>
    <row r="116" spans="1:17" x14ac:dyDescent="0.2">
      <c r="A116" s="360"/>
      <c r="B116" s="378"/>
      <c r="C116" s="363"/>
      <c r="D116" s="363"/>
      <c r="E116" s="363"/>
      <c r="F116" s="363"/>
      <c r="G116" s="363"/>
      <c r="H116" s="364"/>
      <c r="I116" s="364"/>
      <c r="J116" s="364"/>
      <c r="K116" s="364"/>
      <c r="L116" s="364"/>
      <c r="M116" s="364"/>
      <c r="N116" s="365"/>
      <c r="O116" s="365"/>
      <c r="P116" s="365"/>
      <c r="Q116" s="365"/>
    </row>
    <row r="117" spans="1:17" x14ac:dyDescent="0.2">
      <c r="A117" s="360" t="s">
        <v>127</v>
      </c>
      <c r="B117" s="377">
        <v>0</v>
      </c>
      <c r="C117" s="361">
        <v>0.23900000000000002</v>
      </c>
      <c r="D117" s="361">
        <v>0.78100000000000003</v>
      </c>
      <c r="E117" s="361">
        <v>0.56400000000000006</v>
      </c>
      <c r="F117" s="361">
        <v>0.16200000000000003</v>
      </c>
      <c r="G117" s="361">
        <v>0</v>
      </c>
      <c r="H117" s="362">
        <v>0</v>
      </c>
      <c r="I117" s="362">
        <v>0</v>
      </c>
      <c r="J117" s="362">
        <v>0</v>
      </c>
      <c r="K117" s="362">
        <v>0</v>
      </c>
      <c r="L117" s="362">
        <v>0</v>
      </c>
      <c r="M117" s="362">
        <v>0</v>
      </c>
      <c r="N117" s="362">
        <v>0</v>
      </c>
      <c r="O117" s="362">
        <v>0</v>
      </c>
      <c r="P117" s="362">
        <v>0</v>
      </c>
      <c r="Q117" s="362">
        <v>0</v>
      </c>
    </row>
    <row r="118" spans="1:17" x14ac:dyDescent="0.2">
      <c r="A118" s="360" t="s">
        <v>128</v>
      </c>
      <c r="B118" s="377">
        <v>0</v>
      </c>
      <c r="C118" s="361">
        <v>0</v>
      </c>
      <c r="D118" s="361">
        <v>0</v>
      </c>
      <c r="E118" s="361">
        <v>0</v>
      </c>
      <c r="F118" s="361">
        <v>0</v>
      </c>
      <c r="G118" s="361">
        <v>0.34499999999999997</v>
      </c>
      <c r="H118" s="362">
        <v>0</v>
      </c>
      <c r="I118" s="362">
        <v>0</v>
      </c>
      <c r="J118" s="362">
        <v>0</v>
      </c>
      <c r="K118" s="362">
        <v>0</v>
      </c>
      <c r="L118" s="362">
        <v>0</v>
      </c>
      <c r="M118" s="362">
        <v>0</v>
      </c>
      <c r="N118" s="362">
        <v>0</v>
      </c>
      <c r="O118" s="362">
        <v>0</v>
      </c>
      <c r="P118" s="362">
        <v>0</v>
      </c>
      <c r="Q118" s="362">
        <v>0</v>
      </c>
    </row>
    <row r="123" spans="1:17" x14ac:dyDescent="0.2">
      <c r="A123" s="398" t="s">
        <v>914</v>
      </c>
      <c r="B123" s="399" t="s">
        <v>114</v>
      </c>
      <c r="C123" s="399" t="s">
        <v>115</v>
      </c>
      <c r="D123" s="399" t="s">
        <v>116</v>
      </c>
      <c r="E123" s="399" t="s">
        <v>117</v>
      </c>
      <c r="F123" s="399" t="s">
        <v>120</v>
      </c>
      <c r="G123" s="399" t="s">
        <v>121</v>
      </c>
      <c r="H123" s="399" t="s">
        <v>703</v>
      </c>
      <c r="I123" s="399" t="s">
        <v>122</v>
      </c>
      <c r="J123" s="399" t="s">
        <v>123</v>
      </c>
      <c r="K123" s="399" t="s">
        <v>699</v>
      </c>
    </row>
    <row r="124" spans="1:17" x14ac:dyDescent="0.2">
      <c r="A124" s="400" t="s">
        <v>861</v>
      </c>
      <c r="B124" s="401">
        <v>1.65</v>
      </c>
      <c r="C124" s="401">
        <v>1.65</v>
      </c>
      <c r="D124" s="401">
        <v>1.65</v>
      </c>
      <c r="E124" s="401">
        <f>$B$125*1.02^(MID(E$123,6,2)-MID($B$123,6,2))</f>
        <v>0.95508719999999991</v>
      </c>
      <c r="F124" s="401">
        <f t="shared" ref="F124:K124" si="19">$B$125*1.02^(MID(F$123,6,2)-MID($B$123,6,2))</f>
        <v>0.974188944</v>
      </c>
      <c r="G124" s="401">
        <f t="shared" si="19"/>
        <v>0.99367272288000008</v>
      </c>
      <c r="H124" s="401">
        <f t="shared" si="19"/>
        <v>1.0135461773376</v>
      </c>
      <c r="I124" s="401">
        <f t="shared" si="19"/>
        <v>1.033817100884352</v>
      </c>
      <c r="J124" s="401">
        <f t="shared" si="19"/>
        <v>1.0544934429020389</v>
      </c>
      <c r="K124" s="401">
        <f t="shared" si="19"/>
        <v>1.0755833117600797</v>
      </c>
    </row>
    <row r="125" spans="1:17" x14ac:dyDescent="0.2">
      <c r="A125" s="400" t="s">
        <v>902</v>
      </c>
      <c r="B125" s="401">
        <v>0.9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69"/>
  <sheetViews>
    <sheetView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E3" sqref="E3"/>
    </sheetView>
  </sheetViews>
  <sheetFormatPr defaultRowHeight="12.75" x14ac:dyDescent="0.2"/>
  <cols>
    <col min="1" max="1" width="52.5703125" customWidth="1"/>
    <col min="2" max="3" width="21.7109375" customWidth="1"/>
    <col min="4" max="4" width="11.140625" customWidth="1"/>
  </cols>
  <sheetData>
    <row r="1" spans="1:3" ht="18.75" x14ac:dyDescent="0.3">
      <c r="A1" s="52" t="s">
        <v>211</v>
      </c>
    </row>
    <row r="2" spans="1:3" ht="12.75" customHeight="1" x14ac:dyDescent="0.3">
      <c r="A2" s="52"/>
    </row>
    <row r="3" spans="1:3" ht="15.75" customHeight="1" x14ac:dyDescent="0.25">
      <c r="A3" s="53" t="s">
        <v>759</v>
      </c>
      <c r="B3" s="50" t="s">
        <v>733</v>
      </c>
      <c r="C3" s="51" t="s">
        <v>915</v>
      </c>
    </row>
    <row r="4" spans="1:3" x14ac:dyDescent="0.2">
      <c r="A4" s="41"/>
    </row>
    <row r="5" spans="1:3" ht="15.75" customHeight="1" x14ac:dyDescent="0.25">
      <c r="A5" s="53" t="s">
        <v>760</v>
      </c>
      <c r="B5" s="250" t="s">
        <v>729</v>
      </c>
    </row>
    <row r="6" spans="1:3" x14ac:dyDescent="0.2">
      <c r="A6" s="45" t="s">
        <v>761</v>
      </c>
      <c r="B6" s="2">
        <v>1.4999999999999999E-2</v>
      </c>
      <c r="C6" s="3">
        <v>1.4999999999999999E-2</v>
      </c>
    </row>
    <row r="7" spans="1:3" x14ac:dyDescent="0.2">
      <c r="A7" s="45" t="s">
        <v>762</v>
      </c>
      <c r="B7" s="2">
        <v>0.02</v>
      </c>
      <c r="C7" s="3">
        <v>0.02</v>
      </c>
    </row>
    <row r="8" spans="1:3" x14ac:dyDescent="0.2">
      <c r="A8" s="45" t="s">
        <v>192</v>
      </c>
      <c r="B8" s="2">
        <v>0.06</v>
      </c>
      <c r="C8" s="3">
        <v>0.06</v>
      </c>
    </row>
    <row r="9" spans="1:3" x14ac:dyDescent="0.2">
      <c r="A9" s="45" t="s">
        <v>768</v>
      </c>
      <c r="B9" s="2">
        <v>4.2999999999999997E-2</v>
      </c>
      <c r="C9" s="3">
        <v>4.2999999999999997E-2</v>
      </c>
    </row>
    <row r="10" spans="1:3" ht="13.5" x14ac:dyDescent="0.25">
      <c r="A10" s="266" t="s">
        <v>173</v>
      </c>
      <c r="B10" s="250" t="s">
        <v>734</v>
      </c>
    </row>
    <row r="11" spans="1:3" ht="13.5" x14ac:dyDescent="0.25">
      <c r="A11" s="63"/>
      <c r="B11" s="250" t="s">
        <v>735</v>
      </c>
    </row>
    <row r="12" spans="1:3" ht="13.5" x14ac:dyDescent="0.25">
      <c r="A12" s="63"/>
      <c r="B12" s="250" t="s">
        <v>736</v>
      </c>
    </row>
    <row r="13" spans="1:3" x14ac:dyDescent="0.2">
      <c r="A13" s="45" t="s">
        <v>739</v>
      </c>
      <c r="B13" s="2">
        <v>2E-3</v>
      </c>
      <c r="C13" s="369">
        <v>2E-3</v>
      </c>
    </row>
    <row r="14" spans="1:3" x14ac:dyDescent="0.2">
      <c r="A14" s="45" t="s">
        <v>192</v>
      </c>
      <c r="B14" s="2">
        <v>1E-3</v>
      </c>
      <c r="C14" s="369">
        <v>1E-3</v>
      </c>
    </row>
    <row r="15" spans="1:3" x14ac:dyDescent="0.2">
      <c r="A15" s="45" t="s">
        <v>768</v>
      </c>
      <c r="B15" s="2">
        <v>1E-3</v>
      </c>
      <c r="C15" s="369">
        <v>1E-3</v>
      </c>
    </row>
    <row r="16" spans="1:3" x14ac:dyDescent="0.2">
      <c r="A16" s="45"/>
    </row>
    <row r="17" spans="1:3" ht="15.75" x14ac:dyDescent="0.25">
      <c r="A17" s="53" t="s">
        <v>763</v>
      </c>
    </row>
    <row r="18" spans="1:3" ht="13.5" x14ac:dyDescent="0.25">
      <c r="A18" s="266" t="s">
        <v>692</v>
      </c>
      <c r="B18" s="250" t="s">
        <v>669</v>
      </c>
    </row>
    <row r="19" spans="1:3" ht="13.5" x14ac:dyDescent="0.25">
      <c r="A19" s="63"/>
      <c r="B19" s="250" t="s">
        <v>724</v>
      </c>
    </row>
    <row r="20" spans="1:3" ht="13.5" x14ac:dyDescent="0.25">
      <c r="A20" s="63"/>
      <c r="B20" s="250" t="s">
        <v>725</v>
      </c>
    </row>
    <row r="21" spans="1:3" x14ac:dyDescent="0.2">
      <c r="A21" s="45" t="s">
        <v>693</v>
      </c>
      <c r="B21" s="241">
        <v>0.5</v>
      </c>
      <c r="C21" s="242">
        <v>0.5</v>
      </c>
    </row>
    <row r="22" spans="1:3" x14ac:dyDescent="0.2">
      <c r="A22" s="45" t="s">
        <v>700</v>
      </c>
      <c r="B22" s="241">
        <v>0.5</v>
      </c>
      <c r="C22" s="242">
        <v>0.5</v>
      </c>
    </row>
    <row r="23" spans="1:3" ht="13.5" x14ac:dyDescent="0.25">
      <c r="A23" s="266" t="s">
        <v>701</v>
      </c>
      <c r="B23" s="250" t="s">
        <v>246</v>
      </c>
    </row>
    <row r="24" spans="1:3" x14ac:dyDescent="0.2">
      <c r="A24" s="45" t="s">
        <v>764</v>
      </c>
      <c r="B24" s="4" t="s">
        <v>167</v>
      </c>
      <c r="C24" s="5" t="s">
        <v>167</v>
      </c>
    </row>
    <row r="25" spans="1:3" x14ac:dyDescent="0.2">
      <c r="A25" s="45" t="s">
        <v>209</v>
      </c>
      <c r="B25" s="231">
        <v>1.35</v>
      </c>
      <c r="C25" s="232">
        <v>1.35</v>
      </c>
    </row>
    <row r="26" spans="1:3" x14ac:dyDescent="0.2">
      <c r="A26" s="45" t="s">
        <v>277</v>
      </c>
      <c r="B26" s="237" t="s">
        <v>703</v>
      </c>
      <c r="C26" s="238" t="s">
        <v>703</v>
      </c>
    </row>
    <row r="27" spans="1:3" ht="13.5" x14ac:dyDescent="0.25">
      <c r="A27" s="266" t="s">
        <v>234</v>
      </c>
      <c r="B27" s="250" t="s">
        <v>726</v>
      </c>
    </row>
    <row r="28" spans="1:3" ht="13.5" x14ac:dyDescent="0.25">
      <c r="A28" s="63"/>
      <c r="B28" s="250" t="s">
        <v>727</v>
      </c>
    </row>
    <row r="29" spans="1:3" x14ac:dyDescent="0.2">
      <c r="A29" s="45" t="s">
        <v>702</v>
      </c>
      <c r="B29" s="4" t="s">
        <v>129</v>
      </c>
      <c r="C29" s="5" t="s">
        <v>129</v>
      </c>
    </row>
    <row r="30" spans="1:3" ht="15.75" customHeight="1" x14ac:dyDescent="0.25">
      <c r="A30" s="266" t="s">
        <v>682</v>
      </c>
      <c r="B30" s="250" t="s">
        <v>728</v>
      </c>
    </row>
    <row r="31" spans="1:3" x14ac:dyDescent="0.2">
      <c r="A31" s="45" t="s">
        <v>683</v>
      </c>
      <c r="B31" s="6">
        <v>1.544</v>
      </c>
      <c r="C31" s="7">
        <v>1.544</v>
      </c>
    </row>
    <row r="32" spans="1:3" x14ac:dyDescent="0.2">
      <c r="A32" s="45" t="s">
        <v>684</v>
      </c>
      <c r="B32" s="6">
        <v>0.9</v>
      </c>
      <c r="C32" s="7">
        <v>0.9</v>
      </c>
    </row>
    <row r="33" spans="1:3" ht="15.75" customHeight="1" x14ac:dyDescent="0.25">
      <c r="A33" s="266" t="s">
        <v>685</v>
      </c>
      <c r="B33" s="250" t="s">
        <v>730</v>
      </c>
    </row>
    <row r="34" spans="1:3" ht="15.75" customHeight="1" x14ac:dyDescent="0.25">
      <c r="A34" s="63"/>
      <c r="B34" s="250" t="s">
        <v>688</v>
      </c>
    </row>
    <row r="35" spans="1:3" x14ac:dyDescent="0.2">
      <c r="A35" s="45" t="s">
        <v>686</v>
      </c>
      <c r="B35" s="4" t="s">
        <v>149</v>
      </c>
      <c r="C35" s="5" t="s">
        <v>149</v>
      </c>
    </row>
    <row r="36" spans="1:3" x14ac:dyDescent="0.2">
      <c r="A36" s="45" t="s">
        <v>687</v>
      </c>
      <c r="B36" s="4" t="s">
        <v>149</v>
      </c>
      <c r="C36" s="5" t="s">
        <v>149</v>
      </c>
    </row>
    <row r="37" spans="1:3" x14ac:dyDescent="0.2">
      <c r="A37" s="45" t="s">
        <v>903</v>
      </c>
      <c r="B37" s="4" t="s">
        <v>167</v>
      </c>
      <c r="C37" s="5" t="s">
        <v>167</v>
      </c>
    </row>
    <row r="38" spans="1:3" ht="15.75" customHeight="1" x14ac:dyDescent="0.25">
      <c r="A38" s="266" t="s">
        <v>215</v>
      </c>
      <c r="B38" s="250" t="s">
        <v>731</v>
      </c>
    </row>
    <row r="39" spans="1:3" ht="15.75" customHeight="1" x14ac:dyDescent="0.25">
      <c r="A39" s="63"/>
      <c r="B39" s="250" t="s">
        <v>732</v>
      </c>
    </row>
    <row r="40" spans="1:3" x14ac:dyDescent="0.2">
      <c r="A40" s="45" t="s">
        <v>186</v>
      </c>
      <c r="B40" s="4" t="s">
        <v>167</v>
      </c>
      <c r="C40" s="5" t="s">
        <v>167</v>
      </c>
    </row>
    <row r="41" spans="1:3" x14ac:dyDescent="0.2">
      <c r="A41" s="44" t="s">
        <v>184</v>
      </c>
      <c r="B41" s="2">
        <v>0.66</v>
      </c>
      <c r="C41" s="3">
        <v>0.66</v>
      </c>
    </row>
    <row r="42" spans="1:3" ht="15.75" customHeight="1" x14ac:dyDescent="0.25">
      <c r="A42" s="266" t="s">
        <v>717</v>
      </c>
      <c r="B42" s="250" t="s">
        <v>737</v>
      </c>
    </row>
    <row r="43" spans="1:3" ht="15.75" customHeight="1" x14ac:dyDescent="0.25">
      <c r="A43" s="63"/>
      <c r="B43" s="250" t="s">
        <v>738</v>
      </c>
    </row>
    <row r="44" spans="1:3" x14ac:dyDescent="0.2">
      <c r="A44" s="45" t="s">
        <v>719</v>
      </c>
      <c r="B44" s="4" t="s">
        <v>167</v>
      </c>
      <c r="C44" s="5" t="s">
        <v>167</v>
      </c>
    </row>
    <row r="45" spans="1:3" x14ac:dyDescent="0.2">
      <c r="A45" s="45" t="s">
        <v>718</v>
      </c>
      <c r="B45" s="233">
        <v>0</v>
      </c>
      <c r="C45" s="234">
        <v>0</v>
      </c>
    </row>
    <row r="46" spans="1:3" ht="13.5" x14ac:dyDescent="0.25">
      <c r="A46" s="266" t="s">
        <v>503</v>
      </c>
      <c r="B46" s="250" t="s">
        <v>504</v>
      </c>
    </row>
    <row r="47" spans="1:3" x14ac:dyDescent="0.2">
      <c r="A47" s="45" t="s">
        <v>704</v>
      </c>
      <c r="B47" s="233">
        <v>6.3550000000000004</v>
      </c>
      <c r="C47" s="7">
        <v>6.3550000000000004</v>
      </c>
    </row>
    <row r="48" spans="1:3" ht="13.5" x14ac:dyDescent="0.25">
      <c r="A48" s="266" t="s">
        <v>241</v>
      </c>
      <c r="B48" s="250" t="s">
        <v>245</v>
      </c>
    </row>
    <row r="49" spans="1:3" x14ac:dyDescent="0.2">
      <c r="A49" s="45" t="s">
        <v>223</v>
      </c>
      <c r="B49" s="4" t="s">
        <v>168</v>
      </c>
      <c r="C49" s="5" t="s">
        <v>168</v>
      </c>
    </row>
    <row r="50" spans="1:3" x14ac:dyDescent="0.2">
      <c r="A50" s="45" t="s">
        <v>224</v>
      </c>
      <c r="B50" s="4" t="s">
        <v>167</v>
      </c>
      <c r="C50" s="5" t="s">
        <v>167</v>
      </c>
    </row>
    <row r="51" spans="1:3" x14ac:dyDescent="0.2">
      <c r="A51" s="45" t="s">
        <v>225</v>
      </c>
      <c r="B51" s="4" t="s">
        <v>168</v>
      </c>
      <c r="C51" s="5" t="s">
        <v>168</v>
      </c>
    </row>
    <row r="52" spans="1:3" ht="13.5" x14ac:dyDescent="0.25">
      <c r="A52" s="45"/>
      <c r="B52" s="250" t="s">
        <v>247</v>
      </c>
    </row>
    <row r="53" spans="1:3" ht="13.5" x14ac:dyDescent="0.25">
      <c r="A53" s="45"/>
      <c r="B53" s="250" t="s">
        <v>248</v>
      </c>
    </row>
    <row r="54" spans="1:3" x14ac:dyDescent="0.2">
      <c r="A54" s="45" t="s">
        <v>249</v>
      </c>
      <c r="B54" s="387">
        <v>2E-3</v>
      </c>
      <c r="C54" s="388">
        <v>2E-3</v>
      </c>
    </row>
    <row r="55" spans="1:3" x14ac:dyDescent="0.2">
      <c r="A55" s="45" t="s">
        <v>243</v>
      </c>
      <c r="B55" s="387">
        <v>0.13400000000000001</v>
      </c>
      <c r="C55" s="388">
        <v>0.13400000000000001</v>
      </c>
    </row>
    <row r="56" spans="1:3" x14ac:dyDescent="0.2">
      <c r="A56" s="45" t="s">
        <v>242</v>
      </c>
      <c r="B56" s="387">
        <v>5.0500000000000003E-2</v>
      </c>
      <c r="C56" s="388">
        <v>5.0500000000000003E-2</v>
      </c>
    </row>
    <row r="57" spans="1:3" x14ac:dyDescent="0.2">
      <c r="A57" s="45" t="s">
        <v>244</v>
      </c>
      <c r="B57" s="387">
        <v>0.124</v>
      </c>
      <c r="C57" s="388">
        <v>0.124</v>
      </c>
    </row>
    <row r="58" spans="1:3" x14ac:dyDescent="0.2">
      <c r="A58" s="45"/>
    </row>
    <row r="59" spans="1:3" ht="15.75" x14ac:dyDescent="0.25">
      <c r="A59" s="53" t="s">
        <v>547</v>
      </c>
    </row>
    <row r="60" spans="1:3" ht="13.5" x14ac:dyDescent="0.25">
      <c r="A60" s="63" t="s">
        <v>548</v>
      </c>
      <c r="B60" s="250" t="s">
        <v>899</v>
      </c>
    </row>
    <row r="61" spans="1:3" ht="13.5" x14ac:dyDescent="0.25">
      <c r="A61" s="63"/>
      <c r="B61" s="250" t="s">
        <v>900</v>
      </c>
    </row>
    <row r="62" spans="1:3" x14ac:dyDescent="0.2">
      <c r="A62" s="45" t="s">
        <v>549</v>
      </c>
      <c r="B62" s="4" t="s">
        <v>168</v>
      </c>
      <c r="C62" s="5" t="s">
        <v>168</v>
      </c>
    </row>
    <row r="63" spans="1:3" x14ac:dyDescent="0.2">
      <c r="A63" s="243" t="s">
        <v>550</v>
      </c>
      <c r="B63" s="241">
        <v>0.4</v>
      </c>
      <c r="C63" s="244">
        <v>0.4</v>
      </c>
    </row>
    <row r="64" spans="1:3" x14ac:dyDescent="0.2">
      <c r="A64" s="243" t="s">
        <v>551</v>
      </c>
      <c r="B64" s="241">
        <v>0.25</v>
      </c>
      <c r="C64" s="244">
        <v>0.25</v>
      </c>
    </row>
    <row r="65" spans="1:3" x14ac:dyDescent="0.2">
      <c r="A65" s="243" t="s">
        <v>896</v>
      </c>
      <c r="B65" s="241">
        <v>7.0000000000000007E-2</v>
      </c>
      <c r="C65" s="244">
        <v>7.0000000000000007E-2</v>
      </c>
    </row>
    <row r="66" spans="1:3" x14ac:dyDescent="0.2">
      <c r="A66" s="243" t="s">
        <v>897</v>
      </c>
      <c r="B66" s="241">
        <v>0.04</v>
      </c>
      <c r="C66" s="244">
        <v>0.04</v>
      </c>
    </row>
    <row r="67" spans="1:3" x14ac:dyDescent="0.2">
      <c r="A67" s="243" t="s">
        <v>898</v>
      </c>
      <c r="B67" s="241">
        <v>0.06</v>
      </c>
      <c r="C67" s="244">
        <v>0.06</v>
      </c>
    </row>
    <row r="68" spans="1:3" ht="13.5" x14ac:dyDescent="0.25">
      <c r="A68" s="243"/>
      <c r="B68" s="250" t="s">
        <v>740</v>
      </c>
      <c r="C68" s="250"/>
    </row>
    <row r="69" spans="1:3" x14ac:dyDescent="0.2">
      <c r="A69" s="45" t="s">
        <v>350</v>
      </c>
      <c r="B69" s="4" t="s">
        <v>168</v>
      </c>
      <c r="C69" s="5" t="s">
        <v>168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62"/>
  <sheetViews>
    <sheetView workbookViewId="0">
      <selection activeCell="I25" sqref="I25"/>
    </sheetView>
  </sheetViews>
  <sheetFormatPr defaultRowHeight="12.75" x14ac:dyDescent="0.2"/>
  <cols>
    <col min="1" max="1" width="40.5703125" customWidth="1"/>
    <col min="2" max="7" width="8.7109375" customWidth="1"/>
  </cols>
  <sheetData>
    <row r="1" spans="1:7" ht="14.25" x14ac:dyDescent="0.2">
      <c r="A1" s="111" t="s">
        <v>885</v>
      </c>
      <c r="B1" s="192"/>
      <c r="F1" s="193">
        <v>2</v>
      </c>
      <c r="G1" s="111"/>
    </row>
    <row r="2" spans="1:7" x14ac:dyDescent="0.2">
      <c r="A2" s="194" t="s">
        <v>583</v>
      </c>
      <c r="B2" s="195">
        <f>$F$1</f>
        <v>2</v>
      </c>
      <c r="C2" s="196">
        <f>B$2+1</f>
        <v>3</v>
      </c>
      <c r="D2" s="196">
        <f>C$2+1</f>
        <v>4</v>
      </c>
      <c r="E2" s="196">
        <f>D$2+1</f>
        <v>5</v>
      </c>
      <c r="F2" s="196">
        <f>E$2+1</f>
        <v>6</v>
      </c>
      <c r="G2" s="196">
        <f>F$2+1</f>
        <v>7</v>
      </c>
    </row>
    <row r="3" spans="1:7" ht="15.75" x14ac:dyDescent="0.25">
      <c r="A3" s="197" t="s">
        <v>584</v>
      </c>
      <c r="B3" s="195"/>
      <c r="C3" s="196"/>
      <c r="D3" s="196"/>
      <c r="E3" s="196"/>
      <c r="F3" s="196"/>
      <c r="G3" s="196"/>
    </row>
    <row r="4" spans="1:7" x14ac:dyDescent="0.2">
      <c r="A4" s="111" t="s">
        <v>585</v>
      </c>
      <c r="B4" s="198" t="str">
        <f ca="1">OFFSET(Data!$A$2,0,1+B$2)</f>
        <v>07/08</v>
      </c>
      <c r="C4" s="199" t="str">
        <f ca="1">OFFSET(Data!$A$2,0,1+C$2)</f>
        <v>08/09</v>
      </c>
      <c r="D4" s="199" t="str">
        <f ca="1">OFFSET(Data!$A$2,0,1+D$2)</f>
        <v xml:space="preserve">09/10 </v>
      </c>
      <c r="E4" s="199" t="str">
        <f ca="1">OFFSET(Data!$A$2,0,1+E$2)</f>
        <v>10/11</v>
      </c>
      <c r="F4" s="199" t="str">
        <f ca="1">OFFSET(Data!$A$2,0,1+F$2)</f>
        <v>11/12</v>
      </c>
      <c r="G4" s="199" t="str">
        <f ca="1">OFFSET(Data!$A$2,0,1+G$2)</f>
        <v>12/13</v>
      </c>
    </row>
    <row r="5" spans="1:7" ht="14.25" x14ac:dyDescent="0.2">
      <c r="A5" s="200" t="s">
        <v>586</v>
      </c>
      <c r="B5" s="195"/>
      <c r="C5" s="196"/>
      <c r="D5" s="196"/>
      <c r="E5" s="196"/>
      <c r="F5" s="196"/>
      <c r="G5" s="196"/>
    </row>
    <row r="6" spans="1:7" ht="14.25" x14ac:dyDescent="0.2">
      <c r="A6" s="200" t="s">
        <v>587</v>
      </c>
      <c r="B6" s="195"/>
      <c r="C6" s="196"/>
      <c r="D6" s="196"/>
      <c r="E6" s="196"/>
      <c r="F6" s="196"/>
      <c r="G6" s="196"/>
    </row>
    <row r="7" spans="1:7" ht="14.25" x14ac:dyDescent="0.2">
      <c r="A7" s="200"/>
      <c r="B7" s="195"/>
      <c r="C7" s="196"/>
      <c r="D7" s="196"/>
      <c r="E7" s="196"/>
      <c r="F7" s="196"/>
      <c r="G7" s="196"/>
    </row>
    <row r="8" spans="1:7" ht="14.25" x14ac:dyDescent="0.2">
      <c r="A8" s="200" t="s">
        <v>588</v>
      </c>
      <c r="B8" s="195"/>
      <c r="C8" s="196"/>
      <c r="D8" s="196"/>
      <c r="E8" s="196"/>
      <c r="F8" s="196"/>
    </row>
    <row r="9" spans="1:7" x14ac:dyDescent="0.2">
      <c r="A9" s="70" t="s">
        <v>890</v>
      </c>
      <c r="B9" s="195"/>
      <c r="C9" s="201">
        <v>0</v>
      </c>
      <c r="D9" s="201">
        <v>0</v>
      </c>
      <c r="E9" s="201">
        <v>0</v>
      </c>
      <c r="F9" s="201">
        <v>0</v>
      </c>
      <c r="G9" s="201">
        <v>0</v>
      </c>
    </row>
    <row r="10" spans="1:7" x14ac:dyDescent="0.2">
      <c r="A10" s="70" t="s">
        <v>891</v>
      </c>
      <c r="B10" s="195"/>
      <c r="C10" s="201">
        <v>0</v>
      </c>
      <c r="D10" s="201">
        <v>0</v>
      </c>
      <c r="E10" s="201">
        <v>0</v>
      </c>
      <c r="F10" s="201">
        <v>0</v>
      </c>
      <c r="G10" s="201">
        <v>0</v>
      </c>
    </row>
    <row r="11" spans="1:7" x14ac:dyDescent="0.2">
      <c r="A11" s="70" t="s">
        <v>906</v>
      </c>
      <c r="B11" s="195"/>
      <c r="C11" s="201">
        <v>0</v>
      </c>
      <c r="D11" s="201">
        <v>0</v>
      </c>
      <c r="E11" s="201">
        <v>0</v>
      </c>
      <c r="F11" s="201">
        <v>0</v>
      </c>
      <c r="G11" s="201">
        <v>0</v>
      </c>
    </row>
    <row r="12" spans="1:7" x14ac:dyDescent="0.2">
      <c r="A12" s="70" t="s">
        <v>908</v>
      </c>
      <c r="B12" s="195"/>
      <c r="C12" s="201">
        <v>0</v>
      </c>
      <c r="D12" s="201">
        <v>0</v>
      </c>
      <c r="E12" s="201">
        <v>0</v>
      </c>
      <c r="F12" s="201">
        <v>0</v>
      </c>
      <c r="G12" s="201">
        <v>0</v>
      </c>
    </row>
    <row r="13" spans="1:7" x14ac:dyDescent="0.2">
      <c r="A13" s="70" t="s">
        <v>589</v>
      </c>
      <c r="B13" s="195"/>
      <c r="C13" s="201">
        <v>0</v>
      </c>
      <c r="D13" s="201">
        <v>0</v>
      </c>
      <c r="E13" s="201">
        <v>0</v>
      </c>
      <c r="F13" s="201">
        <v>0</v>
      </c>
      <c r="G13" s="201">
        <v>0</v>
      </c>
    </row>
    <row r="14" spans="1:7" ht="14.25" x14ac:dyDescent="0.2">
      <c r="A14" s="200" t="s">
        <v>590</v>
      </c>
      <c r="B14" s="195"/>
      <c r="C14" s="196"/>
      <c r="D14" s="196"/>
      <c r="E14" s="196"/>
      <c r="F14" s="196"/>
      <c r="G14" s="196"/>
    </row>
    <row r="15" spans="1:7" x14ac:dyDescent="0.2">
      <c r="A15" s="70" t="s">
        <v>591</v>
      </c>
      <c r="B15" s="195"/>
      <c r="C15" s="201">
        <v>0</v>
      </c>
      <c r="D15" s="201">
        <v>0</v>
      </c>
      <c r="E15" s="201">
        <v>0</v>
      </c>
      <c r="F15" s="201">
        <v>0</v>
      </c>
      <c r="G15" s="201">
        <v>0</v>
      </c>
    </row>
    <row r="16" spans="1:7" x14ac:dyDescent="0.2">
      <c r="A16" s="70" t="s">
        <v>592</v>
      </c>
      <c r="B16" s="195"/>
      <c r="C16" s="201">
        <v>0</v>
      </c>
      <c r="D16" s="201">
        <v>0</v>
      </c>
      <c r="E16" s="201">
        <v>0</v>
      </c>
      <c r="F16" s="201">
        <v>0</v>
      </c>
      <c r="G16" s="201">
        <v>0</v>
      </c>
    </row>
    <row r="17" spans="1:7" x14ac:dyDescent="0.2">
      <c r="A17" s="70" t="s">
        <v>593</v>
      </c>
      <c r="B17" s="195"/>
      <c r="C17" s="201">
        <v>0</v>
      </c>
      <c r="D17" s="201">
        <v>0</v>
      </c>
      <c r="E17" s="201">
        <v>0</v>
      </c>
      <c r="F17" s="201">
        <v>0</v>
      </c>
      <c r="G17" s="201">
        <v>0</v>
      </c>
    </row>
    <row r="18" spans="1:7" x14ac:dyDescent="0.2">
      <c r="A18" s="194"/>
      <c r="B18" s="195"/>
      <c r="C18" s="196"/>
      <c r="D18" s="196"/>
      <c r="E18" s="196"/>
      <c r="F18" s="196"/>
      <c r="G18" s="196"/>
    </row>
    <row r="19" spans="1:7" x14ac:dyDescent="0.2">
      <c r="A19" s="194"/>
      <c r="B19" s="195"/>
      <c r="C19" s="196"/>
      <c r="D19" s="196"/>
      <c r="E19" s="196"/>
      <c r="F19" s="196"/>
      <c r="G19" s="196"/>
    </row>
    <row r="20" spans="1:7" ht="15.75" x14ac:dyDescent="0.25">
      <c r="A20" s="197" t="s">
        <v>315</v>
      </c>
      <c r="B20" s="195"/>
      <c r="C20" s="196"/>
      <c r="D20" s="196"/>
      <c r="E20" s="196"/>
      <c r="F20" s="196"/>
      <c r="G20" s="196"/>
    </row>
    <row r="21" spans="1:7" x14ac:dyDescent="0.2">
      <c r="A21" s="111" t="s">
        <v>585</v>
      </c>
      <c r="B21" s="198" t="str">
        <f t="shared" ref="B21:G21" ca="1" si="0">B$4</f>
        <v>07/08</v>
      </c>
      <c r="C21" s="199" t="str">
        <f t="shared" ca="1" si="0"/>
        <v>08/09</v>
      </c>
      <c r="D21" s="199" t="str">
        <f t="shared" ca="1" si="0"/>
        <v xml:space="preserve">09/10 </v>
      </c>
      <c r="E21" s="199" t="str">
        <f t="shared" ca="1" si="0"/>
        <v>10/11</v>
      </c>
      <c r="F21" s="199" t="str">
        <f t="shared" ca="1" si="0"/>
        <v>11/12</v>
      </c>
      <c r="G21" s="199" t="str">
        <f t="shared" ca="1" si="0"/>
        <v>12/13</v>
      </c>
    </row>
    <row r="22" spans="1:7" x14ac:dyDescent="0.2">
      <c r="A22" s="194"/>
      <c r="B22" s="195"/>
      <c r="C22" s="196"/>
      <c r="D22" s="196"/>
      <c r="E22" s="196"/>
      <c r="F22" s="196"/>
      <c r="G22" s="196"/>
    </row>
    <row r="23" spans="1:7" ht="14.25" x14ac:dyDescent="0.2">
      <c r="A23" s="202" t="s">
        <v>594</v>
      </c>
      <c r="B23" s="203" t="s">
        <v>595</v>
      </c>
      <c r="C23" s="183"/>
      <c r="D23" s="183"/>
      <c r="E23" s="183"/>
      <c r="F23" s="183"/>
      <c r="G23" s="183"/>
    </row>
    <row r="24" spans="1:7" x14ac:dyDescent="0.2">
      <c r="A24" s="70" t="s">
        <v>148</v>
      </c>
      <c r="B24" s="204">
        <f ca="1">OFFSET(Data!$A$204,0,B$2+1)</f>
        <v>179.048</v>
      </c>
      <c r="C24" s="205">
        <f ca="1">OFFSET(Data!$A$204,0,C$2+1)</f>
        <v>181.13885057739157</v>
      </c>
      <c r="D24" s="205">
        <f ca="1">OFFSET(Data!$A$204,0,D$2+1)</f>
        <v>184.50602822682566</v>
      </c>
      <c r="E24" s="205">
        <f ca="1">OFFSET(Data!$A$204,0,E$2+1)</f>
        <v>193.90799432322186</v>
      </c>
      <c r="F24" s="205">
        <f ca="1">OFFSET(Data!$A$204,0,F$2+1)</f>
        <v>205.38873623897788</v>
      </c>
      <c r="G24" s="205">
        <f ca="1">OFFSET(Data!$A$204,0,G$2+1)</f>
        <v>216.52261434577596</v>
      </c>
    </row>
    <row r="25" spans="1:7" x14ac:dyDescent="0.2">
      <c r="A25" s="70" t="s">
        <v>147</v>
      </c>
      <c r="B25" s="267">
        <f ca="1">OFFSET(Data!$A$205,0,B$2+1)/OFFSET(Data!$A$205,0,B$2)-1</f>
        <v>4.0196078431372628E-2</v>
      </c>
      <c r="C25" s="268">
        <f ca="1">OFFSET(Data!$A$205,0,C$2+1)/OFFSET(Data!$A$205,0,C$2)-1</f>
        <v>2.3213006597549324E-2</v>
      </c>
      <c r="D25" s="268">
        <f ca="1">OFFSET(Data!$A$205,0,D$2+1)/OFFSET(Data!$A$205,0,D$2)-1</f>
        <v>2.277020971252619E-2</v>
      </c>
      <c r="E25" s="268">
        <f ca="1">OFFSET(Data!$A$205,0,E$2+1)/OFFSET(Data!$A$205,0,E$2)-1</f>
        <v>1.9099400278651313E-2</v>
      </c>
      <c r="F25" s="268">
        <f ca="1">OFFSET(Data!$A$205,0,F$2+1)/OFFSET(Data!$A$205,0,F$2)-1</f>
        <v>1.91073177111869E-2</v>
      </c>
      <c r="G25" s="268">
        <f ca="1">OFFSET(Data!$A$205,0,G$2+1)/OFFSET(Data!$A$205,0,G$2)-1</f>
        <v>1.8548757042500919E-2</v>
      </c>
    </row>
    <row r="26" spans="1:7" x14ac:dyDescent="0.2">
      <c r="A26" s="70" t="s">
        <v>596</v>
      </c>
      <c r="B26" s="267">
        <f ca="1">OFFSET(Data!$A$206,0,B$2+1)</f>
        <v>6.4399999999999999E-2</v>
      </c>
      <c r="C26" s="268">
        <f ca="1">OFFSET(Data!$A$206,0,C$2+1)</f>
        <v>5.8999999999999997E-2</v>
      </c>
      <c r="D26" s="268">
        <f ca="1">OFFSET(Data!$A$206,0,D$2+1)</f>
        <v>5.7000000000000002E-2</v>
      </c>
      <c r="E26" s="268">
        <f ca="1">OFFSET(Data!$A$206,0,E$2+1)</f>
        <v>5.8999999999999997E-2</v>
      </c>
      <c r="F26" s="268">
        <f ca="1">OFFSET(Data!$A$206,0,F$2+1)</f>
        <v>0.06</v>
      </c>
      <c r="G26" s="268">
        <f ca="1">OFFSET(Data!$A$206,0,G$2+1)</f>
        <v>0.06</v>
      </c>
    </row>
    <row r="27" spans="1:7" x14ac:dyDescent="0.2">
      <c r="A27" s="70" t="s">
        <v>150</v>
      </c>
      <c r="B27" s="267">
        <f ca="1">OFFSET(Data!$A$208,0,B$2+1)</f>
        <v>3.6299999999999999E-2</v>
      </c>
      <c r="C27" s="268">
        <f ca="1">OFFSET(Data!$A$208,0,C$2+1)</f>
        <v>4.6699999999999998E-2</v>
      </c>
      <c r="D27" s="268">
        <f ca="1">OFFSET(Data!$A$208,0,D$2+1)</f>
        <v>6.2399999999999997E-2</v>
      </c>
      <c r="E27" s="268">
        <f ca="1">OFFSET(Data!$A$208,0,E$2+1)</f>
        <v>6.3E-2</v>
      </c>
      <c r="F27" s="268">
        <f ca="1">OFFSET(Data!$A$208,0,F$2+1)</f>
        <v>5.5100000000000003E-2</v>
      </c>
      <c r="G27" s="268">
        <f ca="1">OFFSET(Data!$A$208,0,G$2+1)</f>
        <v>4.6899999999999997E-2</v>
      </c>
    </row>
    <row r="28" spans="1:7" x14ac:dyDescent="0.2">
      <c r="A28" s="70" t="s">
        <v>146</v>
      </c>
      <c r="B28" s="267">
        <f ca="1">OFFSET(Data!$A$211,0,B$2+1)</f>
        <v>4.5100000000000001E-2</v>
      </c>
      <c r="C28" s="207">
        <f ca="1">OFFSET(Data!$A$211,0,C$2+1)</f>
        <v>5.21E-2</v>
      </c>
      <c r="D28" s="207">
        <f ca="1">OFFSET(Data!$A$211,0,D$2+1)</f>
        <v>4.1200000000000001E-2</v>
      </c>
      <c r="E28" s="207">
        <f ca="1">OFFSET(Data!$A$211,0,E$2+1)</f>
        <v>3.4500000000000003E-2</v>
      </c>
      <c r="F28" s="207">
        <f ca="1">OFFSET(Data!$A$211,0,F$2+1)</f>
        <v>2.9399999999999999E-2</v>
      </c>
      <c r="G28" s="207">
        <f ca="1">OFFSET(Data!$A$211,0,G$2+1)</f>
        <v>2.9499999999999998E-2</v>
      </c>
    </row>
    <row r="29" spans="1:7" x14ac:dyDescent="0.2">
      <c r="A29" s="70"/>
      <c r="B29" s="70"/>
      <c r="C29" s="70"/>
      <c r="D29" s="70"/>
      <c r="E29" s="70"/>
      <c r="F29" s="70"/>
      <c r="G29" s="70"/>
    </row>
    <row r="30" spans="1:7" ht="14.25" x14ac:dyDescent="0.2">
      <c r="A30" s="203" t="s">
        <v>602</v>
      </c>
      <c r="B30" s="102"/>
      <c r="C30" s="115"/>
      <c r="D30" s="115"/>
      <c r="E30" s="115"/>
      <c r="F30" s="115"/>
      <c r="G30" s="115"/>
    </row>
    <row r="31" spans="1:7" ht="14.25" x14ac:dyDescent="0.2">
      <c r="A31" s="203" t="s">
        <v>603</v>
      </c>
      <c r="B31" s="102"/>
      <c r="C31" s="115"/>
      <c r="D31" s="115"/>
      <c r="E31" s="115"/>
      <c r="F31" s="115"/>
      <c r="G31" s="115"/>
    </row>
    <row r="32" spans="1:7" ht="14.25" x14ac:dyDescent="0.2">
      <c r="A32" s="203" t="s">
        <v>604</v>
      </c>
      <c r="B32" s="208"/>
      <c r="C32" s="183"/>
      <c r="D32" s="183"/>
      <c r="E32" s="183"/>
      <c r="F32" s="183"/>
      <c r="G32" s="183"/>
    </row>
    <row r="33" spans="1:7" ht="14.25" x14ac:dyDescent="0.2">
      <c r="A33" s="209" t="s">
        <v>159</v>
      </c>
      <c r="B33" s="198" t="str">
        <f t="shared" ref="B33:G33" ca="1" si="1">B$21</f>
        <v>07/08</v>
      </c>
      <c r="C33" s="199" t="str">
        <f t="shared" ca="1" si="1"/>
        <v>08/09</v>
      </c>
      <c r="D33" s="199" t="str">
        <f t="shared" ca="1" si="1"/>
        <v xml:space="preserve">09/10 </v>
      </c>
      <c r="E33" s="199" t="str">
        <f t="shared" ca="1" si="1"/>
        <v>10/11</v>
      </c>
      <c r="F33" s="199" t="str">
        <f t="shared" ca="1" si="1"/>
        <v>11/12</v>
      </c>
      <c r="G33" s="199" t="str">
        <f t="shared" ca="1" si="1"/>
        <v>12/13</v>
      </c>
    </row>
    <row r="34" spans="1:7" x14ac:dyDescent="0.2">
      <c r="A34" s="70" t="s">
        <v>148</v>
      </c>
      <c r="B34" s="204">
        <v>179.048</v>
      </c>
      <c r="C34" s="210">
        <v>181.13885057739157</v>
      </c>
      <c r="D34" s="210">
        <v>184.50602822682566</v>
      </c>
      <c r="E34" s="210">
        <v>193.90799432322186</v>
      </c>
      <c r="F34" s="210">
        <v>205.38873623897788</v>
      </c>
      <c r="G34" s="210">
        <v>216.52261434577596</v>
      </c>
    </row>
    <row r="35" spans="1:7" x14ac:dyDescent="0.2">
      <c r="A35" s="70" t="s">
        <v>147</v>
      </c>
      <c r="B35" s="267">
        <v>4.0196078431372628E-2</v>
      </c>
      <c r="C35" s="269">
        <v>2.3213006597549324E-2</v>
      </c>
      <c r="D35" s="269">
        <v>2.277020971252619E-2</v>
      </c>
      <c r="E35" s="269">
        <v>1.9099400278651313E-2</v>
      </c>
      <c r="F35" s="269">
        <v>1.91073177111869E-2</v>
      </c>
      <c r="G35" s="269">
        <v>1.8548757042500919E-2</v>
      </c>
    </row>
    <row r="36" spans="1:7" x14ac:dyDescent="0.2">
      <c r="A36" s="70" t="s">
        <v>596</v>
      </c>
      <c r="B36" s="267">
        <v>6.4399999999999999E-2</v>
      </c>
      <c r="C36" s="269">
        <v>5.8999999999999997E-2</v>
      </c>
      <c r="D36" s="269">
        <v>5.7000000000000002E-2</v>
      </c>
      <c r="E36" s="269">
        <v>5.8999999999999997E-2</v>
      </c>
      <c r="F36" s="269">
        <v>0.06</v>
      </c>
      <c r="G36" s="269">
        <v>0.06</v>
      </c>
    </row>
    <row r="37" spans="1:7" x14ac:dyDescent="0.2">
      <c r="A37" s="70" t="s">
        <v>150</v>
      </c>
      <c r="B37" s="267">
        <v>3.6299999999999999E-2</v>
      </c>
      <c r="C37" s="269">
        <v>4.6699999999999998E-2</v>
      </c>
      <c r="D37" s="269">
        <v>6.2399999999999997E-2</v>
      </c>
      <c r="E37" s="269">
        <v>6.3E-2</v>
      </c>
      <c r="F37" s="269">
        <v>5.5100000000000003E-2</v>
      </c>
      <c r="G37" s="269">
        <v>4.6899999999999997E-2</v>
      </c>
    </row>
    <row r="38" spans="1:7" x14ac:dyDescent="0.2">
      <c r="A38" s="70" t="s">
        <v>273</v>
      </c>
      <c r="B38" s="206">
        <v>4.5100000000000001E-2</v>
      </c>
      <c r="C38" s="211">
        <v>5.21E-2</v>
      </c>
      <c r="D38" s="211">
        <v>4.1200000000000001E-2</v>
      </c>
      <c r="E38" s="211">
        <v>3.4500000000000003E-2</v>
      </c>
      <c r="F38" s="211">
        <v>2.9399999999999999E-2</v>
      </c>
      <c r="G38" s="211">
        <v>2.9499999999999998E-2</v>
      </c>
    </row>
    <row r="39" spans="1:7" x14ac:dyDescent="0.2">
      <c r="A39" s="70"/>
      <c r="B39" s="70"/>
      <c r="C39" s="212"/>
      <c r="D39" s="212"/>
      <c r="E39" s="212"/>
      <c r="F39" s="213"/>
      <c r="G39" s="213"/>
    </row>
    <row r="40" spans="1:7" ht="15" x14ac:dyDescent="0.25">
      <c r="A40" s="214" t="s">
        <v>605</v>
      </c>
      <c r="B40" s="200" t="s">
        <v>606</v>
      </c>
      <c r="C40" s="70"/>
      <c r="D40" s="70"/>
      <c r="E40" s="99"/>
      <c r="F40" s="70"/>
      <c r="G40" s="99"/>
    </row>
    <row r="41" spans="1:7" ht="14.25" x14ac:dyDescent="0.2">
      <c r="A41" s="215" t="s">
        <v>607</v>
      </c>
      <c r="B41" s="198" t="str">
        <f t="shared" ref="B41:G41" ca="1" si="2">B$21</f>
        <v>07/08</v>
      </c>
      <c r="C41" s="199" t="str">
        <f t="shared" ca="1" si="2"/>
        <v>08/09</v>
      </c>
      <c r="D41" s="199" t="str">
        <f t="shared" ca="1" si="2"/>
        <v xml:space="preserve">09/10 </v>
      </c>
      <c r="E41" s="199" t="str">
        <f t="shared" ca="1" si="2"/>
        <v>10/11</v>
      </c>
      <c r="F41" s="199" t="str">
        <f t="shared" ca="1" si="2"/>
        <v>11/12</v>
      </c>
      <c r="G41" s="199" t="str">
        <f t="shared" ca="1" si="2"/>
        <v>12/13</v>
      </c>
    </row>
    <row r="42" spans="1:7" x14ac:dyDescent="0.2">
      <c r="A42" s="70" t="s">
        <v>144</v>
      </c>
      <c r="B42" s="216"/>
      <c r="C42" s="173">
        <f ca="1">C$34/C$24</f>
        <v>1</v>
      </c>
      <c r="D42" s="173">
        <f ca="1">D$34/D$24</f>
        <v>1</v>
      </c>
      <c r="E42" s="173">
        <f ca="1">E$34/E$24</f>
        <v>1</v>
      </c>
      <c r="F42" s="173">
        <f ca="1">F$34/F$24</f>
        <v>1</v>
      </c>
      <c r="G42" s="173">
        <f ca="1">G$34/G$24</f>
        <v>1</v>
      </c>
    </row>
    <row r="43" spans="1:7" x14ac:dyDescent="0.2">
      <c r="A43" s="70" t="s">
        <v>145</v>
      </c>
      <c r="B43" s="216"/>
      <c r="C43" s="173">
        <f ca="1">(1+SUM($C$35:C$35))/(1+SUM($C$25:C$25))</f>
        <v>1</v>
      </c>
      <c r="D43" s="173">
        <f ca="1">(1+SUM($C$35:D$35))/(1+SUM($C$25:D$25))</f>
        <v>1</v>
      </c>
      <c r="E43" s="173">
        <f ca="1">(1+SUM($C$35:E$35))/(1+SUM($C$25:E$25))</f>
        <v>1</v>
      </c>
      <c r="F43" s="173">
        <f ca="1">(1+SUM($C$35:F$35))/(1+SUM($C$25:F$25))</f>
        <v>1</v>
      </c>
      <c r="G43" s="173">
        <f ca="1">(1+SUM($C$35:G$35))/(1+SUM($C$25:G$25))</f>
        <v>1</v>
      </c>
    </row>
    <row r="44" spans="1:7" x14ac:dyDescent="0.2">
      <c r="A44" s="70" t="s">
        <v>608</v>
      </c>
      <c r="B44" s="216"/>
      <c r="C44" s="217">
        <f ca="1">C$34/C$24-1</f>
        <v>0</v>
      </c>
      <c r="D44" s="217">
        <f ca="1">D$34/D$24-1</f>
        <v>0</v>
      </c>
      <c r="E44" s="217">
        <f ca="1">E$34/E$24-1</f>
        <v>0</v>
      </c>
      <c r="F44" s="217">
        <f ca="1">F$34/F$24-1</f>
        <v>0</v>
      </c>
      <c r="G44" s="217">
        <f ca="1">G$34/G$24-1</f>
        <v>0</v>
      </c>
    </row>
    <row r="45" spans="1:7" x14ac:dyDescent="0.2">
      <c r="A45" s="70" t="s">
        <v>609</v>
      </c>
      <c r="B45" s="216"/>
      <c r="C45" s="217">
        <f ca="1">C$34/B$34 - C$24/B$24</f>
        <v>0</v>
      </c>
      <c r="D45" s="217">
        <f ca="1">D$34/C$34 - D$24/C$24</f>
        <v>0</v>
      </c>
      <c r="E45" s="217">
        <f ca="1">E$34/D$34 - E$24/D$24</f>
        <v>0</v>
      </c>
      <c r="F45" s="217">
        <f ca="1">F$34/E$34 - F$24/E$24</f>
        <v>0</v>
      </c>
      <c r="G45" s="217">
        <f ca="1">G$34/F$34 - G$24/F$24</f>
        <v>0</v>
      </c>
    </row>
    <row r="46" spans="1:7" x14ac:dyDescent="0.2">
      <c r="A46" s="70" t="s">
        <v>610</v>
      </c>
      <c r="B46" s="218"/>
      <c r="C46" s="217">
        <f ca="1">C$52*(C$37/C$27-1)</f>
        <v>0</v>
      </c>
      <c r="D46" s="217">
        <f ca="1">D$52*(D$37/D$27-1)</f>
        <v>0</v>
      </c>
      <c r="E46" s="217">
        <f ca="1">E$52*(E$37/E$27-1)</f>
        <v>0</v>
      </c>
      <c r="F46" s="217">
        <f ca="1">F$52*(F$37/F$27-1)</f>
        <v>0</v>
      </c>
      <c r="G46" s="217">
        <f ca="1">G$52*(G$37/G$27-1)</f>
        <v>0</v>
      </c>
    </row>
    <row r="47" spans="1:7" x14ac:dyDescent="0.2">
      <c r="A47" s="70" t="s">
        <v>611</v>
      </c>
      <c r="B47" s="218"/>
      <c r="C47" s="217">
        <f ca="1">C$35/B$35 - C$25/B$25</f>
        <v>0</v>
      </c>
      <c r="D47" s="217">
        <f ca="1">D$35/C$35 - D$25/C$25</f>
        <v>0</v>
      </c>
      <c r="E47" s="217">
        <f ca="1">E$35/D$35 - E$25/D$25</f>
        <v>0</v>
      </c>
      <c r="F47" s="217">
        <f ca="1">F$35/E$35 - F$25/E$25</f>
        <v>0</v>
      </c>
      <c r="G47" s="217">
        <f ca="1">G$35/F$35 - G$25/F$25</f>
        <v>0</v>
      </c>
    </row>
    <row r="48" spans="1:7" x14ac:dyDescent="0.2">
      <c r="A48" s="70" t="s">
        <v>143</v>
      </c>
      <c r="B48" s="217"/>
      <c r="C48" s="217">
        <f>C$35/B$35-1</f>
        <v>-0.42250568952438383</v>
      </c>
      <c r="D48" s="217">
        <f>D$35/C$35-1</f>
        <v>-1.9075378416076538E-2</v>
      </c>
      <c r="E48" s="217">
        <f>E$35/D$35-1</f>
        <v>-0.16121105076408304</v>
      </c>
      <c r="F48" s="217">
        <f>F$35/E$35-1</f>
        <v>4.1453827974047286E-4</v>
      </c>
      <c r="G48" s="217">
        <f>G$35/F$35-1</f>
        <v>-2.9232814209131819E-2</v>
      </c>
    </row>
    <row r="49" spans="1:7" x14ac:dyDescent="0.2">
      <c r="A49" s="70" t="s">
        <v>612</v>
      </c>
      <c r="B49" s="216"/>
      <c r="C49" s="173">
        <f ca="1">(1+0.75*B$35+0.25*C$35)/(1+0.75*B$25+0.25*C$25)</f>
        <v>1</v>
      </c>
      <c r="D49" s="173">
        <f ca="1">(1+0.75*C$35+0.25*D$35)/(1+0.75*C$25+0.25*D$25)</f>
        <v>1</v>
      </c>
      <c r="E49" s="173">
        <f ca="1">(1+0.75*D$35+0.25*E$35)/(1+0.75*D$25+0.25*E$25)</f>
        <v>1</v>
      </c>
      <c r="F49" s="173">
        <f ca="1">(1+0.75*E$35+0.25*F$35)/(1+0.75*E$25+0.25*F$25)</f>
        <v>1</v>
      </c>
      <c r="G49" s="173">
        <f ca="1">(1+0.75*F$35+0.25*G$35)/(1+0.75*F$25+0.25*G$25)</f>
        <v>1</v>
      </c>
    </row>
    <row r="50" spans="1:7" x14ac:dyDescent="0.2">
      <c r="A50" s="70" t="s">
        <v>613</v>
      </c>
      <c r="B50" s="216"/>
      <c r="C50" s="219">
        <f ca="1">100*(C$36-C$26)</f>
        <v>0</v>
      </c>
      <c r="D50" s="219">
        <f ca="1">100*(D$36-D$26)</f>
        <v>0</v>
      </c>
      <c r="E50" s="219">
        <f ca="1">100*(E$36-E$26)</f>
        <v>0</v>
      </c>
      <c r="F50" s="219">
        <f ca="1">100*(F$36-F$26)</f>
        <v>0</v>
      </c>
      <c r="G50" s="219">
        <f ca="1">100*(G$36-G$26)</f>
        <v>0</v>
      </c>
    </row>
    <row r="51" spans="1:7" x14ac:dyDescent="0.2">
      <c r="A51" s="70" t="s">
        <v>614</v>
      </c>
      <c r="B51" s="216"/>
      <c r="C51" s="217">
        <f ca="1">C$38-C$28</f>
        <v>0</v>
      </c>
      <c r="D51" s="217">
        <f ca="1">D$38-D$28</f>
        <v>0</v>
      </c>
      <c r="E51" s="217">
        <f ca="1">E$38-E$28</f>
        <v>0</v>
      </c>
      <c r="F51" s="217">
        <f ca="1">F$38-F$28</f>
        <v>0</v>
      </c>
      <c r="G51" s="217">
        <f ca="1">G$38-G$28</f>
        <v>0</v>
      </c>
    </row>
    <row r="52" spans="1:7" x14ac:dyDescent="0.2">
      <c r="A52" s="70" t="s">
        <v>622</v>
      </c>
      <c r="B52" s="216"/>
      <c r="C52" s="227">
        <v>0.35</v>
      </c>
      <c r="D52" s="227">
        <v>0.35</v>
      </c>
      <c r="E52" s="227">
        <v>0.35</v>
      </c>
      <c r="F52" s="227">
        <v>0.35</v>
      </c>
      <c r="G52" s="227">
        <v>0.35</v>
      </c>
    </row>
    <row r="53" spans="1:7" x14ac:dyDescent="0.2">
      <c r="A53" s="70"/>
      <c r="B53" s="70"/>
      <c r="C53" s="220"/>
      <c r="D53" s="220"/>
      <c r="E53" s="220"/>
      <c r="F53" s="220"/>
      <c r="G53" s="220"/>
    </row>
    <row r="54" spans="1:7" ht="15" x14ac:dyDescent="0.25">
      <c r="A54" s="221" t="s">
        <v>278</v>
      </c>
      <c r="B54" s="200"/>
    </row>
    <row r="55" spans="1:7" ht="14.25" x14ac:dyDescent="0.2">
      <c r="A55" s="200" t="s">
        <v>615</v>
      </c>
      <c r="C55" s="99"/>
      <c r="D55" s="99"/>
      <c r="E55" s="99"/>
      <c r="F55" s="99"/>
      <c r="G55" s="99"/>
    </row>
    <row r="56" spans="1:7" x14ac:dyDescent="0.2">
      <c r="B56" s="198" t="str">
        <f t="shared" ref="B56:G56" ca="1" si="3">B$21</f>
        <v>07/08</v>
      </c>
      <c r="C56" s="199" t="str">
        <f t="shared" ca="1" si="3"/>
        <v>08/09</v>
      </c>
      <c r="D56" s="199" t="str">
        <f t="shared" ca="1" si="3"/>
        <v xml:space="preserve">09/10 </v>
      </c>
      <c r="E56" s="199" t="str">
        <f t="shared" ca="1" si="3"/>
        <v>10/11</v>
      </c>
      <c r="F56" s="199" t="str">
        <f t="shared" ca="1" si="3"/>
        <v>11/12</v>
      </c>
      <c r="G56" s="199" t="str">
        <f t="shared" ca="1" si="3"/>
        <v>12/13</v>
      </c>
    </row>
    <row r="57" spans="1:7" ht="14.25" x14ac:dyDescent="0.2">
      <c r="A57" s="200" t="s">
        <v>616</v>
      </c>
      <c r="B57" s="198"/>
      <c r="C57" s="199"/>
      <c r="D57" s="199"/>
      <c r="E57" s="199"/>
      <c r="F57" s="199"/>
      <c r="G57" s="199"/>
    </row>
    <row r="58" spans="1:7" x14ac:dyDescent="0.2">
      <c r="A58" s="70" t="s">
        <v>617</v>
      </c>
      <c r="B58" s="198"/>
      <c r="C58" s="222">
        <v>5</v>
      </c>
      <c r="D58" s="222">
        <v>73</v>
      </c>
      <c r="E58" s="222">
        <v>65</v>
      </c>
      <c r="F58" s="222">
        <v>52</v>
      </c>
      <c r="G58" s="222">
        <v>46</v>
      </c>
    </row>
    <row r="59" spans="1:7" x14ac:dyDescent="0.2">
      <c r="A59" s="70" t="s">
        <v>618</v>
      </c>
      <c r="B59" s="198"/>
      <c r="C59" s="222">
        <v>0</v>
      </c>
      <c r="D59" s="222">
        <v>52</v>
      </c>
      <c r="E59" s="222">
        <v>77</v>
      </c>
      <c r="F59" s="222">
        <v>69</v>
      </c>
      <c r="G59" s="222">
        <v>68</v>
      </c>
    </row>
    <row r="60" spans="1:7" x14ac:dyDescent="0.2">
      <c r="A60" s="70" t="s">
        <v>619</v>
      </c>
      <c r="B60" s="198"/>
      <c r="C60" s="222">
        <v>0</v>
      </c>
      <c r="D60" s="222">
        <v>0</v>
      </c>
      <c r="E60" s="222">
        <v>30</v>
      </c>
      <c r="F60" s="222">
        <v>94</v>
      </c>
      <c r="G60" s="222">
        <v>94</v>
      </c>
    </row>
    <row r="61" spans="1:7" x14ac:dyDescent="0.2">
      <c r="A61" s="70" t="s">
        <v>620</v>
      </c>
      <c r="B61" s="198"/>
      <c r="C61" s="222">
        <v>0</v>
      </c>
      <c r="D61" s="222">
        <v>0</v>
      </c>
      <c r="E61" s="222">
        <v>0</v>
      </c>
      <c r="F61" s="222">
        <v>26</v>
      </c>
      <c r="G61" s="222">
        <v>100</v>
      </c>
    </row>
    <row r="62" spans="1:7" x14ac:dyDescent="0.2">
      <c r="A62" s="70" t="s">
        <v>621</v>
      </c>
      <c r="B62" s="198"/>
      <c r="C62" s="222">
        <v>0</v>
      </c>
      <c r="D62" s="222">
        <v>0</v>
      </c>
      <c r="E62" s="222">
        <v>0</v>
      </c>
      <c r="F62" s="222">
        <v>0</v>
      </c>
      <c r="G62" s="222">
        <v>46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Q233"/>
  <sheetViews>
    <sheetView zoomScaleNormal="100" workbookViewId="0">
      <pane xSplit="1" ySplit="2" topLeftCell="B3" activePane="bottomRight" state="frozen"/>
      <selection activeCell="A27" sqref="A27"/>
      <selection pane="topRight" activeCell="A27" sqref="A27"/>
      <selection pane="bottomLeft" activeCell="A27" sqref="A27"/>
      <selection pane="bottomRight" activeCell="A2" sqref="A2"/>
    </sheetView>
  </sheetViews>
  <sheetFormatPr defaultRowHeight="12.75" x14ac:dyDescent="0.2"/>
  <cols>
    <col min="1" max="1" width="70.7109375" customWidth="1"/>
    <col min="2" max="2" width="7.7109375" customWidth="1"/>
    <col min="3" max="5" width="7.7109375" style="141" customWidth="1"/>
    <col min="6" max="9" width="9.140625" style="141"/>
    <col min="10" max="10" width="9.140625" customWidth="1"/>
    <col min="12" max="12" width="9.140625" customWidth="1"/>
    <col min="14" max="14" width="11.5703125" bestFit="1" customWidth="1"/>
    <col min="15" max="15" width="9.140625" customWidth="1"/>
    <col min="16" max="17" width="11.5703125" bestFit="1" customWidth="1"/>
  </cols>
  <sheetData>
    <row r="1" spans="1:9" ht="15.75" x14ac:dyDescent="0.25">
      <c r="A1" s="30" t="s">
        <v>921</v>
      </c>
      <c r="B1" s="30"/>
      <c r="C1" s="166"/>
      <c r="D1" s="166"/>
      <c r="E1" s="166"/>
    </row>
    <row r="2" spans="1:9" x14ac:dyDescent="0.2">
      <c r="A2" s="67"/>
      <c r="B2" s="31"/>
      <c r="C2" s="31" t="s">
        <v>781</v>
      </c>
      <c r="D2" s="31" t="s">
        <v>782</v>
      </c>
      <c r="E2" s="148" t="s">
        <v>783</v>
      </c>
      <c r="F2" s="148" t="s">
        <v>580</v>
      </c>
      <c r="G2" s="148" t="s">
        <v>785</v>
      </c>
      <c r="H2" s="148" t="s">
        <v>786</v>
      </c>
      <c r="I2" s="148" t="s">
        <v>787</v>
      </c>
    </row>
    <row r="3" spans="1:9" x14ac:dyDescent="0.2">
      <c r="A3" s="66"/>
      <c r="B3" s="66"/>
      <c r="C3" s="313">
        <v>1</v>
      </c>
      <c r="D3" s="313">
        <v>2</v>
      </c>
      <c r="E3" s="312">
        <v>3</v>
      </c>
      <c r="F3" s="312">
        <v>4</v>
      </c>
      <c r="G3" s="312">
        <v>5</v>
      </c>
      <c r="H3" s="312">
        <v>6</v>
      </c>
      <c r="I3" s="312">
        <v>7</v>
      </c>
    </row>
    <row r="4" spans="1:9" ht="15.75" x14ac:dyDescent="0.25">
      <c r="A4" s="73" t="s">
        <v>577</v>
      </c>
      <c r="B4" s="73"/>
      <c r="C4" s="152"/>
      <c r="D4" s="152"/>
      <c r="E4" s="152"/>
    </row>
    <row r="5" spans="1:9" x14ac:dyDescent="0.2">
      <c r="A5" s="93" t="s">
        <v>578</v>
      </c>
      <c r="B5" s="93"/>
      <c r="C5" s="287">
        <v>53.064</v>
      </c>
      <c r="D5" s="287">
        <v>56.372</v>
      </c>
      <c r="E5" s="149">
        <v>54.879999999999995</v>
      </c>
      <c r="F5" s="149">
        <v>53.739999999999995</v>
      </c>
      <c r="G5" s="149">
        <v>54.704000000000001</v>
      </c>
      <c r="H5" s="149">
        <v>57.679000000000002</v>
      </c>
      <c r="I5" s="149">
        <v>61.168999999999997</v>
      </c>
    </row>
    <row r="6" spans="1:9" x14ac:dyDescent="0.2">
      <c r="A6" s="93" t="s">
        <v>402</v>
      </c>
      <c r="B6" s="93"/>
      <c r="C6" s="287">
        <v>3.496</v>
      </c>
      <c r="D6" s="287">
        <v>3.879</v>
      </c>
      <c r="E6" s="149">
        <v>3.9929999999999999</v>
      </c>
      <c r="F6" s="149">
        <v>4.5010000000000003</v>
      </c>
      <c r="G6" s="149">
        <v>5.0519999999999996</v>
      </c>
      <c r="H6" s="149">
        <v>5.3659999999999997</v>
      </c>
      <c r="I6" s="149">
        <v>6.0149999999999997</v>
      </c>
    </row>
    <row r="7" spans="1:9" x14ac:dyDescent="0.2">
      <c r="A7" s="70" t="s">
        <v>579</v>
      </c>
      <c r="B7" s="70"/>
      <c r="C7" s="288">
        <f t="shared" ref="C7:I7" si="0">SUM(C$5,C$6)</f>
        <v>56.56</v>
      </c>
      <c r="D7" s="288">
        <f t="shared" si="0"/>
        <v>60.250999999999998</v>
      </c>
      <c r="E7" s="167">
        <f t="shared" si="0"/>
        <v>58.872999999999998</v>
      </c>
      <c r="F7" s="167">
        <f t="shared" si="0"/>
        <v>58.240999999999993</v>
      </c>
      <c r="G7" s="167">
        <f t="shared" si="0"/>
        <v>59.756</v>
      </c>
      <c r="H7" s="167">
        <f t="shared" si="0"/>
        <v>63.045000000000002</v>
      </c>
      <c r="I7" s="167">
        <f t="shared" si="0"/>
        <v>67.183999999999997</v>
      </c>
    </row>
    <row r="8" spans="1:9" x14ac:dyDescent="0.2">
      <c r="A8" s="93" t="s">
        <v>529</v>
      </c>
      <c r="B8" s="93"/>
      <c r="C8" s="289">
        <v>12.613</v>
      </c>
      <c r="D8" s="289">
        <v>15.398999999999999</v>
      </c>
      <c r="E8" s="149">
        <v>16.245999999999999</v>
      </c>
      <c r="F8" s="149">
        <v>16.625</v>
      </c>
      <c r="G8" s="149">
        <v>17.832000000000001</v>
      </c>
      <c r="H8" s="149">
        <v>18.201000000000001</v>
      </c>
      <c r="I8" s="149">
        <v>19.050999999999998</v>
      </c>
    </row>
    <row r="9" spans="1:9" x14ac:dyDescent="0.2">
      <c r="A9" s="93" t="s">
        <v>403</v>
      </c>
      <c r="B9" s="93"/>
      <c r="C9" s="289">
        <v>2.9950000000000001</v>
      </c>
      <c r="D9" s="289">
        <v>3.214</v>
      </c>
      <c r="E9" s="149">
        <v>3.71</v>
      </c>
      <c r="F9" s="149">
        <v>3.722</v>
      </c>
      <c r="G9" s="149">
        <v>4.016</v>
      </c>
      <c r="H9" s="149">
        <v>4.2120000000000006</v>
      </c>
      <c r="I9" s="149">
        <v>4.3499999999999996</v>
      </c>
    </row>
    <row r="10" spans="1:9" x14ac:dyDescent="0.2">
      <c r="A10" s="93" t="s">
        <v>530</v>
      </c>
      <c r="B10" s="93"/>
      <c r="C10" s="290">
        <v>2.4209999999999998</v>
      </c>
      <c r="D10" s="290">
        <v>2.6150000000000002</v>
      </c>
      <c r="E10" s="149">
        <v>2.6219999999999999</v>
      </c>
      <c r="F10" s="149">
        <v>2.9510000000000001</v>
      </c>
      <c r="G10" s="149">
        <v>2.8420000000000001</v>
      </c>
      <c r="H10" s="149">
        <v>2.9089999999999998</v>
      </c>
      <c r="I10" s="149">
        <v>2.9769999999999999</v>
      </c>
    </row>
    <row r="11" spans="1:9" x14ac:dyDescent="0.2">
      <c r="A11" s="70" t="s">
        <v>581</v>
      </c>
      <c r="B11" s="70"/>
      <c r="C11" s="288">
        <f t="shared" ref="C11:I11" si="1">SUM(C$8:C$10)</f>
        <v>18.029</v>
      </c>
      <c r="D11" s="288">
        <f t="shared" si="1"/>
        <v>21.228000000000002</v>
      </c>
      <c r="E11" s="167">
        <f t="shared" si="1"/>
        <v>22.577999999999999</v>
      </c>
      <c r="F11" s="167">
        <f t="shared" si="1"/>
        <v>23.298000000000002</v>
      </c>
      <c r="G11" s="167">
        <f t="shared" si="1"/>
        <v>24.689999999999998</v>
      </c>
      <c r="H11" s="167">
        <f t="shared" si="1"/>
        <v>25.321999999999999</v>
      </c>
      <c r="I11" s="167">
        <f t="shared" si="1"/>
        <v>26.377999999999997</v>
      </c>
    </row>
    <row r="12" spans="1:9" x14ac:dyDescent="0.2">
      <c r="A12" s="70" t="s">
        <v>400</v>
      </c>
      <c r="B12" s="70"/>
      <c r="C12" s="291">
        <f t="shared" ref="C12:I12" si="2">SUM(C$7,C$11)</f>
        <v>74.588999999999999</v>
      </c>
      <c r="D12" s="291">
        <f t="shared" si="2"/>
        <v>81.478999999999999</v>
      </c>
      <c r="E12" s="168">
        <f t="shared" si="2"/>
        <v>81.450999999999993</v>
      </c>
      <c r="F12" s="168">
        <f t="shared" si="2"/>
        <v>81.538999999999987</v>
      </c>
      <c r="G12" s="168">
        <f t="shared" si="2"/>
        <v>84.445999999999998</v>
      </c>
      <c r="H12" s="168">
        <f t="shared" si="2"/>
        <v>88.367000000000004</v>
      </c>
      <c r="I12" s="168">
        <f t="shared" si="2"/>
        <v>93.561999999999998</v>
      </c>
    </row>
    <row r="13" spans="1:9" x14ac:dyDescent="0.2">
      <c r="A13" s="70" t="s">
        <v>582</v>
      </c>
      <c r="B13" s="70"/>
      <c r="C13" s="292"/>
      <c r="D13" s="292"/>
      <c r="E13" s="152"/>
      <c r="F13" s="152"/>
      <c r="G13" s="152"/>
      <c r="H13" s="152"/>
      <c r="I13" s="152"/>
    </row>
    <row r="14" spans="1:9" x14ac:dyDescent="0.2">
      <c r="A14" s="93" t="s">
        <v>531</v>
      </c>
      <c r="B14" s="93"/>
      <c r="C14" s="289">
        <v>19.829000000000001</v>
      </c>
      <c r="D14" s="289">
        <v>21.509</v>
      </c>
      <c r="E14" s="149">
        <v>23.439</v>
      </c>
      <c r="F14" s="149">
        <v>24.702999999999999</v>
      </c>
      <c r="G14" s="149">
        <v>25.888999999999999</v>
      </c>
      <c r="H14" s="149">
        <v>27.12</v>
      </c>
      <c r="I14" s="149">
        <v>28.25</v>
      </c>
    </row>
    <row r="15" spans="1:9" x14ac:dyDescent="0.2">
      <c r="A15" s="93" t="s">
        <v>533</v>
      </c>
      <c r="B15" s="93"/>
      <c r="C15" s="289">
        <v>0.64500000000000002</v>
      </c>
      <c r="D15" s="289">
        <v>0.69</v>
      </c>
      <c r="E15" s="149">
        <v>0.65400000000000003</v>
      </c>
      <c r="F15" s="149">
        <v>0.55500000000000005</v>
      </c>
      <c r="G15" s="149">
        <v>0.54500000000000004</v>
      </c>
      <c r="H15" s="149">
        <v>0.54800000000000004</v>
      </c>
      <c r="I15" s="149">
        <v>0.54900000000000004</v>
      </c>
    </row>
    <row r="16" spans="1:9" x14ac:dyDescent="0.2">
      <c r="A16" s="93" t="s">
        <v>765</v>
      </c>
      <c r="B16" s="93"/>
      <c r="C16" s="289">
        <v>10.661</v>
      </c>
      <c r="D16" s="289">
        <v>10.808999999999999</v>
      </c>
      <c r="E16" s="149">
        <v>11.884</v>
      </c>
      <c r="F16" s="149">
        <v>11.874000000000001</v>
      </c>
      <c r="G16" s="149">
        <v>11.864000000000001</v>
      </c>
      <c r="H16" s="149">
        <v>11.861000000000001</v>
      </c>
      <c r="I16" s="149">
        <v>11.917</v>
      </c>
    </row>
    <row r="17" spans="1:9" x14ac:dyDescent="0.2">
      <c r="A17" s="93" t="s">
        <v>869</v>
      </c>
      <c r="B17" s="93"/>
      <c r="C17" s="289">
        <v>9.8529999999999998</v>
      </c>
      <c r="D17" s="289">
        <v>10.397</v>
      </c>
      <c r="E17" s="149">
        <v>11.643000000000001</v>
      </c>
      <c r="F17" s="149">
        <v>11.946999999999999</v>
      </c>
      <c r="G17" s="149">
        <v>12.167</v>
      </c>
      <c r="H17" s="149">
        <v>12.452999999999999</v>
      </c>
      <c r="I17" s="149">
        <v>12.657999999999999</v>
      </c>
    </row>
    <row r="18" spans="1:9" x14ac:dyDescent="0.2">
      <c r="A18" s="93" t="s">
        <v>574</v>
      </c>
      <c r="B18" s="93"/>
      <c r="C18" s="289">
        <v>4.6280000000000001</v>
      </c>
      <c r="D18" s="289">
        <v>3.274</v>
      </c>
      <c r="E18" s="149">
        <v>3.5760000000000001</v>
      </c>
      <c r="F18" s="149">
        <v>3.57</v>
      </c>
      <c r="G18" s="149">
        <v>3.8090000000000002</v>
      </c>
      <c r="H18" s="149">
        <v>3.8959999999999999</v>
      </c>
      <c r="I18" s="149">
        <v>4.0289999999999999</v>
      </c>
    </row>
    <row r="19" spans="1:9" x14ac:dyDescent="0.2">
      <c r="A19" s="93" t="s">
        <v>575</v>
      </c>
      <c r="B19" s="93"/>
      <c r="C19" s="289">
        <v>2.8220000000000001</v>
      </c>
      <c r="D19" s="289">
        <v>3.0819999999999999</v>
      </c>
      <c r="E19" s="149">
        <v>3.37</v>
      </c>
      <c r="F19" s="149">
        <v>3.3820000000000001</v>
      </c>
      <c r="G19" s="149">
        <v>3.383</v>
      </c>
      <c r="H19" s="149">
        <v>3.3919999999999999</v>
      </c>
      <c r="I19" s="149">
        <v>3.415</v>
      </c>
    </row>
    <row r="20" spans="1:9" x14ac:dyDescent="0.2">
      <c r="A20" s="93" t="s">
        <v>766</v>
      </c>
      <c r="B20" s="93"/>
      <c r="C20" s="289">
        <v>1.478</v>
      </c>
      <c r="D20" s="289">
        <v>1.5249999999999999</v>
      </c>
      <c r="E20" s="149">
        <v>1.716</v>
      </c>
      <c r="F20" s="149">
        <v>1.69</v>
      </c>
      <c r="G20" s="149">
        <v>1.675</v>
      </c>
      <c r="H20" s="149">
        <v>1.6639999999999999</v>
      </c>
      <c r="I20" s="149">
        <v>1.6619999999999999</v>
      </c>
    </row>
    <row r="21" spans="1:9" x14ac:dyDescent="0.2">
      <c r="A21" s="93" t="s">
        <v>569</v>
      </c>
      <c r="B21" s="93"/>
      <c r="C21" s="289">
        <v>6.99</v>
      </c>
      <c r="D21" s="289">
        <v>7.4240000000000004</v>
      </c>
      <c r="E21" s="149">
        <v>9.7349999999999994</v>
      </c>
      <c r="F21" s="149">
        <v>8.8789999999999996</v>
      </c>
      <c r="G21" s="149">
        <v>9.2710000000000008</v>
      </c>
      <c r="H21" s="149">
        <v>9.24</v>
      </c>
      <c r="I21" s="149">
        <v>9.4920000000000009</v>
      </c>
    </row>
    <row r="22" spans="1:9" x14ac:dyDescent="0.2">
      <c r="A22" s="93" t="s">
        <v>570</v>
      </c>
      <c r="B22" s="93"/>
      <c r="C22" s="289">
        <v>4.7229999999999999</v>
      </c>
      <c r="D22" s="289">
        <f>9.043-D$23</f>
        <v>7.9419999999999993</v>
      </c>
      <c r="E22" s="149">
        <v>7.3266000000000009</v>
      </c>
      <c r="F22" s="149">
        <v>7.2102100000000009</v>
      </c>
      <c r="G22" s="149">
        <v>7.8743600000000011</v>
      </c>
      <c r="H22" s="149">
        <v>7.9288099999999995</v>
      </c>
      <c r="I22" s="149">
        <v>8.1261799999999997</v>
      </c>
    </row>
    <row r="23" spans="1:9" x14ac:dyDescent="0.2">
      <c r="A23" s="93" t="s">
        <v>218</v>
      </c>
      <c r="B23" s="93"/>
      <c r="C23" s="347">
        <v>0</v>
      </c>
      <c r="D23" s="289">
        <v>1.101</v>
      </c>
      <c r="E23" s="348">
        <v>1.3484</v>
      </c>
      <c r="F23" s="348">
        <v>0.88178999999999996</v>
      </c>
      <c r="G23" s="348">
        <v>0.90664000000000011</v>
      </c>
      <c r="H23" s="149">
        <v>0.91719000000000006</v>
      </c>
      <c r="I23" s="149">
        <v>0.94981999999999989</v>
      </c>
    </row>
    <row r="24" spans="1:9" x14ac:dyDescent="0.2">
      <c r="A24" s="93" t="s">
        <v>571</v>
      </c>
      <c r="B24" s="383"/>
      <c r="C24" s="289">
        <v>1.2330000000000001</v>
      </c>
      <c r="D24" s="289">
        <v>1.4590000000000001</v>
      </c>
      <c r="E24" s="149">
        <v>1.45</v>
      </c>
      <c r="F24" s="149">
        <v>1.4910000000000001</v>
      </c>
      <c r="G24" s="149">
        <v>1.524</v>
      </c>
      <c r="H24" s="149">
        <v>1.548</v>
      </c>
      <c r="I24" s="149">
        <v>1.5529999999999999</v>
      </c>
    </row>
    <row r="25" spans="1:9" x14ac:dyDescent="0.2">
      <c r="A25" s="93" t="s">
        <v>572</v>
      </c>
      <c r="B25" s="383"/>
      <c r="C25" s="289">
        <v>2.0430000000000001</v>
      </c>
      <c r="D25" s="289">
        <v>2.3370000000000002</v>
      </c>
      <c r="E25" s="149">
        <f>2.808-E$26</f>
        <v>2.4809999999999999</v>
      </c>
      <c r="F25" s="149">
        <f>3.353-F$26</f>
        <v>2.3970000000000002</v>
      </c>
      <c r="G25" s="149">
        <f>3.117-G$26</f>
        <v>2.488</v>
      </c>
      <c r="H25" s="149">
        <f>3.177-H$26</f>
        <v>2.5350000000000001</v>
      </c>
      <c r="I25" s="149">
        <f>3.652-I$26</f>
        <v>2.5819999999999999</v>
      </c>
    </row>
    <row r="26" spans="1:9" x14ac:dyDescent="0.2">
      <c r="A26" s="258" t="s">
        <v>130</v>
      </c>
      <c r="B26" s="384"/>
      <c r="C26" s="287">
        <v>0</v>
      </c>
      <c r="D26" s="287">
        <v>0</v>
      </c>
      <c r="E26" s="150">
        <v>0.32700000000000001</v>
      </c>
      <c r="F26" s="150">
        <v>0.95599999999999996</v>
      </c>
      <c r="G26" s="150">
        <v>0.629</v>
      </c>
      <c r="H26" s="150">
        <v>0.64200000000000002</v>
      </c>
      <c r="I26" s="150">
        <v>1.07</v>
      </c>
    </row>
    <row r="27" spans="1:9" x14ac:dyDescent="0.2">
      <c r="A27" s="93" t="s">
        <v>573</v>
      </c>
      <c r="B27" s="383"/>
      <c r="C27" s="289">
        <v>0.86499999999999999</v>
      </c>
      <c r="D27" s="289">
        <v>0.93799999999999994</v>
      </c>
      <c r="E27" s="150">
        <v>1.0529999999999999</v>
      </c>
      <c r="F27" s="150">
        <v>1.087</v>
      </c>
      <c r="G27" s="150">
        <v>1.147</v>
      </c>
      <c r="H27" s="150">
        <v>1.1839999999999999</v>
      </c>
      <c r="I27" s="149">
        <v>1.1419999999999999</v>
      </c>
    </row>
    <row r="28" spans="1:9" x14ac:dyDescent="0.2">
      <c r="A28" s="93" t="s">
        <v>767</v>
      </c>
      <c r="B28" s="383"/>
      <c r="C28" s="289">
        <v>7.3999999999999996E-2</v>
      </c>
      <c r="D28" s="289">
        <v>0.254</v>
      </c>
      <c r="E28" s="149">
        <v>5.7000000000000002E-2</v>
      </c>
      <c r="F28" s="149">
        <v>0.46700000000000003</v>
      </c>
      <c r="G28" s="149">
        <v>0.214</v>
      </c>
      <c r="H28" s="149">
        <v>0.214</v>
      </c>
      <c r="I28" s="149">
        <v>0.214</v>
      </c>
    </row>
    <row r="29" spans="1:9" x14ac:dyDescent="0.2">
      <c r="A29" s="93" t="s">
        <v>189</v>
      </c>
      <c r="B29" s="383"/>
      <c r="C29" s="289">
        <v>2.8849999999999998</v>
      </c>
      <c r="D29" s="289">
        <v>3.101</v>
      </c>
      <c r="E29" s="149">
        <v>3.2189999999999999</v>
      </c>
      <c r="F29" s="149">
        <v>3.3149999999999999</v>
      </c>
      <c r="G29" s="149">
        <v>3.9330000000000003</v>
      </c>
      <c r="H29" s="149">
        <v>4.5360000000000005</v>
      </c>
      <c r="I29" s="149">
        <v>5.3800000000000008</v>
      </c>
    </row>
    <row r="30" spans="1:9" x14ac:dyDescent="0.2">
      <c r="A30" s="93" t="s">
        <v>625</v>
      </c>
      <c r="B30" s="383"/>
      <c r="C30" s="289">
        <v>0</v>
      </c>
      <c r="D30" s="289">
        <v>0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</row>
    <row r="31" spans="1:9" x14ac:dyDescent="0.2">
      <c r="A31" s="93" t="s">
        <v>626</v>
      </c>
      <c r="B31" s="383"/>
      <c r="C31" s="289">
        <v>0</v>
      </c>
      <c r="D31" s="289">
        <v>0</v>
      </c>
      <c r="E31" s="149">
        <v>0.17199999999999999</v>
      </c>
      <c r="F31" s="149">
        <v>1.5940000000000001</v>
      </c>
      <c r="G31" s="149">
        <v>3.41</v>
      </c>
      <c r="H31" s="149">
        <v>5.1930000000000005</v>
      </c>
      <c r="I31" s="149">
        <v>7.048</v>
      </c>
    </row>
    <row r="32" spans="1:9" x14ac:dyDescent="0.2">
      <c r="A32" s="93" t="s">
        <v>397</v>
      </c>
      <c r="B32" s="383"/>
      <c r="C32" s="289">
        <v>0</v>
      </c>
      <c r="D32" s="289">
        <v>0</v>
      </c>
      <c r="E32" s="149">
        <v>-1.45</v>
      </c>
      <c r="F32" s="149">
        <v>-0.35</v>
      </c>
      <c r="G32" s="149">
        <v>-0.27500000000000002</v>
      </c>
      <c r="H32" s="149">
        <v>-0.2</v>
      </c>
      <c r="I32" s="149">
        <v>-0.15</v>
      </c>
    </row>
    <row r="33" spans="1:10" x14ac:dyDescent="0.2">
      <c r="A33" s="70" t="s">
        <v>401</v>
      </c>
      <c r="B33" s="70"/>
      <c r="C33" s="291">
        <f t="shared" ref="C33:I33" si="3">SUM(C$14:C$32)</f>
        <v>68.728999999999999</v>
      </c>
      <c r="D33" s="291">
        <f t="shared" si="3"/>
        <v>75.842000000000013</v>
      </c>
      <c r="E33" s="168">
        <f t="shared" si="3"/>
        <v>82.000999999999976</v>
      </c>
      <c r="F33" s="168">
        <f t="shared" si="3"/>
        <v>85.649000000000001</v>
      </c>
      <c r="G33" s="168">
        <f t="shared" si="3"/>
        <v>90.454000000000008</v>
      </c>
      <c r="H33" s="168">
        <f t="shared" si="3"/>
        <v>94.671999999999997</v>
      </c>
      <c r="I33" s="168">
        <f t="shared" si="3"/>
        <v>99.886999999999986</v>
      </c>
    </row>
    <row r="34" spans="1:10" x14ac:dyDescent="0.2">
      <c r="A34" s="70" t="s">
        <v>399</v>
      </c>
      <c r="B34" s="70"/>
      <c r="C34" s="294">
        <v>5.86</v>
      </c>
      <c r="D34" s="294">
        <f>5.638-0.001</f>
        <v>5.6369999999999996</v>
      </c>
      <c r="E34" s="271">
        <v>-0.54999999999998295</v>
      </c>
      <c r="F34" s="271">
        <v>-4.1099999999999994</v>
      </c>
      <c r="G34" s="271">
        <v>-6.0080000000000098</v>
      </c>
      <c r="H34" s="271">
        <v>-6.3050000000000068</v>
      </c>
      <c r="I34" s="271">
        <v>-6.3250000000000028</v>
      </c>
    </row>
    <row r="35" spans="1:10" x14ac:dyDescent="0.2">
      <c r="A35" s="93" t="s">
        <v>405</v>
      </c>
      <c r="B35" s="93"/>
      <c r="C35" s="287">
        <v>1.5660000000000001</v>
      </c>
      <c r="D35" s="287">
        <v>-0.61699999999999999</v>
      </c>
      <c r="E35" s="150">
        <v>-2.883</v>
      </c>
      <c r="F35" s="150">
        <v>1.5349999999999999</v>
      </c>
      <c r="G35" s="150">
        <v>1.7829999999999999</v>
      </c>
      <c r="H35" s="149">
        <v>2.0459999999999998</v>
      </c>
      <c r="I35" s="149">
        <v>2.335</v>
      </c>
    </row>
    <row r="36" spans="1:10" x14ac:dyDescent="0.2">
      <c r="A36" s="93" t="s">
        <v>107</v>
      </c>
      <c r="B36" s="93"/>
      <c r="C36" s="287">
        <v>0.48599999999999999</v>
      </c>
      <c r="D36" s="287">
        <v>-2.9249999999999998</v>
      </c>
      <c r="E36" s="150">
        <v>-1.23</v>
      </c>
      <c r="F36" s="150">
        <v>0.219</v>
      </c>
      <c r="G36" s="150">
        <v>0.23899999999999999</v>
      </c>
      <c r="H36" s="150">
        <v>0.252</v>
      </c>
      <c r="I36" s="149">
        <v>0.25900000000000001</v>
      </c>
    </row>
    <row r="37" spans="1:10" x14ac:dyDescent="0.2">
      <c r="A37" s="93" t="s">
        <v>398</v>
      </c>
      <c r="B37" s="93"/>
      <c r="C37" s="287">
        <v>0.191</v>
      </c>
      <c r="D37" s="287">
        <v>0.33400000000000002</v>
      </c>
      <c r="E37" s="150">
        <v>0.33400000000000002</v>
      </c>
      <c r="F37" s="150">
        <v>0.36599999999999999</v>
      </c>
      <c r="G37" s="150">
        <v>0.38800000000000001</v>
      </c>
      <c r="H37" s="150">
        <v>0.39800000000000002</v>
      </c>
      <c r="I37" s="149">
        <v>0.39800000000000002</v>
      </c>
    </row>
    <row r="38" spans="1:10" x14ac:dyDescent="0.2">
      <c r="A38" s="70" t="s">
        <v>627</v>
      </c>
      <c r="B38" s="70"/>
      <c r="C38" s="294">
        <v>8.1029999999999998</v>
      </c>
      <c r="D38" s="294">
        <v>2.4289999999999998</v>
      </c>
      <c r="E38" s="271">
        <v>-4.3289999999999829</v>
      </c>
      <c r="F38" s="271">
        <v>-1.9899999999999993</v>
      </c>
      <c r="G38" s="271">
        <v>-3.5980000000000105</v>
      </c>
      <c r="H38" s="271">
        <v>-3.6090000000000075</v>
      </c>
      <c r="I38" s="271">
        <v>-3.3330000000000028</v>
      </c>
    </row>
    <row r="39" spans="1:10" x14ac:dyDescent="0.2">
      <c r="A39" s="70" t="s">
        <v>648</v>
      </c>
      <c r="B39" s="70"/>
      <c r="C39" s="295"/>
      <c r="D39" s="295"/>
      <c r="E39" s="295"/>
      <c r="F39" s="295"/>
      <c r="G39" s="295"/>
      <c r="H39" s="295"/>
      <c r="I39" s="295"/>
    </row>
    <row r="40" spans="1:10" x14ac:dyDescent="0.2">
      <c r="A40" s="93" t="s">
        <v>531</v>
      </c>
      <c r="B40" s="93"/>
      <c r="C40" s="289">
        <v>16.768000000000001</v>
      </c>
      <c r="D40" s="289">
        <v>17.876999999999999</v>
      </c>
      <c r="E40" s="150">
        <v>19.212999999999997</v>
      </c>
      <c r="F40" s="150">
        <v>20.309999999999999</v>
      </c>
      <c r="G40" s="150">
        <v>21.196000000000002</v>
      </c>
      <c r="H40" s="149">
        <v>22.093</v>
      </c>
      <c r="I40" s="149">
        <v>22.893000000000001</v>
      </c>
    </row>
    <row r="41" spans="1:10" x14ac:dyDescent="0.2">
      <c r="A41" s="93" t="s">
        <v>533</v>
      </c>
      <c r="B41" s="93"/>
      <c r="C41" s="289">
        <v>0.64500000000000002</v>
      </c>
      <c r="D41" s="289">
        <v>0.69</v>
      </c>
      <c r="E41" s="150">
        <v>0.65400000000000003</v>
      </c>
      <c r="F41" s="150">
        <v>0.55500000000000005</v>
      </c>
      <c r="G41" s="150">
        <v>0.54500000000000004</v>
      </c>
      <c r="H41" s="149">
        <v>0.54800000000000004</v>
      </c>
      <c r="I41" s="149">
        <v>0.54900000000000004</v>
      </c>
    </row>
    <row r="42" spans="1:10" x14ac:dyDescent="0.2">
      <c r="A42" s="93" t="s">
        <v>765</v>
      </c>
      <c r="B42" s="93"/>
      <c r="C42" s="287">
        <v>10.355</v>
      </c>
      <c r="D42" s="287">
        <v>11.297000000000001</v>
      </c>
      <c r="E42" s="150">
        <v>12.674000000000001</v>
      </c>
      <c r="F42" s="150">
        <v>12.744</v>
      </c>
      <c r="G42" s="150">
        <v>12.717000000000001</v>
      </c>
      <c r="H42" s="149">
        <v>12.712</v>
      </c>
      <c r="I42" s="149">
        <v>12.766999999999999</v>
      </c>
    </row>
    <row r="43" spans="1:10" x14ac:dyDescent="0.2">
      <c r="A43" s="93" t="s">
        <v>869</v>
      </c>
      <c r="B43" s="93"/>
      <c r="C43" s="296">
        <v>9.2690000000000001</v>
      </c>
      <c r="D43" s="296">
        <v>9.5510000000000002</v>
      </c>
      <c r="E43" s="150">
        <v>10.739000000000001</v>
      </c>
      <c r="F43" s="150">
        <v>11.117000000000001</v>
      </c>
      <c r="G43" s="150">
        <v>11.302</v>
      </c>
      <c r="H43" s="149">
        <v>11.419</v>
      </c>
      <c r="I43" s="149">
        <v>11.488</v>
      </c>
    </row>
    <row r="44" spans="1:10" x14ac:dyDescent="0.2">
      <c r="A44" s="93" t="s">
        <v>574</v>
      </c>
      <c r="B44" s="93"/>
      <c r="C44" s="287">
        <v>4.8159999999999998</v>
      </c>
      <c r="D44" s="287">
        <v>3.371</v>
      </c>
      <c r="E44" s="150">
        <v>3.649</v>
      </c>
      <c r="F44" s="150">
        <v>3.625</v>
      </c>
      <c r="G44" s="150">
        <v>3.8450000000000002</v>
      </c>
      <c r="H44" s="149">
        <v>3.919</v>
      </c>
      <c r="I44" s="149">
        <v>4.05</v>
      </c>
    </row>
    <row r="45" spans="1:10" x14ac:dyDescent="0.2">
      <c r="A45" s="93" t="s">
        <v>575</v>
      </c>
      <c r="B45" s="93"/>
      <c r="C45" s="287">
        <v>2.6989999999999998</v>
      </c>
      <c r="D45" s="287">
        <v>2.8940000000000001</v>
      </c>
      <c r="E45" s="150">
        <v>3.1389999999999998</v>
      </c>
      <c r="F45" s="150">
        <v>3.13</v>
      </c>
      <c r="G45" s="150">
        <v>3.13</v>
      </c>
      <c r="H45" s="149">
        <v>3.1280000000000001</v>
      </c>
      <c r="I45" s="149">
        <v>3.1429999999999998</v>
      </c>
    </row>
    <row r="46" spans="1:10" x14ac:dyDescent="0.2">
      <c r="A46" s="93" t="s">
        <v>766</v>
      </c>
      <c r="B46" s="93"/>
      <c r="C46" s="287">
        <v>1.5169999999999999</v>
      </c>
      <c r="D46" s="287">
        <v>1.5620000000000001</v>
      </c>
      <c r="E46" s="150">
        <v>1.756</v>
      </c>
      <c r="F46" s="150">
        <v>1.7310000000000001</v>
      </c>
      <c r="G46" s="150">
        <v>1.718</v>
      </c>
      <c r="H46" s="149">
        <v>1.7090000000000001</v>
      </c>
      <c r="I46" s="149">
        <v>1.708</v>
      </c>
    </row>
    <row r="47" spans="1:10" x14ac:dyDescent="0.2">
      <c r="A47" s="93" t="s">
        <v>569</v>
      </c>
      <c r="B47" s="93"/>
      <c r="C47" s="287">
        <v>2.4049999999999998</v>
      </c>
      <c r="D47" s="287">
        <v>2.2440000000000002</v>
      </c>
      <c r="E47" s="150">
        <v>3.8140000000000001</v>
      </c>
      <c r="F47" s="150">
        <v>2.649</v>
      </c>
      <c r="G47" s="150">
        <v>2.6150000000000002</v>
      </c>
      <c r="H47" s="149">
        <v>2.5150000000000001</v>
      </c>
      <c r="I47" s="149">
        <v>2.548</v>
      </c>
    </row>
    <row r="48" spans="1:10" x14ac:dyDescent="0.2">
      <c r="A48" s="93" t="s">
        <v>570</v>
      </c>
      <c r="B48" s="93"/>
      <c r="C48" s="287">
        <v>1.595</v>
      </c>
      <c r="D48" s="296">
        <f>2.889-D$49</f>
        <v>1.7879999999999998</v>
      </c>
      <c r="E48" s="150">
        <v>2.0726</v>
      </c>
      <c r="F48" s="150">
        <v>1.7002099999999998</v>
      </c>
      <c r="G48" s="150">
        <v>1.7293599999999996</v>
      </c>
      <c r="H48" s="150">
        <v>1.7418099999999996</v>
      </c>
      <c r="I48" s="149">
        <v>1.74518</v>
      </c>
      <c r="J48" s="54"/>
    </row>
    <row r="49" spans="1:9" x14ac:dyDescent="0.2">
      <c r="A49" s="93" t="s">
        <v>218</v>
      </c>
      <c r="B49" s="93"/>
      <c r="C49" s="293">
        <v>0</v>
      </c>
      <c r="D49" s="287">
        <v>1.101</v>
      </c>
      <c r="E49" s="151">
        <v>1.3484</v>
      </c>
      <c r="F49" s="151">
        <v>0.88178999999999996</v>
      </c>
      <c r="G49" s="151">
        <v>0.90664000000000011</v>
      </c>
      <c r="H49" s="149">
        <v>0.91719000000000006</v>
      </c>
      <c r="I49" s="149">
        <v>0.94981999999999989</v>
      </c>
    </row>
    <row r="50" spans="1:9" x14ac:dyDescent="0.2">
      <c r="A50" s="93" t="s">
        <v>571</v>
      </c>
      <c r="B50" s="93"/>
      <c r="C50" s="287">
        <v>0.438</v>
      </c>
      <c r="D50" s="287">
        <v>0.54100000000000004</v>
      </c>
      <c r="E50" s="150">
        <v>0.54500000000000004</v>
      </c>
      <c r="F50" s="150">
        <v>0.55700000000000005</v>
      </c>
      <c r="G50" s="150">
        <v>0.54900000000000004</v>
      </c>
      <c r="H50" s="149">
        <v>0.54800000000000004</v>
      </c>
      <c r="I50" s="149">
        <v>0.53400000000000003</v>
      </c>
    </row>
    <row r="51" spans="1:9" x14ac:dyDescent="0.2">
      <c r="A51" s="93" t="s">
        <v>572</v>
      </c>
      <c r="B51" s="93"/>
      <c r="C51" s="287">
        <v>0.84399999999999997</v>
      </c>
      <c r="D51" s="287">
        <v>1.107</v>
      </c>
      <c r="E51" s="150">
        <v>1.119</v>
      </c>
      <c r="F51" s="150">
        <v>0.96900000000000008</v>
      </c>
      <c r="G51" s="150">
        <v>0.97900000000000009</v>
      </c>
      <c r="H51" s="149">
        <v>0.96400000000000008</v>
      </c>
      <c r="I51" s="149">
        <v>0.95999999999999974</v>
      </c>
    </row>
    <row r="52" spans="1:9" x14ac:dyDescent="0.2">
      <c r="A52" s="258" t="s">
        <v>130</v>
      </c>
      <c r="B52" s="93"/>
      <c r="C52" s="287">
        <v>0</v>
      </c>
      <c r="D52" s="287">
        <v>0</v>
      </c>
      <c r="E52" s="150">
        <v>0.32700000000000001</v>
      </c>
      <c r="F52" s="150">
        <v>0.95599999999999996</v>
      </c>
      <c r="G52" s="150">
        <v>0.629</v>
      </c>
      <c r="H52" s="150">
        <v>0.64200000000000002</v>
      </c>
      <c r="I52" s="149">
        <v>1.07</v>
      </c>
    </row>
    <row r="53" spans="1:9" x14ac:dyDescent="0.2">
      <c r="A53" s="93" t="s">
        <v>573</v>
      </c>
      <c r="B53" s="93"/>
      <c r="C53" s="287">
        <v>0.255</v>
      </c>
      <c r="D53" s="287">
        <v>0.26</v>
      </c>
      <c r="E53" s="150">
        <v>0.34699999999999998</v>
      </c>
      <c r="F53" s="150">
        <v>0.308</v>
      </c>
      <c r="G53" s="150">
        <v>0.32900000000000001</v>
      </c>
      <c r="H53" s="149">
        <v>0.33300000000000002</v>
      </c>
      <c r="I53" s="149">
        <v>0.31900000000000001</v>
      </c>
    </row>
    <row r="54" spans="1:9" x14ac:dyDescent="0.2">
      <c r="A54" s="93" t="s">
        <v>767</v>
      </c>
      <c r="B54" s="93"/>
      <c r="C54" s="287">
        <v>6.8000000000000005E-2</v>
      </c>
      <c r="D54" s="287">
        <v>0.254</v>
      </c>
      <c r="E54" s="150">
        <v>5.7000000000000002E-2</v>
      </c>
      <c r="F54" s="150">
        <v>0.46700000000000003</v>
      </c>
      <c r="G54" s="150">
        <v>0.214</v>
      </c>
      <c r="H54" s="149">
        <v>0.214</v>
      </c>
      <c r="I54" s="149">
        <v>0.214</v>
      </c>
    </row>
    <row r="55" spans="1:9" x14ac:dyDescent="0.2">
      <c r="A55" s="93" t="s">
        <v>189</v>
      </c>
      <c r="B55" s="93"/>
      <c r="C55" s="287">
        <v>2.3290000000000002</v>
      </c>
      <c r="D55" s="287">
        <v>2.46</v>
      </c>
      <c r="E55" s="150">
        <v>2.5649999999999999</v>
      </c>
      <c r="F55" s="150">
        <v>2.484</v>
      </c>
      <c r="G55" s="150">
        <v>2.9849999999999999</v>
      </c>
      <c r="H55" s="149">
        <v>3.5569999999999999</v>
      </c>
      <c r="I55" s="149">
        <v>4.3220000000000001</v>
      </c>
    </row>
    <row r="56" spans="1:9" x14ac:dyDescent="0.2">
      <c r="A56" s="93" t="s">
        <v>625</v>
      </c>
      <c r="B56" s="93"/>
      <c r="C56" s="287">
        <v>0</v>
      </c>
      <c r="D56" s="287">
        <v>0</v>
      </c>
      <c r="E56" s="150">
        <v>0</v>
      </c>
      <c r="F56" s="150">
        <v>0</v>
      </c>
      <c r="G56" s="150">
        <v>0</v>
      </c>
      <c r="H56" s="149">
        <v>0</v>
      </c>
      <c r="I56" s="149">
        <v>0</v>
      </c>
    </row>
    <row r="57" spans="1:9" x14ac:dyDescent="0.2">
      <c r="A57" s="93" t="s">
        <v>626</v>
      </c>
      <c r="B57" s="93"/>
      <c r="C57" s="287">
        <v>0</v>
      </c>
      <c r="D57" s="287">
        <v>0</v>
      </c>
      <c r="E57" s="150">
        <v>0.17199999999999999</v>
      </c>
      <c r="F57" s="149">
        <v>1.5940000000000001</v>
      </c>
      <c r="G57" s="149">
        <v>3.41</v>
      </c>
      <c r="H57" s="149">
        <v>5.1930000000000005</v>
      </c>
      <c r="I57" s="149">
        <v>7.048</v>
      </c>
    </row>
    <row r="58" spans="1:9" x14ac:dyDescent="0.2">
      <c r="A58" s="93" t="s">
        <v>397</v>
      </c>
      <c r="B58" s="93"/>
      <c r="C58" s="287">
        <v>0</v>
      </c>
      <c r="D58" s="287">
        <v>0</v>
      </c>
      <c r="E58" s="150">
        <v>-1.45</v>
      </c>
      <c r="F58" s="150">
        <v>-0.35</v>
      </c>
      <c r="G58" s="150">
        <v>-0.27500000000000002</v>
      </c>
      <c r="H58" s="149">
        <v>-0.2</v>
      </c>
      <c r="I58" s="149">
        <v>-0.15</v>
      </c>
    </row>
    <row r="59" spans="1:9" x14ac:dyDescent="0.2">
      <c r="A59" s="70" t="s">
        <v>452</v>
      </c>
      <c r="B59" s="70"/>
      <c r="C59" s="291">
        <f t="shared" ref="C59:I59" si="4">SUM(C$40:C$58)</f>
        <v>54.003000000000007</v>
      </c>
      <c r="D59" s="291">
        <f t="shared" si="4"/>
        <v>56.996999999999986</v>
      </c>
      <c r="E59" s="168">
        <f t="shared" si="4"/>
        <v>62.741</v>
      </c>
      <c r="F59" s="168">
        <f t="shared" si="4"/>
        <v>65.428000000000011</v>
      </c>
      <c r="G59" s="168">
        <f t="shared" si="4"/>
        <v>68.524000000000001</v>
      </c>
      <c r="H59" s="168">
        <f t="shared" si="4"/>
        <v>71.952999999999989</v>
      </c>
      <c r="I59" s="168">
        <f t="shared" si="4"/>
        <v>76.158000000000001</v>
      </c>
    </row>
    <row r="60" spans="1:9" ht="15.75" x14ac:dyDescent="0.25">
      <c r="A60" s="73" t="s">
        <v>628</v>
      </c>
      <c r="B60" s="73"/>
      <c r="C60" s="292"/>
      <c r="D60" s="292"/>
      <c r="E60" s="152"/>
      <c r="F60" s="152"/>
      <c r="G60" s="152"/>
      <c r="H60" s="152"/>
      <c r="I60" s="152"/>
    </row>
    <row r="61" spans="1:9" x14ac:dyDescent="0.2">
      <c r="A61" s="93" t="s">
        <v>429</v>
      </c>
      <c r="B61" s="93"/>
      <c r="C61" s="287">
        <v>4.1630000000000003</v>
      </c>
      <c r="D61" s="287">
        <v>3.8039999999999998</v>
      </c>
      <c r="E61" s="149">
        <v>3.8679999999999999</v>
      </c>
      <c r="F61" s="149">
        <v>4.492</v>
      </c>
      <c r="G61" s="149">
        <v>4.6740000000000004</v>
      </c>
      <c r="H61" s="149">
        <v>5.5750000000000002</v>
      </c>
      <c r="I61" s="149">
        <v>6.09</v>
      </c>
    </row>
    <row r="62" spans="1:9" x14ac:dyDescent="0.2">
      <c r="A62" s="93" t="s">
        <v>544</v>
      </c>
      <c r="B62" s="93"/>
      <c r="C62" s="287">
        <v>12.058</v>
      </c>
      <c r="D62" s="287">
        <v>14.157999999999999</v>
      </c>
      <c r="E62" s="149">
        <v>14.707999999999998</v>
      </c>
      <c r="F62" s="149">
        <v>14.908999999999999</v>
      </c>
      <c r="G62" s="149">
        <v>14.886000000000001</v>
      </c>
      <c r="H62" s="149">
        <v>14.761999999999999</v>
      </c>
      <c r="I62" s="149">
        <v>15.025</v>
      </c>
    </row>
    <row r="63" spans="1:9" x14ac:dyDescent="0.2">
      <c r="A63" s="93" t="s">
        <v>430</v>
      </c>
      <c r="B63" s="93"/>
      <c r="C63" s="287">
        <v>32.125</v>
      </c>
      <c r="D63" s="287">
        <v>41.189</v>
      </c>
      <c r="E63" s="149">
        <v>37.760000000000005</v>
      </c>
      <c r="F63" s="149">
        <v>36.357999999999997</v>
      </c>
      <c r="G63" s="149">
        <v>39.951000000000001</v>
      </c>
      <c r="H63" s="149">
        <v>42.268000000000001</v>
      </c>
      <c r="I63" s="149">
        <v>45.319000000000003</v>
      </c>
    </row>
    <row r="64" spans="1:9" x14ac:dyDescent="0.2">
      <c r="A64" s="93" t="s">
        <v>431</v>
      </c>
      <c r="B64" s="93"/>
      <c r="C64" s="287">
        <v>13.581</v>
      </c>
      <c r="D64" s="287">
        <v>12.964</v>
      </c>
      <c r="E64" s="149">
        <v>9.9480000000000004</v>
      </c>
      <c r="F64" s="149">
        <v>10.908999999999999</v>
      </c>
      <c r="G64" s="149">
        <v>12.471</v>
      </c>
      <c r="H64" s="149">
        <v>14.107000000000003</v>
      </c>
      <c r="I64" s="149">
        <v>15.751000000000001</v>
      </c>
    </row>
    <row r="65" spans="1:9" x14ac:dyDescent="0.2">
      <c r="A65" s="93" t="s">
        <v>746</v>
      </c>
      <c r="B65" s="93"/>
      <c r="C65" s="287">
        <v>3.637</v>
      </c>
      <c r="D65" s="287">
        <v>5.5810000000000004</v>
      </c>
      <c r="E65" s="149">
        <v>8.5</v>
      </c>
      <c r="F65" s="149">
        <v>9.5</v>
      </c>
      <c r="G65" s="149">
        <v>10</v>
      </c>
      <c r="H65" s="149">
        <v>10</v>
      </c>
      <c r="I65" s="149">
        <v>10</v>
      </c>
    </row>
    <row r="66" spans="1:9" x14ac:dyDescent="0.2">
      <c r="A66" s="93" t="s">
        <v>543</v>
      </c>
      <c r="B66" s="93"/>
      <c r="C66" s="287">
        <f>11.793-C$65</f>
        <v>8.1559999999999988</v>
      </c>
      <c r="D66" s="287">
        <f>12.948-D$65</f>
        <v>7.367</v>
      </c>
      <c r="E66" s="149">
        <f>19.278-E$65</f>
        <v>10.777999999999999</v>
      </c>
      <c r="F66" s="149">
        <f>20.854-F$65</f>
        <v>11.353999999999999</v>
      </c>
      <c r="G66" s="149">
        <f>21.853-G$65</f>
        <v>11.853000000000002</v>
      </c>
      <c r="H66" s="149">
        <f>22-H$65</f>
        <v>12</v>
      </c>
      <c r="I66" s="149">
        <f>22.658-I$65</f>
        <v>12.658000000000001</v>
      </c>
    </row>
    <row r="67" spans="1:9" x14ac:dyDescent="0.2">
      <c r="A67" s="93" t="s">
        <v>432</v>
      </c>
      <c r="B67" s="93"/>
      <c r="C67" s="287">
        <v>0.82599999999999996</v>
      </c>
      <c r="D67" s="287">
        <v>0.96399999999999997</v>
      </c>
      <c r="E67" s="149">
        <v>1.01</v>
      </c>
      <c r="F67" s="149">
        <v>1.079</v>
      </c>
      <c r="G67" s="149">
        <v>1.177</v>
      </c>
      <c r="H67" s="149">
        <v>1.1950000000000001</v>
      </c>
      <c r="I67" s="149">
        <v>1.228</v>
      </c>
    </row>
    <row r="68" spans="1:9" x14ac:dyDescent="0.2">
      <c r="A68" s="93" t="s">
        <v>433</v>
      </c>
      <c r="B68" s="93"/>
      <c r="C68" s="287">
        <v>1.5269999999999999</v>
      </c>
      <c r="D68" s="287">
        <v>1.663</v>
      </c>
      <c r="E68" s="149">
        <v>1.4410000000000001</v>
      </c>
      <c r="F68" s="149">
        <v>1.4530000000000001</v>
      </c>
      <c r="G68" s="149">
        <v>1.5009999999999999</v>
      </c>
      <c r="H68" s="149">
        <v>1.5349999999999999</v>
      </c>
      <c r="I68" s="149">
        <v>1.554</v>
      </c>
    </row>
    <row r="69" spans="1:9" x14ac:dyDescent="0.2">
      <c r="A69" s="93" t="s">
        <v>631</v>
      </c>
      <c r="B69" s="93"/>
      <c r="C69" s="287">
        <v>95.597999999999999</v>
      </c>
      <c r="D69" s="287">
        <v>103.32899999999999</v>
      </c>
      <c r="E69" s="150">
        <v>107.895</v>
      </c>
      <c r="F69" s="150">
        <v>110.398</v>
      </c>
      <c r="G69" s="150">
        <v>112.779</v>
      </c>
      <c r="H69" s="150">
        <v>114.501</v>
      </c>
      <c r="I69" s="149">
        <v>116.943</v>
      </c>
    </row>
    <row r="70" spans="1:9" x14ac:dyDescent="0.2">
      <c r="A70" s="93" t="s">
        <v>434</v>
      </c>
      <c r="B70" s="93"/>
      <c r="C70" s="287">
        <v>7.0010000000000003</v>
      </c>
      <c r="D70" s="287">
        <v>8.0649999999999995</v>
      </c>
      <c r="E70" s="150">
        <v>8.82</v>
      </c>
      <c r="F70" s="150">
        <v>9.2309999999999999</v>
      </c>
      <c r="G70" s="150">
        <v>9.6349999999999998</v>
      </c>
      <c r="H70" s="150">
        <v>9.9760000000000009</v>
      </c>
      <c r="I70" s="149">
        <v>10.292</v>
      </c>
    </row>
    <row r="71" spans="1:9" x14ac:dyDescent="0.2">
      <c r="A71" s="93" t="s">
        <v>436</v>
      </c>
      <c r="B71" s="93"/>
      <c r="C71" s="287">
        <v>1.677</v>
      </c>
      <c r="D71" s="287">
        <v>1.7509999999999999</v>
      </c>
      <c r="E71" s="150">
        <v>2.0599999999999996</v>
      </c>
      <c r="F71" s="150">
        <v>2.1609999999999996</v>
      </c>
      <c r="G71" s="150">
        <v>2.3209999999999997</v>
      </c>
      <c r="H71" s="149">
        <v>2.3390000000000004</v>
      </c>
      <c r="I71" s="149">
        <v>2.6740000000000004</v>
      </c>
    </row>
    <row r="72" spans="1:9" x14ac:dyDescent="0.2">
      <c r="A72" s="93" t="s">
        <v>632</v>
      </c>
      <c r="B72" s="93"/>
      <c r="C72" s="287">
        <v>0</v>
      </c>
      <c r="D72" s="287">
        <v>0</v>
      </c>
      <c r="E72" s="150">
        <v>0.184</v>
      </c>
      <c r="F72" s="150">
        <v>0.89</v>
      </c>
      <c r="G72" s="150">
        <v>1.9319999999999999</v>
      </c>
      <c r="H72" s="150">
        <v>3.3120000000000003</v>
      </c>
      <c r="I72" s="149">
        <v>5.0220000000000002</v>
      </c>
    </row>
    <row r="73" spans="1:9" x14ac:dyDescent="0.2">
      <c r="A73" s="93" t="s">
        <v>435</v>
      </c>
      <c r="B73" s="93"/>
      <c r="C73" s="287">
        <v>0</v>
      </c>
      <c r="D73" s="287">
        <v>0</v>
      </c>
      <c r="E73" s="150">
        <v>-0.48499999999999999</v>
      </c>
      <c r="F73" s="150">
        <v>-0.48499999999999999</v>
      </c>
      <c r="G73" s="150">
        <v>-0.48499999999999999</v>
      </c>
      <c r="H73" s="150">
        <v>-0.48499999999999999</v>
      </c>
      <c r="I73" s="149">
        <v>-0.48499999999999999</v>
      </c>
    </row>
    <row r="74" spans="1:9" x14ac:dyDescent="0.2">
      <c r="A74" s="70" t="s">
        <v>633</v>
      </c>
      <c r="B74" s="70"/>
      <c r="C74" s="291">
        <f t="shared" ref="C74:I74" si="5">SUM(C$61:C$73)</f>
        <v>180.34899999999999</v>
      </c>
      <c r="D74" s="291">
        <f t="shared" si="5"/>
        <v>200.83500000000001</v>
      </c>
      <c r="E74" s="168">
        <f t="shared" si="5"/>
        <v>206.48699999999997</v>
      </c>
      <c r="F74" s="168">
        <f t="shared" si="5"/>
        <v>212.24899999999997</v>
      </c>
      <c r="G74" s="168">
        <f t="shared" si="5"/>
        <v>222.69499999999999</v>
      </c>
      <c r="H74" s="168">
        <f t="shared" si="5"/>
        <v>231.08499999999998</v>
      </c>
      <c r="I74" s="168">
        <f t="shared" si="5"/>
        <v>242.07099999999997</v>
      </c>
    </row>
    <row r="75" spans="1:9" x14ac:dyDescent="0.2">
      <c r="A75" s="93" t="s">
        <v>420</v>
      </c>
      <c r="B75" s="93"/>
      <c r="C75" s="287">
        <v>3.444</v>
      </c>
      <c r="D75" s="287">
        <v>3.53</v>
      </c>
      <c r="E75" s="150">
        <v>3.702</v>
      </c>
      <c r="F75" s="150">
        <v>3.883</v>
      </c>
      <c r="G75" s="150">
        <v>4.0730000000000004</v>
      </c>
      <c r="H75" s="149">
        <v>4.2729999999999997</v>
      </c>
      <c r="I75" s="149">
        <v>4.4820000000000002</v>
      </c>
    </row>
    <row r="76" spans="1:9" x14ac:dyDescent="0.2">
      <c r="A76" s="93" t="s">
        <v>421</v>
      </c>
      <c r="B76" s="93"/>
      <c r="C76" s="287">
        <v>8.0749999999999993</v>
      </c>
      <c r="D76" s="287">
        <v>10.895</v>
      </c>
      <c r="E76" s="150">
        <v>11.936</v>
      </c>
      <c r="F76" s="150">
        <v>11.808999999999999</v>
      </c>
      <c r="G76" s="150">
        <v>10.823</v>
      </c>
      <c r="H76" s="150">
        <v>10.711</v>
      </c>
      <c r="I76" s="149">
        <v>10.577</v>
      </c>
    </row>
    <row r="77" spans="1:9" x14ac:dyDescent="0.2">
      <c r="A77" s="93" t="s">
        <v>426</v>
      </c>
      <c r="B77" s="93"/>
      <c r="C77" s="287">
        <v>0.96599999999999997</v>
      </c>
      <c r="D77" s="287">
        <v>1.292</v>
      </c>
      <c r="E77" s="150">
        <v>1.2050000000000001</v>
      </c>
      <c r="F77" s="150">
        <v>1.194</v>
      </c>
      <c r="G77" s="150">
        <v>1.1879999999999999</v>
      </c>
      <c r="H77" s="149">
        <v>1.1850000000000001</v>
      </c>
      <c r="I77" s="149">
        <v>1.181</v>
      </c>
    </row>
    <row r="78" spans="1:9" x14ac:dyDescent="0.2">
      <c r="A78" s="93" t="s">
        <v>427</v>
      </c>
      <c r="B78" s="93"/>
      <c r="C78" s="287">
        <v>7.5069999999999997</v>
      </c>
      <c r="D78" s="287">
        <v>7.75</v>
      </c>
      <c r="E78" s="150">
        <v>7.75</v>
      </c>
      <c r="F78" s="150">
        <v>7.75</v>
      </c>
      <c r="G78" s="150">
        <v>7.75</v>
      </c>
      <c r="H78" s="149">
        <v>7.75</v>
      </c>
      <c r="I78" s="149">
        <v>7.75</v>
      </c>
    </row>
    <row r="79" spans="1:9" x14ac:dyDescent="0.2">
      <c r="A79" s="93" t="s">
        <v>428</v>
      </c>
      <c r="B79" s="93"/>
      <c r="C79" s="287">
        <f>41.898-C$78</f>
        <v>34.391000000000005</v>
      </c>
      <c r="D79" s="287">
        <f>46.11-D$78</f>
        <v>38.36</v>
      </c>
      <c r="E79" s="150">
        <v>43.567</v>
      </c>
      <c r="F79" s="150">
        <v>49.309999999999995</v>
      </c>
      <c r="G79" s="150">
        <v>62.951999999999998</v>
      </c>
      <c r="H79" s="150">
        <v>73.759</v>
      </c>
      <c r="I79" s="150">
        <v>86.589999999999989</v>
      </c>
    </row>
    <row r="80" spans="1:9" x14ac:dyDescent="0.2">
      <c r="A80" s="93" t="s">
        <v>423</v>
      </c>
      <c r="B80" s="93"/>
      <c r="C80" s="287">
        <v>17.417999999999999</v>
      </c>
      <c r="D80" s="287">
        <v>20.484000000000002</v>
      </c>
      <c r="E80" s="150">
        <v>22.399000000000001</v>
      </c>
      <c r="F80" s="150">
        <v>23.842000000000002</v>
      </c>
      <c r="G80" s="150">
        <v>25.319000000000003</v>
      </c>
      <c r="H80" s="150">
        <v>26.87</v>
      </c>
      <c r="I80" s="149">
        <v>28.490000000000002</v>
      </c>
    </row>
    <row r="81" spans="1:9" x14ac:dyDescent="0.2">
      <c r="A81" s="93" t="s">
        <v>422</v>
      </c>
      <c r="B81" s="93"/>
      <c r="C81" s="287">
        <v>7.1609999999999996</v>
      </c>
      <c r="D81" s="287">
        <v>8.2569999999999997</v>
      </c>
      <c r="E81" s="150">
        <v>9.322000000000001</v>
      </c>
      <c r="F81" s="150">
        <v>9.2829999999999995</v>
      </c>
      <c r="G81" s="150">
        <v>9.2170000000000005</v>
      </c>
      <c r="H81" s="150">
        <v>9.1370000000000005</v>
      </c>
      <c r="I81" s="149">
        <v>9.0570000000000004</v>
      </c>
    </row>
    <row r="82" spans="1:9" x14ac:dyDescent="0.2">
      <c r="A82" s="93" t="s">
        <v>424</v>
      </c>
      <c r="B82" s="93"/>
      <c r="C82" s="297">
        <v>4.5599999999999996</v>
      </c>
      <c r="D82" s="287">
        <v>4.7530000000000001</v>
      </c>
      <c r="E82" s="153">
        <v>5.0750000000000002</v>
      </c>
      <c r="F82" s="153">
        <v>5.6310000000000002</v>
      </c>
      <c r="G82" s="153">
        <v>5.4219999999999997</v>
      </c>
      <c r="H82" s="153">
        <v>5.0510000000000002</v>
      </c>
      <c r="I82" s="149">
        <v>4.923</v>
      </c>
    </row>
    <row r="83" spans="1:9" x14ac:dyDescent="0.2">
      <c r="A83" s="70" t="s">
        <v>634</v>
      </c>
      <c r="B83" s="70"/>
      <c r="C83" s="291">
        <f t="shared" ref="C83:I83" si="6">SUM(C$75:C$82)</f>
        <v>83.522000000000006</v>
      </c>
      <c r="D83" s="291">
        <f t="shared" si="6"/>
        <v>95.321000000000012</v>
      </c>
      <c r="E83" s="168">
        <f t="shared" si="6"/>
        <v>104.956</v>
      </c>
      <c r="F83" s="168">
        <f t="shared" si="6"/>
        <v>112.702</v>
      </c>
      <c r="G83" s="168">
        <f t="shared" si="6"/>
        <v>126.744</v>
      </c>
      <c r="H83" s="168">
        <f t="shared" si="6"/>
        <v>138.73599999999999</v>
      </c>
      <c r="I83" s="168">
        <f t="shared" si="6"/>
        <v>153.04999999999998</v>
      </c>
    </row>
    <row r="84" spans="1:9" x14ac:dyDescent="0.2">
      <c r="A84" s="70" t="s">
        <v>437</v>
      </c>
      <c r="B84" s="70"/>
      <c r="C84" s="298">
        <v>96.826999999999984</v>
      </c>
      <c r="D84" s="298">
        <v>105.514</v>
      </c>
      <c r="E84" s="154">
        <v>101.53099999999999</v>
      </c>
      <c r="F84" s="154">
        <v>99.546999999999969</v>
      </c>
      <c r="G84" s="154">
        <v>95.950999999999993</v>
      </c>
      <c r="H84" s="154">
        <v>92.34899999999999</v>
      </c>
      <c r="I84" s="154">
        <v>89.020999999999987</v>
      </c>
    </row>
    <row r="85" spans="1:9" x14ac:dyDescent="0.2">
      <c r="A85" s="70" t="s">
        <v>490</v>
      </c>
      <c r="B85" s="70"/>
      <c r="C85" s="116"/>
      <c r="D85" s="116"/>
      <c r="E85"/>
      <c r="F85"/>
      <c r="G85"/>
      <c r="H85"/>
      <c r="I85"/>
    </row>
    <row r="86" spans="1:9" x14ac:dyDescent="0.2">
      <c r="A86" s="93" t="s">
        <v>491</v>
      </c>
      <c r="B86" s="70"/>
      <c r="C86" s="287">
        <v>9.8550000000000004</v>
      </c>
      <c r="D86" s="287">
        <v>12.973000000000001</v>
      </c>
      <c r="E86" s="150">
        <v>14.212</v>
      </c>
      <c r="F86" s="150">
        <v>14.335000000000001</v>
      </c>
      <c r="G86" s="150">
        <v>17.786999999999999</v>
      </c>
      <c r="H86" s="149">
        <v>21.486000000000001</v>
      </c>
      <c r="I86" s="149">
        <v>25.466999999999999</v>
      </c>
    </row>
    <row r="87" spans="1:9" x14ac:dyDescent="0.2">
      <c r="A87" s="93" t="s">
        <v>492</v>
      </c>
      <c r="B87" s="70"/>
      <c r="C87" s="287">
        <v>2.0489999999999999</v>
      </c>
      <c r="D87" s="287">
        <v>2.1040000000000001</v>
      </c>
      <c r="E87" s="150">
        <v>2.242</v>
      </c>
      <c r="F87" s="150">
        <v>2.2309999999999999</v>
      </c>
      <c r="G87" s="150">
        <v>2.258</v>
      </c>
      <c r="H87" s="149">
        <v>2.2989999999999999</v>
      </c>
      <c r="I87" s="149">
        <v>2.3980000000000001</v>
      </c>
    </row>
    <row r="88" spans="1:9" x14ac:dyDescent="0.2">
      <c r="A88" s="93" t="s">
        <v>747</v>
      </c>
      <c r="B88" s="70"/>
      <c r="C88" s="287">
        <v>0.436</v>
      </c>
      <c r="D88" s="287">
        <v>0.38500000000000001</v>
      </c>
      <c r="E88" s="150">
        <v>0.43099999999999999</v>
      </c>
      <c r="F88" s="150">
        <v>0.48699999999999999</v>
      </c>
      <c r="G88" s="150">
        <v>0.56200000000000006</v>
      </c>
      <c r="H88" s="149">
        <v>0.64200000000000002</v>
      </c>
      <c r="I88" s="149">
        <v>0.72499999999999998</v>
      </c>
    </row>
    <row r="89" spans="1:9" x14ac:dyDescent="0.2">
      <c r="A89" s="93" t="s">
        <v>886</v>
      </c>
      <c r="B89" s="70"/>
      <c r="C89" s="287">
        <f>(-0.052)-(-0.025)</f>
        <v>-2.6999999999999996E-2</v>
      </c>
      <c r="D89" s="287">
        <f>0.034-0.016</f>
        <v>1.8000000000000002E-2</v>
      </c>
      <c r="E89" s="150">
        <v>0.15599999999999992</v>
      </c>
      <c r="F89" s="150">
        <f>0.17-0.002</f>
        <v>0.16800000000000001</v>
      </c>
      <c r="G89" s="150">
        <v>0.19599999999999995</v>
      </c>
      <c r="H89" s="149">
        <f>0.221+0.001</f>
        <v>0.222</v>
      </c>
      <c r="I89" s="149">
        <v>0.245</v>
      </c>
    </row>
    <row r="90" spans="1:9" x14ac:dyDescent="0.2">
      <c r="A90" s="93" t="s">
        <v>493</v>
      </c>
      <c r="B90" s="70"/>
      <c r="C90" s="287">
        <v>1.3129999999999999</v>
      </c>
      <c r="D90" s="287">
        <v>-0.995</v>
      </c>
      <c r="E90" s="150">
        <v>-2.363</v>
      </c>
      <c r="F90" s="150">
        <v>1.321</v>
      </c>
      <c r="G90" s="150">
        <v>1.569</v>
      </c>
      <c r="H90" s="149">
        <v>1.8360000000000001</v>
      </c>
      <c r="I90" s="149">
        <v>2.1139999999999999</v>
      </c>
    </row>
    <row r="91" spans="1:9" x14ac:dyDescent="0.2">
      <c r="A91" s="93" t="s">
        <v>494</v>
      </c>
      <c r="B91" s="70"/>
      <c r="C91" s="287">
        <v>0.70699999999999996</v>
      </c>
      <c r="D91" s="287">
        <v>0.23699999999999999</v>
      </c>
      <c r="E91" s="150">
        <v>3.1000000000000028E-2</v>
      </c>
      <c r="F91" s="150">
        <v>0.41899999999999998</v>
      </c>
      <c r="G91" s="150">
        <v>0.49399999999999999</v>
      </c>
      <c r="H91" s="149">
        <v>0.57399999999999995</v>
      </c>
      <c r="I91" s="149">
        <v>0.65500000000000003</v>
      </c>
    </row>
    <row r="92" spans="1:9" x14ac:dyDescent="0.2">
      <c r="A92" s="70" t="s">
        <v>498</v>
      </c>
      <c r="B92" s="70"/>
      <c r="C92"/>
      <c r="D92"/>
      <c r="E92"/>
      <c r="F92"/>
      <c r="G92"/>
      <c r="H92"/>
      <c r="I92"/>
    </row>
    <row r="93" spans="1:9" x14ac:dyDescent="0.2">
      <c r="A93" s="70" t="s">
        <v>438</v>
      </c>
      <c r="B93" s="70"/>
      <c r="C93" s="349">
        <v>41.898000000000003</v>
      </c>
      <c r="D93" s="349">
        <v>46.11</v>
      </c>
      <c r="E93" s="350">
        <v>51.317</v>
      </c>
      <c r="F93" s="350">
        <v>57.059999999999995</v>
      </c>
      <c r="G93" s="350">
        <v>70.701999999999998</v>
      </c>
      <c r="H93" s="350">
        <v>81.509</v>
      </c>
      <c r="I93" s="350">
        <v>94.339999999999989</v>
      </c>
    </row>
    <row r="94" spans="1:9" x14ac:dyDescent="0.2">
      <c r="A94" s="93" t="s">
        <v>439</v>
      </c>
      <c r="B94" s="93"/>
      <c r="C94" s="289">
        <v>35.892000000000003</v>
      </c>
      <c r="D94" s="289">
        <v>37.335999999999999</v>
      </c>
      <c r="E94" s="149">
        <v>40.491999999999997</v>
      </c>
      <c r="F94" s="149">
        <v>44.385999999999996</v>
      </c>
      <c r="G94" s="149">
        <v>55.801000000000002</v>
      </c>
      <c r="H94" s="149">
        <v>65.774000000000001</v>
      </c>
      <c r="I94" s="149">
        <v>76.789000000000001</v>
      </c>
    </row>
    <row r="95" spans="1:9" x14ac:dyDescent="0.2">
      <c r="A95" s="93" t="s">
        <v>441</v>
      </c>
      <c r="B95" s="93"/>
      <c r="C95" s="289">
        <v>0.91300000000000003</v>
      </c>
      <c r="D95" s="289">
        <v>0.40899999999999997</v>
      </c>
      <c r="E95" s="149">
        <v>0.64900000000000002</v>
      </c>
      <c r="F95" s="149">
        <v>0.75700000000000001</v>
      </c>
      <c r="G95" s="149">
        <v>0.88100000000000001</v>
      </c>
      <c r="H95" s="149">
        <v>1.032</v>
      </c>
      <c r="I95" s="149">
        <v>1.2070000000000001</v>
      </c>
    </row>
    <row r="96" spans="1:9" x14ac:dyDescent="0.2">
      <c r="A96" s="70" t="s">
        <v>237</v>
      </c>
      <c r="B96" s="70"/>
      <c r="C96" s="298">
        <v>36.805</v>
      </c>
      <c r="D96" s="298">
        <v>37.744999999999997</v>
      </c>
      <c r="E96" s="154">
        <v>41.140999999999998</v>
      </c>
      <c r="F96" s="154">
        <v>45.142999999999994</v>
      </c>
      <c r="G96" s="154">
        <v>56.682000000000002</v>
      </c>
      <c r="H96" s="154">
        <v>66.805999999999997</v>
      </c>
      <c r="I96" s="154">
        <v>77.995999999999995</v>
      </c>
    </row>
    <row r="97" spans="1:9" x14ac:dyDescent="0.2">
      <c r="A97" s="93" t="s">
        <v>455</v>
      </c>
      <c r="B97" s="93"/>
      <c r="C97" s="287">
        <v>44.271999999999998</v>
      </c>
      <c r="D97" s="287">
        <v>50.698</v>
      </c>
      <c r="E97" s="150">
        <v>48.106999999999999</v>
      </c>
      <c r="F97" s="150">
        <v>47.600999999999999</v>
      </c>
      <c r="G97" s="150">
        <v>52.404000000000003</v>
      </c>
      <c r="H97" s="149">
        <v>55.951000000000001</v>
      </c>
      <c r="I97" s="149">
        <v>60.382000000000005</v>
      </c>
    </row>
    <row r="98" spans="1:9" x14ac:dyDescent="0.2">
      <c r="A98" s="70" t="s">
        <v>442</v>
      </c>
      <c r="B98" s="70"/>
      <c r="C98" s="298">
        <v>-7.4669999999999987</v>
      </c>
      <c r="D98" s="298">
        <v>-12.952999999999999</v>
      </c>
      <c r="E98" s="154">
        <v>-6.9660000000000011</v>
      </c>
      <c r="F98" s="154">
        <v>-2.4580000000000055</v>
      </c>
      <c r="G98" s="154">
        <v>4.2779999999999987</v>
      </c>
      <c r="H98" s="154">
        <v>10.854999999999997</v>
      </c>
      <c r="I98" s="154">
        <v>17.61399999999999</v>
      </c>
    </row>
    <row r="99" spans="1:9" x14ac:dyDescent="0.2">
      <c r="A99" s="93" t="s">
        <v>443</v>
      </c>
      <c r="B99" s="93"/>
      <c r="C99" s="287">
        <v>11.576000000000001</v>
      </c>
      <c r="D99" s="287">
        <v>12.933999999999999</v>
      </c>
      <c r="E99" s="150">
        <v>12.597000000000001</v>
      </c>
      <c r="F99" s="150">
        <v>15.807</v>
      </c>
      <c r="G99" s="150">
        <v>19.246000000000002</v>
      </c>
      <c r="H99" s="150">
        <v>23.006</v>
      </c>
      <c r="I99" s="149">
        <v>27.134</v>
      </c>
    </row>
    <row r="100" spans="1:9" x14ac:dyDescent="0.2">
      <c r="A100" s="70" t="s">
        <v>191</v>
      </c>
      <c r="B100" s="70"/>
      <c r="C100" s="298">
        <v>4.1090000000000018</v>
      </c>
      <c r="D100" s="298">
        <v>-1.9E-2</v>
      </c>
      <c r="E100" s="154">
        <v>5.6310000000000002</v>
      </c>
      <c r="F100" s="154">
        <v>13.348999999999995</v>
      </c>
      <c r="G100" s="154">
        <v>23.524000000000001</v>
      </c>
      <c r="H100" s="154">
        <v>33.860999999999997</v>
      </c>
      <c r="I100" s="154">
        <v>44.74799999999999</v>
      </c>
    </row>
    <row r="101" spans="1:9" ht="15.75" x14ac:dyDescent="0.25">
      <c r="A101" s="73" t="s">
        <v>425</v>
      </c>
      <c r="B101" s="73"/>
      <c r="C101" s="73"/>
      <c r="D101" s="73"/>
      <c r="E101" s="73"/>
      <c r="F101" s="73"/>
      <c r="G101" s="73"/>
      <c r="H101" s="73"/>
      <c r="I101" s="73"/>
    </row>
    <row r="102" spans="1:9" x14ac:dyDescent="0.2">
      <c r="A102" s="93" t="s">
        <v>545</v>
      </c>
      <c r="B102" s="93"/>
      <c r="C102" s="287">
        <v>31.163</v>
      </c>
      <c r="D102" s="287">
        <v>33.192</v>
      </c>
      <c r="E102" s="150">
        <v>36.076999999999998</v>
      </c>
      <c r="F102" s="150">
        <v>39.951999999999998</v>
      </c>
      <c r="G102" s="150">
        <v>51.319000000000003</v>
      </c>
      <c r="H102" s="150">
        <v>61.548000000000002</v>
      </c>
      <c r="I102" s="149">
        <v>73.033999999999992</v>
      </c>
    </row>
    <row r="103" spans="1:9" x14ac:dyDescent="0.2">
      <c r="A103" s="93" t="s">
        <v>546</v>
      </c>
      <c r="B103" s="93"/>
      <c r="C103" s="287">
        <v>10.734999999999999</v>
      </c>
      <c r="D103" s="287">
        <v>12.917999999999999</v>
      </c>
      <c r="E103" s="150">
        <v>15.24</v>
      </c>
      <c r="F103" s="150">
        <v>17.108000000000001</v>
      </c>
      <c r="G103" s="150">
        <v>19.382999999999999</v>
      </c>
      <c r="H103" s="150">
        <v>19.960999999999999</v>
      </c>
      <c r="I103" s="149">
        <v>21.306000000000001</v>
      </c>
    </row>
    <row r="104" spans="1:9" ht="15.75" x14ac:dyDescent="0.25">
      <c r="A104" s="73" t="s">
        <v>635</v>
      </c>
      <c r="B104" s="73"/>
      <c r="C104" s="292"/>
      <c r="D104" s="292"/>
      <c r="E104" s="152"/>
      <c r="F104" s="152"/>
      <c r="G104" s="152"/>
      <c r="H104" s="152"/>
      <c r="I104" s="152"/>
    </row>
    <row r="105" spans="1:9" x14ac:dyDescent="0.2">
      <c r="A105" s="93" t="s">
        <v>649</v>
      </c>
      <c r="B105" s="93"/>
      <c r="C105" s="299">
        <v>53.476999999999997</v>
      </c>
      <c r="D105" s="299">
        <v>56.747</v>
      </c>
      <c r="E105" s="150">
        <v>55.4</v>
      </c>
      <c r="F105" s="150">
        <v>54.354999999999997</v>
      </c>
      <c r="G105" s="150">
        <v>55.298000000000002</v>
      </c>
      <c r="H105" s="149">
        <v>58.302999999999997</v>
      </c>
      <c r="I105" s="149">
        <v>61.879000000000005</v>
      </c>
    </row>
    <row r="106" spans="1:9" x14ac:dyDescent="0.2">
      <c r="A106" s="93" t="s">
        <v>449</v>
      </c>
      <c r="B106" s="93"/>
      <c r="C106" s="299">
        <v>0.63600000000000001</v>
      </c>
      <c r="D106" s="299">
        <v>0.73299999999999998</v>
      </c>
      <c r="E106" s="150">
        <v>0.71000000000000008</v>
      </c>
      <c r="F106" s="150">
        <v>0.73799999999999999</v>
      </c>
      <c r="G106" s="150">
        <v>0.75600000000000012</v>
      </c>
      <c r="H106" s="150">
        <v>0.77099999999999991</v>
      </c>
      <c r="I106" s="149">
        <v>0.78299999999999992</v>
      </c>
    </row>
    <row r="107" spans="1:9" x14ac:dyDescent="0.2">
      <c r="A107" s="93" t="s">
        <v>108</v>
      </c>
      <c r="B107" s="93"/>
      <c r="C107" s="299">
        <v>0</v>
      </c>
      <c r="D107" s="299">
        <v>0</v>
      </c>
      <c r="E107" s="150">
        <v>8.7999999999999995E-2</v>
      </c>
      <c r="F107" s="150">
        <v>0.41399999999999998</v>
      </c>
      <c r="G107" s="150">
        <v>0.84599999999999997</v>
      </c>
      <c r="H107" s="150">
        <v>1.044</v>
      </c>
      <c r="I107" s="149">
        <v>1.577</v>
      </c>
    </row>
    <row r="108" spans="1:9" x14ac:dyDescent="0.2">
      <c r="A108" s="93" t="s">
        <v>650</v>
      </c>
      <c r="B108" s="93"/>
      <c r="C108" s="299">
        <v>1.095</v>
      </c>
      <c r="D108" s="299">
        <v>1.097</v>
      </c>
      <c r="E108" s="150">
        <v>1.2150000000000001</v>
      </c>
      <c r="F108" s="150">
        <v>1.2030000000000001</v>
      </c>
      <c r="G108" s="150">
        <v>1.216</v>
      </c>
      <c r="H108" s="150">
        <v>1.236</v>
      </c>
      <c r="I108" s="149">
        <v>1.214</v>
      </c>
    </row>
    <row r="109" spans="1:9" x14ac:dyDescent="0.2">
      <c r="A109" s="93" t="s">
        <v>450</v>
      </c>
      <c r="B109" s="93"/>
      <c r="C109" s="299">
        <v>2.58</v>
      </c>
      <c r="D109" s="299">
        <v>2.3439999999999999</v>
      </c>
      <c r="E109" s="155">
        <v>2.5289999999999999</v>
      </c>
      <c r="F109" s="155">
        <v>2.5049999999999999</v>
      </c>
      <c r="G109" s="155">
        <v>2.6239999999999997</v>
      </c>
      <c r="H109" s="149">
        <v>2.7450000000000001</v>
      </c>
      <c r="I109" s="149">
        <v>2.9060000000000001</v>
      </c>
    </row>
    <row r="110" spans="1:9" x14ac:dyDescent="0.2">
      <c r="A110" s="93" t="s">
        <v>451</v>
      </c>
      <c r="B110" s="93"/>
      <c r="C110" s="299">
        <v>0.42299999999999999</v>
      </c>
      <c r="D110" s="299">
        <v>0.89800000000000002</v>
      </c>
      <c r="E110" s="155">
        <v>0.86399999999999999</v>
      </c>
      <c r="F110" s="155">
        <v>0.56800000000000006</v>
      </c>
      <c r="G110" s="155">
        <v>0.47199999999999998</v>
      </c>
      <c r="H110" s="149">
        <v>0.47499999999999998</v>
      </c>
      <c r="I110" s="149">
        <v>0.47599999999999998</v>
      </c>
    </row>
    <row r="111" spans="1:9" x14ac:dyDescent="0.2">
      <c r="A111" s="70" t="s">
        <v>453</v>
      </c>
      <c r="B111" s="93"/>
      <c r="C111" s="291">
        <f t="shared" ref="C111:I111" si="7">SUM(C$105:C$110)</f>
        <v>58.210999999999999</v>
      </c>
      <c r="D111" s="291">
        <f t="shared" si="7"/>
        <v>61.819000000000003</v>
      </c>
      <c r="E111" s="168">
        <f t="shared" si="7"/>
        <v>60.806000000000004</v>
      </c>
      <c r="F111" s="168">
        <f t="shared" si="7"/>
        <v>59.783000000000001</v>
      </c>
      <c r="G111" s="168">
        <f t="shared" si="7"/>
        <v>61.212000000000003</v>
      </c>
      <c r="H111" s="168">
        <f t="shared" si="7"/>
        <v>64.573999999999984</v>
      </c>
      <c r="I111" s="168">
        <f t="shared" si="7"/>
        <v>68.835000000000008</v>
      </c>
    </row>
    <row r="112" spans="1:9" x14ac:dyDescent="0.2">
      <c r="A112" s="93" t="s">
        <v>690</v>
      </c>
      <c r="B112" s="93"/>
      <c r="C112" s="299">
        <v>3.665</v>
      </c>
      <c r="D112" s="299">
        <v>4.3070000000000004</v>
      </c>
      <c r="E112" s="150">
        <v>4.9420000000000002</v>
      </c>
      <c r="F112" s="150">
        <v>5.1340000000000003</v>
      </c>
      <c r="G112" s="150">
        <v>5.4729999999999999</v>
      </c>
      <c r="H112" s="149">
        <v>5.8490000000000002</v>
      </c>
      <c r="I112" s="149">
        <v>6.218</v>
      </c>
    </row>
    <row r="113" spans="1:9" x14ac:dyDescent="0.2">
      <c r="A113" s="93" t="s">
        <v>691</v>
      </c>
      <c r="B113" s="93"/>
      <c r="C113" s="299">
        <v>0.60399999999999998</v>
      </c>
      <c r="D113" s="299">
        <v>0.67500000000000004</v>
      </c>
      <c r="E113" s="150">
        <v>0.71599999999999997</v>
      </c>
      <c r="F113" s="150">
        <v>0.74099999999999999</v>
      </c>
      <c r="G113" s="150">
        <v>0.78</v>
      </c>
      <c r="H113" s="149">
        <v>0.82199999999999995</v>
      </c>
      <c r="I113" s="149">
        <v>0.86099999999999999</v>
      </c>
    </row>
    <row r="114" spans="1:9" x14ac:dyDescent="0.2">
      <c r="A114" s="93" t="s">
        <v>454</v>
      </c>
      <c r="B114" s="93"/>
      <c r="C114" s="300">
        <f>2.342+0.053</f>
        <v>2.395</v>
      </c>
      <c r="D114" s="300">
        <f>-1.014+0.085</f>
        <v>-0.92900000000000005</v>
      </c>
      <c r="E114" s="272">
        <v>-3.01</v>
      </c>
      <c r="F114" s="272">
        <v>1.619</v>
      </c>
      <c r="G114" s="272">
        <v>1.869</v>
      </c>
      <c r="H114" s="272">
        <v>2.1230000000000002</v>
      </c>
      <c r="I114" s="149">
        <v>2.3980000000000001</v>
      </c>
    </row>
    <row r="115" spans="1:9" x14ac:dyDescent="0.2">
      <c r="A115" s="70" t="s">
        <v>706</v>
      </c>
      <c r="B115" s="93"/>
      <c r="C115" s="298">
        <v>6.6029999999999998</v>
      </c>
      <c r="D115" s="298">
        <v>3.8929999999999998</v>
      </c>
      <c r="E115" s="154">
        <v>-4.9449999999999994</v>
      </c>
      <c r="F115" s="154">
        <v>-4.0259999999999998</v>
      </c>
      <c r="G115" s="154">
        <v>-5.4429999999999996</v>
      </c>
      <c r="H115" s="154">
        <v>-5.2560000000000002</v>
      </c>
      <c r="I115" s="154">
        <v>-4.9249999999999998</v>
      </c>
    </row>
    <row r="116" spans="1:9" x14ac:dyDescent="0.2">
      <c r="A116" s="93" t="s">
        <v>482</v>
      </c>
      <c r="B116" s="70"/>
      <c r="C116" s="299">
        <v>1.1180000000000001</v>
      </c>
      <c r="D116" s="299">
        <v>0.872</v>
      </c>
      <c r="E116" s="155">
        <v>1.347</v>
      </c>
      <c r="F116" s="155">
        <v>2.0710000000000002</v>
      </c>
      <c r="G116" s="155">
        <v>2.4</v>
      </c>
      <c r="H116" s="149">
        <v>2.7410000000000001</v>
      </c>
      <c r="I116" s="149">
        <v>3.0760000000000001</v>
      </c>
    </row>
    <row r="117" spans="1:9" x14ac:dyDescent="0.2">
      <c r="A117" s="93" t="s">
        <v>483</v>
      </c>
      <c r="B117" s="70"/>
      <c r="C117" s="299">
        <v>7.59</v>
      </c>
      <c r="D117" s="299">
        <v>9.0310000000000006</v>
      </c>
      <c r="E117" s="155">
        <v>9.6049999999999986</v>
      </c>
      <c r="F117" s="155">
        <v>9.3149999999999995</v>
      </c>
      <c r="G117" s="155">
        <v>9.0609999999999999</v>
      </c>
      <c r="H117" s="149">
        <v>8.8209999999999997</v>
      </c>
      <c r="I117" s="149">
        <v>8.76</v>
      </c>
    </row>
    <row r="118" spans="1:9" x14ac:dyDescent="0.2">
      <c r="A118" s="93" t="s">
        <v>484</v>
      </c>
      <c r="B118" s="70"/>
      <c r="C118" s="299">
        <v>43.377000000000002</v>
      </c>
      <c r="D118" s="299">
        <v>49.725999999999999</v>
      </c>
      <c r="E118" s="155">
        <v>47.024999999999999</v>
      </c>
      <c r="F118" s="155">
        <v>45.795999999999999</v>
      </c>
      <c r="G118" s="155">
        <v>50.267000000000003</v>
      </c>
      <c r="H118" s="149">
        <v>53.475999999999999</v>
      </c>
      <c r="I118" s="149">
        <v>57.57</v>
      </c>
    </row>
    <row r="119" spans="1:9" x14ac:dyDescent="0.2">
      <c r="A119" s="93" t="s">
        <v>254</v>
      </c>
      <c r="B119" s="70"/>
      <c r="C119" s="299">
        <v>26.213000000000001</v>
      </c>
      <c r="D119" s="299">
        <v>28.637</v>
      </c>
      <c r="E119" s="155">
        <v>29.236000000000001</v>
      </c>
      <c r="F119" s="155">
        <v>29.542000000000002</v>
      </c>
      <c r="G119" s="155">
        <v>29.497</v>
      </c>
      <c r="H119" s="149">
        <v>29.256</v>
      </c>
      <c r="I119" s="149">
        <v>29.085000000000001</v>
      </c>
    </row>
    <row r="120" spans="1:9" x14ac:dyDescent="0.2">
      <c r="A120" s="93" t="s">
        <v>486</v>
      </c>
      <c r="B120" s="70"/>
      <c r="C120" s="299">
        <f>41.296+0.002</f>
        <v>41.298000000000002</v>
      </c>
      <c r="D120" s="299">
        <v>43.658999999999999</v>
      </c>
      <c r="E120" s="155">
        <v>45.311999999999998</v>
      </c>
      <c r="F120" s="155">
        <v>46.311</v>
      </c>
      <c r="G120" s="155">
        <v>47.197000000000003</v>
      </c>
      <c r="H120" s="149">
        <v>48.040999999999997</v>
      </c>
      <c r="I120" s="149">
        <v>48.79</v>
      </c>
    </row>
    <row r="121" spans="1:9" x14ac:dyDescent="0.2">
      <c r="A121" s="93" t="s">
        <v>487</v>
      </c>
      <c r="B121" s="93"/>
      <c r="C121" s="299">
        <v>28.087</v>
      </c>
      <c r="D121" s="299">
        <v>31.033000000000001</v>
      </c>
      <c r="E121" s="155">
        <v>33.347000000000001</v>
      </c>
      <c r="F121" s="155">
        <v>34.545000000000002</v>
      </c>
      <c r="G121" s="155">
        <v>36.085000000000001</v>
      </c>
      <c r="H121" s="149">
        <v>37.204000000000001</v>
      </c>
      <c r="I121" s="149">
        <v>39.068000000000005</v>
      </c>
    </row>
    <row r="122" spans="1:9" x14ac:dyDescent="0.2">
      <c r="A122" s="93" t="s">
        <v>485</v>
      </c>
      <c r="B122" s="93"/>
      <c r="C122" s="299">
        <v>25.048999999999999</v>
      </c>
      <c r="D122" s="299">
        <v>25.696000000000002</v>
      </c>
      <c r="E122" s="155">
        <v>27.106999999999999</v>
      </c>
      <c r="F122" s="155">
        <v>27.501000000000001</v>
      </c>
      <c r="G122" s="155">
        <v>27.895</v>
      </c>
      <c r="H122" s="149">
        <v>28.150000000000002</v>
      </c>
      <c r="I122" s="149">
        <v>28.214000000000002</v>
      </c>
    </row>
    <row r="123" spans="1:9" x14ac:dyDescent="0.2">
      <c r="A123" s="93" t="s">
        <v>131</v>
      </c>
      <c r="B123" s="93"/>
      <c r="C123" s="299">
        <v>0.80400000000000005</v>
      </c>
      <c r="D123" s="299">
        <v>0.84499999999999997</v>
      </c>
      <c r="E123" s="155">
        <v>0.71499999999999997</v>
      </c>
      <c r="F123" s="155">
        <v>0.76</v>
      </c>
      <c r="G123" s="155">
        <v>0.79</v>
      </c>
      <c r="H123" s="155">
        <v>0.79099999999999993</v>
      </c>
      <c r="I123" s="149">
        <v>1.1299999999999999</v>
      </c>
    </row>
    <row r="124" spans="1:9" x14ac:dyDescent="0.2">
      <c r="A124" s="93" t="s">
        <v>133</v>
      </c>
      <c r="B124" s="93"/>
      <c r="C124" s="299">
        <v>0</v>
      </c>
      <c r="D124" s="299">
        <v>0</v>
      </c>
      <c r="E124" s="155">
        <v>0</v>
      </c>
      <c r="F124" s="155">
        <v>0</v>
      </c>
      <c r="G124" s="155">
        <v>0</v>
      </c>
      <c r="H124" s="155">
        <v>0</v>
      </c>
      <c r="I124" s="149">
        <v>0</v>
      </c>
    </row>
    <row r="125" spans="1:9" x14ac:dyDescent="0.2">
      <c r="A125" s="93" t="s">
        <v>720</v>
      </c>
      <c r="B125" s="93"/>
      <c r="C125" s="299">
        <v>1.0620000000000001</v>
      </c>
      <c r="D125" s="299">
        <v>1.375</v>
      </c>
      <c r="E125" s="155">
        <v>1.248</v>
      </c>
      <c r="F125" s="155">
        <v>1.31</v>
      </c>
      <c r="G125" s="155">
        <v>1.371</v>
      </c>
      <c r="H125" s="155">
        <v>1.4019999999999999</v>
      </c>
      <c r="I125" s="149">
        <v>1.417</v>
      </c>
    </row>
    <row r="126" spans="1:9" x14ac:dyDescent="0.2">
      <c r="A126" s="93" t="s">
        <v>134</v>
      </c>
      <c r="B126" s="93"/>
      <c r="C126" s="299">
        <f>18.538-C$127</f>
        <v>17.834</v>
      </c>
      <c r="D126" s="299">
        <f>22.032-D$127</f>
        <v>21.47</v>
      </c>
      <c r="E126" s="155">
        <v>22.594999999999995</v>
      </c>
      <c r="F126" s="155">
        <v>22.881999999999998</v>
      </c>
      <c r="G126" s="155">
        <v>23.125</v>
      </c>
      <c r="H126" s="149">
        <v>23.505999999999997</v>
      </c>
      <c r="I126" s="149">
        <v>24.204999999999998</v>
      </c>
    </row>
    <row r="127" spans="1:9" x14ac:dyDescent="0.2">
      <c r="A127" s="93" t="s">
        <v>124</v>
      </c>
      <c r="B127" s="93"/>
      <c r="C127" s="299">
        <v>0.70399999999999996</v>
      </c>
      <c r="D127" s="299">
        <v>0.56200000000000006</v>
      </c>
      <c r="E127" s="155">
        <v>0.56200000000000006</v>
      </c>
      <c r="F127" s="155">
        <v>0.56200000000000006</v>
      </c>
      <c r="G127" s="155">
        <v>0.56200000000000006</v>
      </c>
      <c r="H127" s="155">
        <v>0.56200000000000006</v>
      </c>
      <c r="I127" s="149">
        <v>0.56200000000000006</v>
      </c>
    </row>
    <row r="128" spans="1:9" x14ac:dyDescent="0.2">
      <c r="A128" s="93" t="s">
        <v>132</v>
      </c>
      <c r="B128" s="93"/>
      <c r="C128" s="299">
        <v>0</v>
      </c>
      <c r="D128" s="299">
        <v>0</v>
      </c>
      <c r="E128" s="155">
        <v>0.23899999999999999</v>
      </c>
      <c r="F128" s="155">
        <v>0.78100000000000003</v>
      </c>
      <c r="G128" s="155">
        <v>0.56399999999999995</v>
      </c>
      <c r="H128" s="155">
        <v>0.16200000000000001</v>
      </c>
      <c r="I128" s="149">
        <v>-0.34499999999999997</v>
      </c>
    </row>
    <row r="129" spans="1:9" x14ac:dyDescent="0.2">
      <c r="A129" s="70" t="s">
        <v>722</v>
      </c>
      <c r="B129" s="93"/>
      <c r="C129" s="376">
        <v>50.79</v>
      </c>
      <c r="D129" s="376">
        <v>56.982999999999997</v>
      </c>
      <c r="E129" s="154">
        <v>52.094000000000001</v>
      </c>
      <c r="F129" s="154">
        <v>48.088999999999999</v>
      </c>
      <c r="G129" s="154">
        <v>42.676000000000002</v>
      </c>
      <c r="H129" s="154">
        <v>37.46</v>
      </c>
      <c r="I129" s="154">
        <v>32.578000000000003</v>
      </c>
    </row>
    <row r="130" spans="1:9" ht="15.75" x14ac:dyDescent="0.25">
      <c r="A130" s="73" t="s">
        <v>458</v>
      </c>
      <c r="B130" s="73"/>
      <c r="C130" s="292"/>
      <c r="D130" s="292"/>
      <c r="E130" s="292"/>
      <c r="F130" s="292"/>
      <c r="G130" s="292"/>
      <c r="H130" s="292"/>
      <c r="I130" s="292"/>
    </row>
    <row r="131" spans="1:9" x14ac:dyDescent="0.2">
      <c r="A131" s="93" t="s">
        <v>266</v>
      </c>
      <c r="B131" s="93"/>
      <c r="C131" s="289">
        <v>20.98</v>
      </c>
      <c r="D131" s="289">
        <v>23.344999999999999</v>
      </c>
      <c r="E131" s="149">
        <v>22.821999999999999</v>
      </c>
      <c r="F131" s="149">
        <v>22.204000000000001</v>
      </c>
      <c r="G131" s="149">
        <v>22.718</v>
      </c>
      <c r="H131" s="149">
        <v>23.823999999999998</v>
      </c>
      <c r="I131" s="149">
        <v>25.484000000000002</v>
      </c>
    </row>
    <row r="132" spans="1:9" x14ac:dyDescent="0.2">
      <c r="A132" s="93" t="s">
        <v>267</v>
      </c>
      <c r="B132" s="93"/>
      <c r="C132" s="289">
        <v>4.4400000000000004</v>
      </c>
      <c r="D132" s="289">
        <v>5.0709999999999997</v>
      </c>
      <c r="E132" s="149">
        <v>5.1080000000000005</v>
      </c>
      <c r="F132" s="149">
        <v>4.9190000000000005</v>
      </c>
      <c r="G132" s="149">
        <v>4.6859999999999999</v>
      </c>
      <c r="H132" s="149">
        <v>4.8879999999999999</v>
      </c>
      <c r="I132" s="149">
        <v>5.133</v>
      </c>
    </row>
    <row r="133" spans="1:9" x14ac:dyDescent="0.2">
      <c r="A133" s="93" t="s">
        <v>268</v>
      </c>
      <c r="B133" s="93"/>
      <c r="C133" s="289">
        <v>-1.08</v>
      </c>
      <c r="D133" s="289">
        <v>-1.47</v>
      </c>
      <c r="E133" s="149">
        <v>-1.6930000000000001</v>
      </c>
      <c r="F133" s="149">
        <v>-1.722</v>
      </c>
      <c r="G133" s="149">
        <v>-1.83</v>
      </c>
      <c r="H133" s="149">
        <v>-1.74</v>
      </c>
      <c r="I133" s="149">
        <v>-1.802</v>
      </c>
    </row>
    <row r="134" spans="1:9" x14ac:dyDescent="0.2">
      <c r="A134" s="93" t="s">
        <v>269</v>
      </c>
      <c r="B134" s="93"/>
      <c r="C134" s="289">
        <v>0.46800000000000003</v>
      </c>
      <c r="D134" s="289">
        <v>0.52200000000000002</v>
      </c>
      <c r="E134" s="149">
        <v>0.50800000000000001</v>
      </c>
      <c r="F134" s="149">
        <v>0.499</v>
      </c>
      <c r="G134" s="149">
        <v>0.50800000000000001</v>
      </c>
      <c r="H134" s="149">
        <v>0.53799999999999992</v>
      </c>
      <c r="I134" s="149">
        <v>0.56499999999999995</v>
      </c>
    </row>
    <row r="135" spans="1:9" x14ac:dyDescent="0.2">
      <c r="A135" s="93" t="s">
        <v>528</v>
      </c>
      <c r="B135" s="93"/>
      <c r="C135" s="289">
        <v>9.891</v>
      </c>
      <c r="D135" s="289">
        <v>10.122</v>
      </c>
      <c r="E135" s="149">
        <v>8.6810000000000009</v>
      </c>
      <c r="F135" s="149">
        <v>8.4829999999999988</v>
      </c>
      <c r="G135" s="149">
        <v>9.2089999999999996</v>
      </c>
      <c r="H135" s="149">
        <v>9.9969999999999999</v>
      </c>
      <c r="I135" s="149">
        <v>10.668999999999999</v>
      </c>
    </row>
    <row r="136" spans="1:9" x14ac:dyDescent="0.2">
      <c r="A136" s="93" t="s">
        <v>640</v>
      </c>
      <c r="B136" s="93"/>
      <c r="C136" s="289">
        <v>2.3180000000000001</v>
      </c>
      <c r="D136" s="289">
        <v>2.7709999999999999</v>
      </c>
      <c r="E136" s="149">
        <v>2.9219999999999997</v>
      </c>
      <c r="F136" s="149">
        <v>2.6260000000000003</v>
      </c>
      <c r="G136" s="149">
        <v>2.3029999999999999</v>
      </c>
      <c r="H136" s="149">
        <v>2.3370000000000002</v>
      </c>
      <c r="I136" s="149">
        <v>2.5110000000000001</v>
      </c>
    </row>
    <row r="137" spans="1:9" x14ac:dyDescent="0.2">
      <c r="A137" s="93" t="s">
        <v>534</v>
      </c>
      <c r="B137" s="93"/>
      <c r="C137" s="289">
        <v>11.215</v>
      </c>
      <c r="D137" s="289">
        <v>11.115</v>
      </c>
      <c r="E137" s="149">
        <v>11.657</v>
      </c>
      <c r="F137" s="149">
        <v>11.824</v>
      </c>
      <c r="G137" s="149">
        <v>12.124000000000001</v>
      </c>
      <c r="H137" s="149">
        <v>12.769</v>
      </c>
      <c r="I137" s="149">
        <v>13.422000000000001</v>
      </c>
    </row>
    <row r="138" spans="1:9" x14ac:dyDescent="0.2">
      <c r="A138" s="270" t="s">
        <v>152</v>
      </c>
      <c r="B138" s="270"/>
      <c r="C138" s="289">
        <v>4.8319999999999999</v>
      </c>
      <c r="D138" s="289">
        <v>4.8959999999999999</v>
      </c>
      <c r="E138" s="149">
        <v>4.875</v>
      </c>
      <c r="F138" s="149">
        <v>4.907</v>
      </c>
      <c r="G138" s="149">
        <v>4.9860000000000007</v>
      </c>
      <c r="H138" s="149">
        <v>5.0660000000000007</v>
      </c>
      <c r="I138" s="149">
        <v>5.1870000000000003</v>
      </c>
    </row>
    <row r="139" spans="1:9" ht="15.75" x14ac:dyDescent="0.25">
      <c r="A139" s="73" t="s">
        <v>459</v>
      </c>
      <c r="B139" s="73"/>
      <c r="C139" s="301"/>
      <c r="D139" s="301"/>
      <c r="E139" s="301"/>
      <c r="F139" s="301"/>
      <c r="G139" s="301"/>
      <c r="H139" s="301"/>
      <c r="I139" s="301"/>
    </row>
    <row r="140" spans="1:9" x14ac:dyDescent="0.2">
      <c r="A140" s="93" t="s">
        <v>707</v>
      </c>
      <c r="B140" s="93"/>
      <c r="C140" s="287">
        <v>6.81</v>
      </c>
      <c r="D140" s="287">
        <v>7.3479999999999999</v>
      </c>
      <c r="E140" s="150">
        <v>7.7519999999999998</v>
      </c>
      <c r="F140" s="150">
        <v>8.3070000000000004</v>
      </c>
      <c r="G140" s="150">
        <v>8.9150000000000009</v>
      </c>
      <c r="H140" s="150">
        <v>9.625</v>
      </c>
      <c r="I140" s="149">
        <v>10.257</v>
      </c>
    </row>
    <row r="141" spans="1:9" x14ac:dyDescent="0.2">
      <c r="A141" s="93" t="s">
        <v>709</v>
      </c>
      <c r="B141" s="93"/>
      <c r="C141" s="287">
        <v>1.468</v>
      </c>
      <c r="D141" s="287">
        <v>1.478</v>
      </c>
      <c r="E141" s="150">
        <v>1.5119999999999998</v>
      </c>
      <c r="F141" s="150">
        <v>1.5619999999999998</v>
      </c>
      <c r="G141" s="150">
        <v>1.597</v>
      </c>
      <c r="H141" s="149">
        <v>1.637</v>
      </c>
      <c r="I141" s="149">
        <v>1.6709999999999998</v>
      </c>
    </row>
    <row r="142" spans="1:9" x14ac:dyDescent="0.2">
      <c r="A142" s="93" t="s">
        <v>532</v>
      </c>
      <c r="B142" s="93"/>
      <c r="C142" s="287">
        <v>3.1429999999999998</v>
      </c>
      <c r="D142" s="287">
        <v>3.423</v>
      </c>
      <c r="E142" s="150">
        <v>4.0199999999999996</v>
      </c>
      <c r="F142" s="150">
        <v>4.1529999999999996</v>
      </c>
      <c r="G142" s="150">
        <v>4.4359999999999999</v>
      </c>
      <c r="H142" s="149">
        <v>4.7510000000000003</v>
      </c>
      <c r="I142" s="149">
        <v>5.0739999999999998</v>
      </c>
    </row>
    <row r="143" spans="1:9" x14ac:dyDescent="0.2">
      <c r="A143" s="93" t="s">
        <v>708</v>
      </c>
      <c r="B143" s="93"/>
      <c r="C143" s="287">
        <v>0.61299999999999999</v>
      </c>
      <c r="D143" s="287">
        <v>0.45800000000000002</v>
      </c>
      <c r="E143" s="150">
        <v>0.54400000000000004</v>
      </c>
      <c r="F143" s="150">
        <v>0.7669999999999999</v>
      </c>
      <c r="G143" s="150">
        <v>0.82499999999999996</v>
      </c>
      <c r="H143" s="150">
        <v>0.77100000000000002</v>
      </c>
      <c r="I143" s="150">
        <v>0.68100000000000005</v>
      </c>
    </row>
    <row r="144" spans="1:9" x14ac:dyDescent="0.2">
      <c r="A144" s="93" t="s">
        <v>715</v>
      </c>
      <c r="B144" s="93"/>
      <c r="C144" s="302">
        <v>1.1319999999999999</v>
      </c>
      <c r="D144" s="302">
        <v>1.216</v>
      </c>
      <c r="E144" s="157">
        <v>1.254</v>
      </c>
      <c r="F144" s="157">
        <v>1.274</v>
      </c>
      <c r="G144" s="157">
        <v>1.3049999999999999</v>
      </c>
      <c r="H144" s="149">
        <v>1.3360000000000001</v>
      </c>
      <c r="I144" s="149">
        <v>1.355</v>
      </c>
    </row>
    <row r="145" spans="1:16" x14ac:dyDescent="0.2">
      <c r="A145" s="93" t="s">
        <v>716</v>
      </c>
      <c r="B145" s="93"/>
      <c r="C145" s="302">
        <v>0.57299999999999995</v>
      </c>
      <c r="D145" s="302">
        <v>0.58199999999999996</v>
      </c>
      <c r="E145" s="157">
        <v>0.60199999999999998</v>
      </c>
      <c r="F145" s="157">
        <v>0.63100000000000001</v>
      </c>
      <c r="G145" s="157">
        <v>0.63300000000000001</v>
      </c>
      <c r="H145" s="157">
        <v>0.63800000000000001</v>
      </c>
      <c r="I145" s="149">
        <v>0.63800000000000001</v>
      </c>
      <c r="J145" s="54"/>
    </row>
    <row r="146" spans="1:16" ht="15.75" x14ac:dyDescent="0.25">
      <c r="A146" s="73" t="s">
        <v>470</v>
      </c>
      <c r="B146" s="73"/>
    </row>
    <row r="147" spans="1:16" x14ac:dyDescent="0.2">
      <c r="A147" s="70" t="s">
        <v>472</v>
      </c>
      <c r="B147" s="93"/>
      <c r="C147"/>
      <c r="D147"/>
      <c r="E147"/>
      <c r="F147"/>
      <c r="G147"/>
      <c r="H147"/>
      <c r="I147"/>
    </row>
    <row r="148" spans="1:16" x14ac:dyDescent="0.2">
      <c r="A148" s="93" t="s">
        <v>471</v>
      </c>
      <c r="B148" s="93"/>
      <c r="C148" s="287">
        <v>22.600999999999999</v>
      </c>
      <c r="D148" s="287">
        <v>26.542999999999999</v>
      </c>
      <c r="E148" s="155">
        <f>20.732+2.275</f>
        <v>23.006999999999998</v>
      </c>
      <c r="F148" s="155">
        <f>17.785+1.13</f>
        <v>18.914999999999999</v>
      </c>
      <c r="G148" s="155">
        <f>20.586+-0.947</f>
        <v>19.638999999999999</v>
      </c>
      <c r="H148" s="155">
        <f>18.663+0.316</f>
        <v>18.978999999999999</v>
      </c>
      <c r="I148" s="155">
        <f>16.545+2.269</f>
        <v>18.814</v>
      </c>
    </row>
    <row r="149" spans="1:16" x14ac:dyDescent="0.2">
      <c r="A149" s="93" t="s">
        <v>473</v>
      </c>
      <c r="B149" s="93"/>
      <c r="C149" s="287">
        <v>11.663</v>
      </c>
      <c r="D149" s="287">
        <v>13.382</v>
      </c>
      <c r="E149" s="150">
        <f>15.914-3.04</f>
        <v>12.873999999999999</v>
      </c>
      <c r="F149" s="150">
        <f>18.851-2.786</f>
        <v>16.064999999999998</v>
      </c>
      <c r="G149" s="150">
        <f>22.139-2.624</f>
        <v>19.515000000000001</v>
      </c>
      <c r="H149" s="149">
        <f>25.779-2.492</f>
        <v>23.286999999999999</v>
      </c>
      <c r="I149" s="149">
        <f>29.729-2.288</f>
        <v>27.440999999999999</v>
      </c>
    </row>
    <row r="150" spans="1:16" x14ac:dyDescent="0.2">
      <c r="A150" s="93" t="s">
        <v>474</v>
      </c>
      <c r="B150" s="93"/>
      <c r="C150" s="287">
        <v>10.231</v>
      </c>
      <c r="D150" s="287">
        <v>10.673</v>
      </c>
      <c r="E150" s="150">
        <v>12.491</v>
      </c>
      <c r="F150" s="150">
        <v>12.887</v>
      </c>
      <c r="G150" s="150">
        <v>13.513</v>
      </c>
      <c r="H150" s="150">
        <v>13.951000000000001</v>
      </c>
      <c r="I150" s="149">
        <v>14.391</v>
      </c>
    </row>
    <row r="151" spans="1:16" x14ac:dyDescent="0.2">
      <c r="A151" s="93" t="s">
        <v>541</v>
      </c>
      <c r="B151" s="93"/>
      <c r="C151" s="287">
        <v>9.0109999999999992</v>
      </c>
      <c r="D151" s="287">
        <v>10.016999999999999</v>
      </c>
      <c r="E151" s="155">
        <f>10.017-0.398</f>
        <v>9.6189999999999998</v>
      </c>
      <c r="F151" s="155">
        <f>10.967-0.078</f>
        <v>10.889000000000001</v>
      </c>
      <c r="G151" s="155">
        <f>11.953+0.238</f>
        <v>12.190999999999999</v>
      </c>
      <c r="H151" s="155">
        <f>12.942+0.56</f>
        <v>13.502000000000001</v>
      </c>
      <c r="I151" s="149">
        <f>13.838+0.936</f>
        <v>14.773999999999999</v>
      </c>
    </row>
    <row r="152" spans="1:16" x14ac:dyDescent="0.2">
      <c r="A152" s="93" t="s">
        <v>542</v>
      </c>
      <c r="B152" s="93"/>
      <c r="C152" s="287">
        <v>5.4569999999999999</v>
      </c>
      <c r="D152" s="287">
        <v>5.5990000000000002</v>
      </c>
      <c r="E152" s="155">
        <f>5.599-0.25</f>
        <v>5.3490000000000002</v>
      </c>
      <c r="F152" s="155">
        <f>5.983-0.25</f>
        <v>5.7329999999999997</v>
      </c>
      <c r="G152" s="155">
        <f>6.393-0.25</f>
        <v>6.1429999999999998</v>
      </c>
      <c r="H152" s="155">
        <f>6.831-0.25</f>
        <v>6.5810000000000004</v>
      </c>
      <c r="I152" s="149">
        <f>7.297-0.25</f>
        <v>7.0469999999999997</v>
      </c>
    </row>
    <row r="153" spans="1:16" x14ac:dyDescent="0.2">
      <c r="A153" s="93" t="s">
        <v>475</v>
      </c>
      <c r="B153" s="93"/>
      <c r="C153" s="287">
        <v>4.3879999999999999</v>
      </c>
      <c r="D153" s="287">
        <v>3.8309999999999995</v>
      </c>
      <c r="E153" s="150">
        <f>5.408-0.7</f>
        <v>4.7080000000000002</v>
      </c>
      <c r="F153" s="150">
        <f>5.581-0.7</f>
        <v>4.8810000000000002</v>
      </c>
      <c r="G153" s="150">
        <f>5.75-0.7</f>
        <v>5.05</v>
      </c>
      <c r="H153" s="150">
        <f>5.639-0.7</f>
        <v>4.9390000000000001</v>
      </c>
      <c r="I153" s="149">
        <f>5.384-0.7</f>
        <v>4.6840000000000002</v>
      </c>
    </row>
    <row r="154" spans="1:16" x14ac:dyDescent="0.2">
      <c r="A154" s="93" t="s">
        <v>476</v>
      </c>
      <c r="B154" s="93"/>
      <c r="C154" s="287">
        <v>7.2130000000000001</v>
      </c>
      <c r="D154" s="287">
        <v>9.48</v>
      </c>
      <c r="E154" s="149">
        <v>12.066000000000001</v>
      </c>
      <c r="F154" s="149">
        <v>12.821999999999999</v>
      </c>
      <c r="G154" s="149">
        <v>13.053000000000001</v>
      </c>
      <c r="H154" s="149">
        <v>13.26</v>
      </c>
      <c r="I154" s="149">
        <v>13.625</v>
      </c>
    </row>
    <row r="155" spans="1:16" x14ac:dyDescent="0.2">
      <c r="A155" s="70" t="s">
        <v>477</v>
      </c>
      <c r="B155" s="93"/>
      <c r="C155" s="54"/>
      <c r="D155" s="54"/>
      <c r="E155" s="54"/>
      <c r="F155" s="54"/>
      <c r="G155" s="54"/>
      <c r="H155" s="54"/>
      <c r="I155" s="54"/>
      <c r="P155" s="54"/>
    </row>
    <row r="156" spans="1:16" x14ac:dyDescent="0.2">
      <c r="A156" s="93" t="s">
        <v>710</v>
      </c>
      <c r="B156" s="93"/>
      <c r="C156" s="287">
        <v>12.523</v>
      </c>
      <c r="D156" s="287">
        <v>13.611000000000001</v>
      </c>
      <c r="E156" s="155">
        <f>16.318-3.04</f>
        <v>13.278000000000002</v>
      </c>
      <c r="F156" s="155">
        <f>19.364-2.786</f>
        <v>16.577999999999999</v>
      </c>
      <c r="G156" s="155">
        <f>22.767-2.624</f>
        <v>20.143000000000001</v>
      </c>
      <c r="H156" s="155">
        <f>26.547-2.492</f>
        <v>24.055</v>
      </c>
      <c r="I156" s="149">
        <f>30.646-2.288</f>
        <v>28.358000000000001</v>
      </c>
    </row>
    <row r="157" spans="1:16" x14ac:dyDescent="0.2">
      <c r="A157" s="93" t="s">
        <v>541</v>
      </c>
      <c r="B157" s="93"/>
      <c r="C157" s="287">
        <v>11.263999999999999</v>
      </c>
      <c r="D157" s="287">
        <v>12.496</v>
      </c>
      <c r="E157" s="150">
        <f>13.155-0.398</f>
        <v>12.757</v>
      </c>
      <c r="F157" s="150">
        <f>14.058-0.078</f>
        <v>13.98</v>
      </c>
      <c r="G157" s="150">
        <f>14.934+0.238</f>
        <v>15.171999999999999</v>
      </c>
      <c r="H157" s="149">
        <f>15.617+0.56</f>
        <v>16.177</v>
      </c>
      <c r="I157" s="149">
        <f>16.056+0.936</f>
        <v>16.992000000000001</v>
      </c>
    </row>
    <row r="158" spans="1:16" x14ac:dyDescent="0.2">
      <c r="A158" s="93" t="s">
        <v>542</v>
      </c>
      <c r="B158" s="93"/>
      <c r="C158" s="287">
        <v>5.484</v>
      </c>
      <c r="D158" s="287">
        <v>5.6150000000000002</v>
      </c>
      <c r="E158" s="150">
        <f>5.999-0.25</f>
        <v>5.7489999999999997</v>
      </c>
      <c r="F158" s="150">
        <f>6.409-0.25</f>
        <v>6.1589999999999998</v>
      </c>
      <c r="G158" s="150">
        <f>6.847-0.25</f>
        <v>6.5970000000000004</v>
      </c>
      <c r="H158" s="149">
        <f>7.315-0.25</f>
        <v>7.0650000000000004</v>
      </c>
      <c r="I158" s="149">
        <f>7.817-0.25</f>
        <v>7.5670000000000002</v>
      </c>
    </row>
    <row r="159" spans="1:16" ht="15.75" x14ac:dyDescent="0.25">
      <c r="A159" s="73" t="s">
        <v>712</v>
      </c>
      <c r="B159" s="73"/>
      <c r="C159" s="292"/>
      <c r="D159" s="292"/>
      <c r="E159" s="152"/>
      <c r="F159" s="152"/>
      <c r="G159" s="152"/>
      <c r="H159" s="152"/>
      <c r="I159" s="152"/>
    </row>
    <row r="160" spans="1:16" x14ac:dyDescent="0.2">
      <c r="A160" s="93" t="s">
        <v>713</v>
      </c>
      <c r="B160" s="93"/>
      <c r="C160" s="287">
        <v>5.569</v>
      </c>
      <c r="D160" s="287">
        <v>6.0110000000000001</v>
      </c>
      <c r="E160" s="150">
        <v>6.7409999999999997</v>
      </c>
      <c r="F160" s="150">
        <v>7.173</v>
      </c>
      <c r="G160" s="150">
        <v>7.5990000000000002</v>
      </c>
      <c r="H160" s="150">
        <v>8.0220000000000002</v>
      </c>
      <c r="I160" s="150">
        <v>8.4410000000000007</v>
      </c>
    </row>
    <row r="161" spans="1:9" x14ac:dyDescent="0.2">
      <c r="A161" s="93" t="s">
        <v>464</v>
      </c>
      <c r="B161" s="93"/>
      <c r="C161" s="287">
        <v>1.1759999999999999</v>
      </c>
      <c r="D161" s="287">
        <v>1.2010000000000001</v>
      </c>
      <c r="E161" s="150">
        <v>1.298</v>
      </c>
      <c r="F161" s="150">
        <v>1.3839999999999999</v>
      </c>
      <c r="G161" s="150">
        <v>1.47</v>
      </c>
      <c r="H161" s="149">
        <v>1.5580000000000001</v>
      </c>
      <c r="I161" s="149">
        <v>1.6379999999999999</v>
      </c>
    </row>
    <row r="162" spans="1:9" x14ac:dyDescent="0.2">
      <c r="A162" s="93" t="s">
        <v>465</v>
      </c>
      <c r="B162" s="93"/>
      <c r="C162" s="287">
        <v>0.48799999999999999</v>
      </c>
      <c r="D162" s="287">
        <v>0.48699999999999999</v>
      </c>
      <c r="E162" s="150">
        <v>0.503</v>
      </c>
      <c r="F162" s="150">
        <v>0.53600000000000003</v>
      </c>
      <c r="G162" s="150">
        <v>0.56999999999999995</v>
      </c>
      <c r="H162" s="149">
        <v>0.60399999999999998</v>
      </c>
      <c r="I162" s="149">
        <v>0.63400000000000001</v>
      </c>
    </row>
    <row r="163" spans="1:9" x14ac:dyDescent="0.2">
      <c r="A163" s="93" t="s">
        <v>466</v>
      </c>
      <c r="B163" s="93"/>
      <c r="C163" s="287">
        <v>0.55500000000000005</v>
      </c>
      <c r="D163" s="287">
        <v>0.629</v>
      </c>
      <c r="E163" s="150">
        <v>0.70299999999999996</v>
      </c>
      <c r="F163" s="150">
        <v>0.79500000000000004</v>
      </c>
      <c r="G163" s="150">
        <v>0.879</v>
      </c>
      <c r="H163" s="149">
        <v>0.96499999999999997</v>
      </c>
      <c r="I163" s="149">
        <v>1.05</v>
      </c>
    </row>
    <row r="164" spans="1:9" x14ac:dyDescent="0.2">
      <c r="A164" s="93" t="s">
        <v>467</v>
      </c>
      <c r="B164" s="93"/>
      <c r="C164" s="287">
        <v>0.36</v>
      </c>
      <c r="D164" s="287">
        <v>0.40699999999999997</v>
      </c>
      <c r="E164" s="150">
        <v>0.45200000000000001</v>
      </c>
      <c r="F164" s="150">
        <v>0.48299999999999998</v>
      </c>
      <c r="G164" s="150">
        <v>0.51</v>
      </c>
      <c r="H164" s="149">
        <v>0.53900000000000003</v>
      </c>
      <c r="I164" s="149">
        <v>0.56799999999999995</v>
      </c>
    </row>
    <row r="165" spans="1:9" x14ac:dyDescent="0.2">
      <c r="A165" s="93" t="s">
        <v>468</v>
      </c>
      <c r="B165" s="93"/>
      <c r="C165" s="287">
        <v>0.151</v>
      </c>
      <c r="D165" s="287">
        <v>-0.23100000000000001</v>
      </c>
      <c r="E165" s="150">
        <v>0.11</v>
      </c>
      <c r="F165" s="150">
        <v>0.11</v>
      </c>
      <c r="G165" s="150">
        <v>0.11</v>
      </c>
      <c r="H165" s="150">
        <v>0.11</v>
      </c>
      <c r="I165" s="150">
        <v>0.11</v>
      </c>
    </row>
    <row r="166" spans="1:9" x14ac:dyDescent="0.2">
      <c r="A166" s="93" t="s">
        <v>469</v>
      </c>
      <c r="B166" s="93"/>
      <c r="C166" s="287">
        <v>0.1</v>
      </c>
      <c r="D166" s="287">
        <v>7.0000000000000001E-3</v>
      </c>
      <c r="E166" s="150">
        <v>-2E-3</v>
      </c>
      <c r="F166" s="150">
        <v>0</v>
      </c>
      <c r="G166" s="150">
        <v>2E-3</v>
      </c>
      <c r="H166" s="150">
        <v>1E-3</v>
      </c>
      <c r="I166" s="150">
        <v>-1E-3</v>
      </c>
    </row>
    <row r="167" spans="1:9" x14ac:dyDescent="0.2">
      <c r="A167" s="69" t="s">
        <v>714</v>
      </c>
      <c r="B167" s="69"/>
      <c r="C167" s="291">
        <f t="shared" ref="C167:I167" si="8">SUM(C$160,C$161,C$164,C$166)-SUM(C$162,C$163,C$165)</f>
        <v>6.0110000000000001</v>
      </c>
      <c r="D167" s="291">
        <f t="shared" si="8"/>
        <v>6.7409999999999997</v>
      </c>
      <c r="E167" s="168">
        <f t="shared" si="8"/>
        <v>7.1729999999999992</v>
      </c>
      <c r="F167" s="168">
        <f t="shared" si="8"/>
        <v>7.5990000000000011</v>
      </c>
      <c r="G167" s="168">
        <f t="shared" si="8"/>
        <v>8.022000000000002</v>
      </c>
      <c r="H167" s="168">
        <f t="shared" si="8"/>
        <v>8.4409999999999989</v>
      </c>
      <c r="I167" s="168">
        <f t="shared" si="8"/>
        <v>8.8520000000000003</v>
      </c>
    </row>
    <row r="168" spans="1:9" x14ac:dyDescent="0.2">
      <c r="A168" s="69"/>
      <c r="B168" s="169"/>
      <c r="C168" s="169"/>
      <c r="D168" s="169"/>
      <c r="E168" s="169"/>
      <c r="F168" s="169"/>
      <c r="G168" s="169"/>
      <c r="H168" s="169"/>
      <c r="I168" s="169"/>
    </row>
    <row r="169" spans="1:9" ht="15.75" x14ac:dyDescent="0.25">
      <c r="A169" s="73" t="s">
        <v>440</v>
      </c>
      <c r="B169" s="73"/>
      <c r="C169" s="169"/>
      <c r="D169" s="169"/>
      <c r="E169" s="169"/>
      <c r="F169" s="169"/>
      <c r="G169" s="169"/>
      <c r="H169" s="169"/>
      <c r="I169" s="169"/>
    </row>
    <row r="170" spans="1:9" x14ac:dyDescent="0.2">
      <c r="A170" s="70" t="s">
        <v>444</v>
      </c>
      <c r="B170" s="70"/>
      <c r="C170" s="303" t="str">
        <f t="shared" ref="C170:I170" si="9">IF(ROUND(C$34-(C$12-C$33),3)=0,"OK","ERROR")</f>
        <v>OK</v>
      </c>
      <c r="D170" s="303" t="str">
        <f t="shared" si="9"/>
        <v>OK</v>
      </c>
      <c r="E170" s="156" t="str">
        <f t="shared" si="9"/>
        <v>OK</v>
      </c>
      <c r="F170" s="156" t="str">
        <f t="shared" si="9"/>
        <v>OK</v>
      </c>
      <c r="G170" s="156" t="str">
        <f t="shared" si="9"/>
        <v>OK</v>
      </c>
      <c r="H170" s="156" t="str">
        <f t="shared" si="9"/>
        <v>OK</v>
      </c>
      <c r="I170" s="156" t="str">
        <f t="shared" si="9"/>
        <v>OK</v>
      </c>
    </row>
    <row r="171" spans="1:9" x14ac:dyDescent="0.2">
      <c r="A171" s="70" t="s">
        <v>445</v>
      </c>
      <c r="B171" s="70"/>
      <c r="C171" s="303" t="str">
        <f t="shared" ref="C171:I171" si="10">IF(ROUND(C$38-SUM(C$34:C$37),3)=0,"OK","ERROR")</f>
        <v>OK</v>
      </c>
      <c r="D171" s="303" t="str">
        <f t="shared" si="10"/>
        <v>OK</v>
      </c>
      <c r="E171" s="156" t="str">
        <f t="shared" si="10"/>
        <v>OK</v>
      </c>
      <c r="F171" s="156" t="str">
        <f t="shared" si="10"/>
        <v>OK</v>
      </c>
      <c r="G171" s="156" t="str">
        <f t="shared" si="10"/>
        <v>OK</v>
      </c>
      <c r="H171" s="156" t="str">
        <f t="shared" si="10"/>
        <v>OK</v>
      </c>
      <c r="I171" s="156" t="str">
        <f t="shared" si="10"/>
        <v>OK</v>
      </c>
    </row>
    <row r="172" spans="1:9" x14ac:dyDescent="0.2">
      <c r="A172" s="70" t="s">
        <v>446</v>
      </c>
      <c r="B172" s="70"/>
      <c r="C172" s="303" t="str">
        <f t="shared" ref="C172:I172" si="11">IF(ROUND(C$84-(C$74-C$83),3)=0,"OK","ERROR")</f>
        <v>OK</v>
      </c>
      <c r="D172" s="303" t="str">
        <f t="shared" si="11"/>
        <v>OK</v>
      </c>
      <c r="E172" s="156" t="str">
        <f t="shared" si="11"/>
        <v>OK</v>
      </c>
      <c r="F172" s="156" t="str">
        <f t="shared" si="11"/>
        <v>OK</v>
      </c>
      <c r="G172" s="156" t="str">
        <f t="shared" si="11"/>
        <v>OK</v>
      </c>
      <c r="H172" s="156" t="str">
        <f t="shared" si="11"/>
        <v>OK</v>
      </c>
      <c r="I172" s="156" t="str">
        <f t="shared" si="11"/>
        <v>OK</v>
      </c>
    </row>
    <row r="173" spans="1:9" x14ac:dyDescent="0.2">
      <c r="A173" s="70" t="s">
        <v>447</v>
      </c>
      <c r="B173" s="70"/>
      <c r="C173" s="303" t="str">
        <f t="shared" ref="C173:I173" si="12">IF(ROUND(C$93-SUM(C$78,C$79),3)=0,"OK","ERROR")</f>
        <v>OK</v>
      </c>
      <c r="D173" s="303" t="str">
        <f t="shared" si="12"/>
        <v>OK</v>
      </c>
      <c r="E173" s="156" t="str">
        <f t="shared" si="12"/>
        <v>OK</v>
      </c>
      <c r="F173" s="156" t="str">
        <f t="shared" si="12"/>
        <v>OK</v>
      </c>
      <c r="G173" s="156" t="str">
        <f t="shared" si="12"/>
        <v>OK</v>
      </c>
      <c r="H173" s="156" t="str">
        <f t="shared" si="12"/>
        <v>OK</v>
      </c>
      <c r="I173" s="156" t="str">
        <f t="shared" si="12"/>
        <v>OK</v>
      </c>
    </row>
    <row r="174" spans="1:9" x14ac:dyDescent="0.2">
      <c r="A174" s="70" t="s">
        <v>448</v>
      </c>
      <c r="B174" s="70"/>
      <c r="C174" s="303" t="str">
        <f t="shared" ref="C174:I174" si="13">IF(ROUND(C$93-SUM(C$102,C$103),3)=0,"OK","ERROR")</f>
        <v>OK</v>
      </c>
      <c r="D174" s="303" t="str">
        <f t="shared" si="13"/>
        <v>OK</v>
      </c>
      <c r="E174" s="156" t="str">
        <f t="shared" si="13"/>
        <v>OK</v>
      </c>
      <c r="F174" s="156" t="str">
        <f t="shared" si="13"/>
        <v>OK</v>
      </c>
      <c r="G174" s="156" t="str">
        <f t="shared" si="13"/>
        <v>OK</v>
      </c>
      <c r="H174" s="156" t="str">
        <f t="shared" si="13"/>
        <v>OK</v>
      </c>
      <c r="I174" s="156" t="str">
        <f t="shared" si="13"/>
        <v>OK</v>
      </c>
    </row>
    <row r="175" spans="1:9" x14ac:dyDescent="0.2">
      <c r="A175" s="70" t="s">
        <v>456</v>
      </c>
      <c r="B175" s="70"/>
      <c r="C175" s="303" t="str">
        <f t="shared" ref="C175:I175" si="14">IF(ROUND(C$115-(C$111-C$59+C$114),3)=0,"OK","ERROR")</f>
        <v>OK</v>
      </c>
      <c r="D175" s="303" t="str">
        <f t="shared" si="14"/>
        <v>OK</v>
      </c>
      <c r="E175" s="156" t="str">
        <f t="shared" si="14"/>
        <v>OK</v>
      </c>
      <c r="F175" s="156" t="str">
        <f t="shared" si="14"/>
        <v>OK</v>
      </c>
      <c r="G175" s="156" t="str">
        <f t="shared" si="14"/>
        <v>OK</v>
      </c>
      <c r="H175" s="156" t="str">
        <f t="shared" si="14"/>
        <v>OK</v>
      </c>
      <c r="I175" s="156" t="str">
        <f t="shared" si="14"/>
        <v>OK</v>
      </c>
    </row>
    <row r="176" spans="1:9" x14ac:dyDescent="0.2">
      <c r="A176" s="70" t="s">
        <v>513</v>
      </c>
      <c r="B176" s="70"/>
      <c r="C176" s="303" t="str">
        <f>IF(ROUND(C$129-(SUM(C$72:C$73,C$116:C$119,C$122:C$125)-SUM(C$94-0.007,C$126:C$128)),3)=0,"OK","ERROR")</f>
        <v>OK</v>
      </c>
      <c r="D176" s="303" t="str">
        <f>IF(ROUND(D$129-(SUM(D$72:D$73,D$116:D$119,D$122:D$125)-SUM(D$94-0.169,D$126:D$128)),3)=0,"OK","ERROR")</f>
        <v>OK</v>
      </c>
      <c r="E176" s="156" t="str">
        <f>IF(ROUND(E$129-(SUM(E$72:E$73,E$116:E$119,E$122:E$125)-SUM(E$94,E$126:E$128)),3)=0,"OK","ERROR")</f>
        <v>OK</v>
      </c>
      <c r="F176" s="156" t="str">
        <f>IF(ROUND(F$129-(SUM(F$72:F$73,F$116:F$119,F$122:F$125)-SUM(F$94,F$126:F$128)),3)=0,"OK","ERROR")</f>
        <v>OK</v>
      </c>
      <c r="G176" s="156" t="str">
        <f>IF(ROUND(G$129-(SUM(G$72:G$73,G$116:G$119,G$122:G$125)-SUM(G$94,G$126:G$128)),3)=0,"OK","ERROR")</f>
        <v>OK</v>
      </c>
      <c r="H176" s="156" t="str">
        <f>IF(ROUND(H$129-(SUM(H$72:H$73,H$116:H$119,H$122:H$125)-SUM(H$94,H$126:H$128)),3)=0,"OK","ERROR")</f>
        <v>OK</v>
      </c>
      <c r="I176" s="156" t="str">
        <f>IF(ROUND(I$129-(SUM(I$72:I$73,I$116:I$119,I$122:I$125)-SUM(I$94,I$126:I$128)),3)=0,"OK","ERROR")</f>
        <v>OK</v>
      </c>
    </row>
    <row r="177" spans="1:10" x14ac:dyDescent="0.2">
      <c r="A177" s="70" t="s">
        <v>457</v>
      </c>
      <c r="B177" s="70"/>
      <c r="C177" s="303" t="str">
        <f t="shared" ref="C177:I177" si="15">IF(ROUND(C$5-SUM(C$131:C$138),3)=0,"OK","ERROR")</f>
        <v>OK</v>
      </c>
      <c r="D177" s="303" t="str">
        <f t="shared" si="15"/>
        <v>OK</v>
      </c>
      <c r="E177" s="156" t="str">
        <f t="shared" si="15"/>
        <v>OK</v>
      </c>
      <c r="F177" s="156" t="str">
        <f t="shared" si="15"/>
        <v>OK</v>
      </c>
      <c r="G177" s="156" t="str">
        <f t="shared" si="15"/>
        <v>OK</v>
      </c>
      <c r="H177" s="156" t="str">
        <f t="shared" si="15"/>
        <v>OK</v>
      </c>
      <c r="I177" s="156" t="str">
        <f t="shared" si="15"/>
        <v>OK</v>
      </c>
    </row>
    <row r="178" spans="1:10" x14ac:dyDescent="0.2">
      <c r="A178" s="70" t="s">
        <v>463</v>
      </c>
      <c r="B178" s="70"/>
      <c r="C178" s="303" t="str">
        <f t="shared" ref="C178:I178" si="16">IF(ROUND(C$14-(C$40+C$112-C$113),3)=0,"OK","ERROR")</f>
        <v>OK</v>
      </c>
      <c r="D178" s="303" t="str">
        <f t="shared" si="16"/>
        <v>OK</v>
      </c>
      <c r="E178" s="156" t="str">
        <f t="shared" si="16"/>
        <v>OK</v>
      </c>
      <c r="F178" s="156" t="str">
        <f t="shared" si="16"/>
        <v>OK</v>
      </c>
      <c r="G178" s="156" t="str">
        <f t="shared" si="16"/>
        <v>OK</v>
      </c>
      <c r="H178" s="156" t="str">
        <f t="shared" si="16"/>
        <v>OK</v>
      </c>
      <c r="I178" s="156" t="str">
        <f t="shared" si="16"/>
        <v>OK</v>
      </c>
    </row>
    <row r="179" spans="1:10" x14ac:dyDescent="0.2">
      <c r="A179" s="70" t="s">
        <v>750</v>
      </c>
      <c r="B179" s="70"/>
      <c r="C179" s="303" t="str">
        <f t="shared" ref="C179:I179" si="17">IF(ROUND(SUM(C$116,C$118)-SUM(C$148:C$150),3)=0,"OK","ERROR")</f>
        <v>OK</v>
      </c>
      <c r="D179" s="303" t="str">
        <f t="shared" si="17"/>
        <v>OK</v>
      </c>
      <c r="E179" s="156" t="str">
        <f t="shared" si="17"/>
        <v>OK</v>
      </c>
      <c r="F179" s="156" t="str">
        <f t="shared" si="17"/>
        <v>OK</v>
      </c>
      <c r="G179" s="156" t="str">
        <f t="shared" si="17"/>
        <v>OK</v>
      </c>
      <c r="H179" s="156" t="str">
        <f t="shared" si="17"/>
        <v>OK</v>
      </c>
      <c r="I179" s="156" t="str">
        <f t="shared" si="17"/>
        <v>OK</v>
      </c>
      <c r="J179" s="54"/>
    </row>
    <row r="180" spans="1:10" x14ac:dyDescent="0.2">
      <c r="A180" s="70" t="s">
        <v>488</v>
      </c>
      <c r="B180" s="70"/>
      <c r="C180" s="303" t="str">
        <f t="shared" ref="C180:I180" si="18">IF(ROUND(C$69-SUM(C$119:C$121),3)=0,"OK","ERROR")</f>
        <v>OK</v>
      </c>
      <c r="D180" s="303" t="str">
        <f t="shared" si="18"/>
        <v>OK</v>
      </c>
      <c r="E180" s="156" t="str">
        <f t="shared" si="18"/>
        <v>OK</v>
      </c>
      <c r="F180" s="156" t="str">
        <f t="shared" si="18"/>
        <v>OK</v>
      </c>
      <c r="G180" s="156" t="str">
        <f t="shared" si="18"/>
        <v>OK</v>
      </c>
      <c r="H180" s="156" t="str">
        <f t="shared" si="18"/>
        <v>OK</v>
      </c>
      <c r="I180" s="156" t="str">
        <f t="shared" si="18"/>
        <v>OK</v>
      </c>
    </row>
    <row r="181" spans="1:10" x14ac:dyDescent="0.2">
      <c r="A181" s="70" t="s">
        <v>872</v>
      </c>
      <c r="B181" s="70"/>
      <c r="C181" s="303" t="str">
        <f t="shared" ref="C181:H181" si="19">IF(ROUND(D$160-(SUM(C$160,C$161,C$164,C$166)-SUM(C$162,C$163,C$165)),3)=0,"OK","ERROR")</f>
        <v>OK</v>
      </c>
      <c r="D181" s="303" t="str">
        <f t="shared" si="19"/>
        <v>OK</v>
      </c>
      <c r="E181" s="156" t="str">
        <f t="shared" si="19"/>
        <v>OK</v>
      </c>
      <c r="F181" s="156" t="str">
        <f t="shared" si="19"/>
        <v>OK</v>
      </c>
      <c r="G181" s="156" t="str">
        <f t="shared" si="19"/>
        <v>OK</v>
      </c>
      <c r="H181" s="156" t="str">
        <f t="shared" si="19"/>
        <v>OK</v>
      </c>
      <c r="I181" s="156"/>
    </row>
    <row r="182" spans="1:10" x14ac:dyDescent="0.2">
      <c r="A182" s="69"/>
      <c r="B182" s="69"/>
      <c r="C182" s="169"/>
      <c r="D182" s="169"/>
      <c r="E182" s="169"/>
      <c r="F182" s="169"/>
      <c r="G182" s="169"/>
      <c r="H182" s="169"/>
      <c r="I182" s="169"/>
    </row>
    <row r="183" spans="1:10" ht="15.75" x14ac:dyDescent="0.25">
      <c r="A183" s="68" t="s">
        <v>460</v>
      </c>
      <c r="B183" s="68"/>
      <c r="C183"/>
      <c r="D183"/>
      <c r="E183"/>
      <c r="F183"/>
      <c r="G183"/>
      <c r="H183"/>
      <c r="I183"/>
    </row>
    <row r="184" spans="1:10" x14ac:dyDescent="0.2">
      <c r="A184" s="93" t="s">
        <v>711</v>
      </c>
      <c r="B184" s="93"/>
      <c r="C184" s="304">
        <v>52</v>
      </c>
      <c r="D184" s="304">
        <v>37</v>
      </c>
      <c r="E184" s="158">
        <v>44</v>
      </c>
      <c r="F184" s="158">
        <v>60</v>
      </c>
      <c r="G184" s="158">
        <v>63</v>
      </c>
      <c r="H184" s="158">
        <v>57</v>
      </c>
      <c r="I184" s="158">
        <v>50</v>
      </c>
    </row>
    <row r="185" spans="1:10" x14ac:dyDescent="0.2">
      <c r="A185" s="93" t="s">
        <v>183</v>
      </c>
      <c r="B185" s="93"/>
      <c r="C185" s="305">
        <v>645.82000000000005</v>
      </c>
      <c r="D185" s="305">
        <v>664.02</v>
      </c>
      <c r="E185" s="159">
        <v>725.96</v>
      </c>
      <c r="F185" s="159">
        <v>755.43</v>
      </c>
      <c r="G185" s="159">
        <v>786.99</v>
      </c>
      <c r="H185" s="159">
        <v>806.33</v>
      </c>
      <c r="I185" s="159">
        <v>825.87</v>
      </c>
    </row>
    <row r="186" spans="1:10" x14ac:dyDescent="0.2">
      <c r="A186" s="93" t="s">
        <v>185</v>
      </c>
      <c r="B186" s="93"/>
      <c r="C186" s="305">
        <v>213.12</v>
      </c>
      <c r="D186" s="305">
        <v>219.9</v>
      </c>
      <c r="E186" s="159">
        <v>239.75</v>
      </c>
      <c r="F186" s="159">
        <v>249.29</v>
      </c>
      <c r="G186" s="159">
        <v>259.70999999999998</v>
      </c>
      <c r="H186" s="159">
        <v>266.08999999999997</v>
      </c>
      <c r="I186" s="159">
        <v>272.54000000000002</v>
      </c>
    </row>
    <row r="187" spans="1:10" x14ac:dyDescent="0.2">
      <c r="A187" s="93" t="s">
        <v>527</v>
      </c>
      <c r="B187" s="93"/>
      <c r="C187" s="306">
        <v>1.268</v>
      </c>
      <c r="D187" s="306">
        <v>1.3819999999999999</v>
      </c>
      <c r="E187" s="160">
        <v>1.292</v>
      </c>
      <c r="F187" s="160">
        <v>1.3420000000000001</v>
      </c>
      <c r="G187" s="160">
        <v>1.4590000000000001</v>
      </c>
      <c r="H187" s="160">
        <v>1.5840000000000001</v>
      </c>
      <c r="I187" s="160">
        <v>1.7</v>
      </c>
    </row>
    <row r="188" spans="1:10" x14ac:dyDescent="0.2">
      <c r="A188" s="69"/>
      <c r="B188" s="69"/>
      <c r="C188" s="116"/>
      <c r="D188" s="116"/>
      <c r="E188" s="116"/>
      <c r="F188" s="116"/>
      <c r="G188" s="116"/>
      <c r="H188" s="116"/>
      <c r="I188" s="116"/>
    </row>
    <row r="189" spans="1:10" ht="15.75" x14ac:dyDescent="0.25">
      <c r="A189" s="68" t="s">
        <v>538</v>
      </c>
      <c r="B189" s="68"/>
      <c r="C189" s="252"/>
      <c r="D189" s="252"/>
      <c r="E189" s="252"/>
      <c r="F189" s="252"/>
      <c r="G189" s="252"/>
      <c r="H189" s="252"/>
      <c r="I189" s="252"/>
    </row>
    <row r="190" spans="1:10" ht="15.75" x14ac:dyDescent="0.25">
      <c r="A190" s="93" t="s">
        <v>694</v>
      </c>
      <c r="B190" s="68"/>
      <c r="C190" s="307">
        <v>0.11899999999999999</v>
      </c>
      <c r="D190" s="307">
        <v>9.7000000000000003E-2</v>
      </c>
      <c r="E190" s="161">
        <v>0.13800000000000001</v>
      </c>
      <c r="F190" s="161">
        <v>0.151</v>
      </c>
      <c r="G190" s="161">
        <v>0.17299999999999999</v>
      </c>
      <c r="H190" s="161">
        <v>0.19800000000000001</v>
      </c>
      <c r="I190" s="161">
        <v>0.22</v>
      </c>
    </row>
    <row r="191" spans="1:10" x14ac:dyDescent="0.2">
      <c r="A191" s="93" t="s">
        <v>337</v>
      </c>
      <c r="B191" s="93"/>
      <c r="C191" s="307">
        <v>1.7000000000000001E-2</v>
      </c>
      <c r="D191" s="307">
        <v>3.7999999999999999E-2</v>
      </c>
      <c r="E191" s="161">
        <v>3.5000000000000003E-2</v>
      </c>
      <c r="F191" s="161">
        <v>0.04</v>
      </c>
      <c r="G191" s="161">
        <v>4.3999999999999997E-2</v>
      </c>
      <c r="H191" s="161">
        <v>0.05</v>
      </c>
      <c r="I191" s="161">
        <v>5.8000000000000003E-2</v>
      </c>
    </row>
    <row r="192" spans="1:10" x14ac:dyDescent="0.2">
      <c r="A192" s="93" t="s">
        <v>643</v>
      </c>
      <c r="B192" s="93"/>
      <c r="C192" s="72">
        <v>0.377</v>
      </c>
      <c r="D192" s="72">
        <v>0.52900000000000003</v>
      </c>
      <c r="E192" s="161">
        <v>0.56699999999999995</v>
      </c>
      <c r="F192" s="161">
        <v>0.61</v>
      </c>
      <c r="G192" s="161">
        <v>0.65200000000000002</v>
      </c>
      <c r="H192" s="161">
        <v>0.68400000000000005</v>
      </c>
      <c r="I192" s="161">
        <v>0.70299999999999996</v>
      </c>
    </row>
    <row r="193" spans="1:17" x14ac:dyDescent="0.2">
      <c r="A193" s="93" t="s">
        <v>539</v>
      </c>
      <c r="B193" s="93"/>
      <c r="C193" s="72">
        <v>2E-3</v>
      </c>
      <c r="D193" s="72">
        <v>0.113</v>
      </c>
      <c r="E193" s="71">
        <v>0.121</v>
      </c>
      <c r="F193" s="71">
        <v>0.13</v>
      </c>
      <c r="G193" s="71">
        <v>0.13900000000000001</v>
      </c>
      <c r="H193" s="161">
        <v>0.14499999999999999</v>
      </c>
      <c r="I193" s="161">
        <v>0.14899999999999999</v>
      </c>
      <c r="K193" s="72"/>
      <c r="L193" s="72"/>
      <c r="M193" s="71"/>
      <c r="N193" s="71"/>
      <c r="O193" s="71"/>
      <c r="P193" s="71"/>
      <c r="Q193" s="71"/>
    </row>
    <row r="194" spans="1:17" x14ac:dyDescent="0.2">
      <c r="A194" s="93" t="s">
        <v>348</v>
      </c>
      <c r="B194" s="93"/>
      <c r="C194" s="72">
        <v>4.2320000000000002</v>
      </c>
      <c r="D194" s="72">
        <v>4.8959999999999999</v>
      </c>
      <c r="E194" s="161">
        <v>5.0380000000000003</v>
      </c>
      <c r="F194" s="161">
        <v>5.2380000000000004</v>
      </c>
      <c r="G194" s="161">
        <v>5.5869999999999997</v>
      </c>
      <c r="H194" s="161">
        <v>5.9710000000000001</v>
      </c>
      <c r="I194" s="161">
        <v>6.3520000000000003</v>
      </c>
      <c r="K194" s="72"/>
      <c r="L194" s="72"/>
      <c r="M194" s="71"/>
      <c r="N194" s="71"/>
      <c r="O194" s="71"/>
      <c r="P194" s="71"/>
      <c r="Q194" s="71"/>
    </row>
    <row r="195" spans="1:17" s="103" customFormat="1" x14ac:dyDescent="0.2">
      <c r="A195" s="93" t="s">
        <v>644</v>
      </c>
      <c r="B195" s="93"/>
      <c r="C195" s="72">
        <v>0.13100000000000001</v>
      </c>
      <c r="D195" s="72">
        <v>0.35399999999999998</v>
      </c>
      <c r="E195" s="71">
        <v>0.28199999999999997</v>
      </c>
      <c r="F195" s="71">
        <v>0.29599999999999999</v>
      </c>
      <c r="G195" s="71">
        <v>0.312</v>
      </c>
      <c r="H195" s="161">
        <v>0.33</v>
      </c>
      <c r="I195" s="161">
        <v>0.34799999999999998</v>
      </c>
      <c r="J195"/>
      <c r="K195"/>
      <c r="L195"/>
      <c r="M195"/>
      <c r="N195"/>
      <c r="O195"/>
      <c r="P195"/>
      <c r="Q195"/>
    </row>
    <row r="196" spans="1:17" s="103" customFormat="1" x14ac:dyDescent="0.2">
      <c r="A196" s="93" t="s">
        <v>540</v>
      </c>
      <c r="B196" s="93"/>
      <c r="C196" s="72">
        <v>7.5999999999999998E-2</v>
      </c>
      <c r="D196" s="72">
        <v>0.3</v>
      </c>
      <c r="E196" s="71">
        <v>0.23599999999999999</v>
      </c>
      <c r="F196" s="71">
        <v>0.249</v>
      </c>
      <c r="G196" s="71">
        <v>0.26400000000000001</v>
      </c>
      <c r="H196" s="161">
        <v>0.28100000000000003</v>
      </c>
      <c r="I196" s="161">
        <v>0.29799999999999999</v>
      </c>
      <c r="J196"/>
      <c r="K196"/>
      <c r="L196"/>
      <c r="M196"/>
      <c r="N196"/>
      <c r="O196"/>
      <c r="P196"/>
      <c r="Q196"/>
    </row>
    <row r="197" spans="1:17" x14ac:dyDescent="0.2">
      <c r="A197" s="93" t="s">
        <v>411</v>
      </c>
      <c r="B197" s="70"/>
      <c r="C197" s="72">
        <v>22.600999999999999</v>
      </c>
      <c r="D197" s="72">
        <v>26.542999999999999</v>
      </c>
      <c r="E197" s="71">
        <f>20.732+0.1</f>
        <v>20.832000000000001</v>
      </c>
      <c r="F197" s="71">
        <f>17.785+0.1</f>
        <v>17.885000000000002</v>
      </c>
      <c r="G197" s="71">
        <f>20.586+0.1</f>
        <v>20.686</v>
      </c>
      <c r="H197" s="161">
        <f>18.663+0.1</f>
        <v>18.763000000000002</v>
      </c>
      <c r="I197" s="161">
        <f>16.545+0.1</f>
        <v>16.645000000000003</v>
      </c>
    </row>
    <row r="198" spans="1:17" x14ac:dyDescent="0.2">
      <c r="A198" s="93" t="s">
        <v>696</v>
      </c>
      <c r="B198" s="93"/>
      <c r="C198" s="72">
        <v>0.317</v>
      </c>
      <c r="D198" s="72">
        <v>0.70099999999999996</v>
      </c>
      <c r="E198" s="71">
        <v>0.22500000000000001</v>
      </c>
      <c r="F198" s="71">
        <v>0.51600000000000001</v>
      </c>
      <c r="G198" s="71">
        <v>0.43</v>
      </c>
      <c r="H198" s="71">
        <v>0.38700000000000001</v>
      </c>
      <c r="I198" s="71">
        <v>0.41399999999999998</v>
      </c>
    </row>
    <row r="199" spans="1:17" x14ac:dyDescent="0.2">
      <c r="A199" s="93" t="s">
        <v>910</v>
      </c>
      <c r="B199" s="93"/>
      <c r="C199" s="72">
        <v>0.20499999999999999</v>
      </c>
      <c r="D199" s="72">
        <v>0.20499999999999999</v>
      </c>
      <c r="E199" s="71">
        <v>0.20499999999999999</v>
      </c>
      <c r="F199" s="71">
        <v>0.20499999999999999</v>
      </c>
      <c r="G199" s="71">
        <v>0.20499999999999999</v>
      </c>
      <c r="H199" s="71">
        <v>0.20499999999999999</v>
      </c>
      <c r="I199" s="71">
        <v>0.20499999999999999</v>
      </c>
    </row>
    <row r="200" spans="1:17" x14ac:dyDescent="0.2">
      <c r="A200" s="93" t="s">
        <v>404</v>
      </c>
      <c r="B200" s="93"/>
      <c r="C200" s="72">
        <v>1.6</v>
      </c>
      <c r="D200" s="72">
        <v>1.6</v>
      </c>
      <c r="E200" s="71">
        <v>1.6</v>
      </c>
      <c r="F200" s="71">
        <v>1.6</v>
      </c>
      <c r="G200" s="71">
        <v>1.6</v>
      </c>
      <c r="H200" s="71">
        <v>1.6</v>
      </c>
      <c r="I200" s="71">
        <v>1.6</v>
      </c>
      <c r="K200" s="54"/>
      <c r="L200" s="54"/>
      <c r="M200" s="54"/>
      <c r="N200" s="54"/>
      <c r="O200" s="54"/>
      <c r="P200" s="54"/>
      <c r="Q200" s="54"/>
    </row>
    <row r="201" spans="1:17" x14ac:dyDescent="0.2">
      <c r="A201" s="93"/>
      <c r="B201" s="93"/>
      <c r="C201" s="72"/>
      <c r="D201" s="72"/>
      <c r="E201" s="72"/>
      <c r="F201" s="72"/>
      <c r="G201" s="72"/>
      <c r="H201" s="72"/>
      <c r="I201" s="72"/>
      <c r="K201" s="54"/>
      <c r="L201" s="54"/>
      <c r="M201" s="54"/>
      <c r="N201" s="54"/>
      <c r="O201" s="54"/>
      <c r="P201" s="54"/>
      <c r="Q201" s="54"/>
    </row>
    <row r="202" spans="1:17" ht="15.75" x14ac:dyDescent="0.25">
      <c r="A202" s="68" t="s">
        <v>339</v>
      </c>
      <c r="B202" s="68"/>
      <c r="C202" s="170"/>
      <c r="D202" s="170"/>
      <c r="E202" s="170"/>
      <c r="F202" s="170"/>
      <c r="G202" s="170"/>
      <c r="H202" s="170"/>
      <c r="I202" s="170"/>
    </row>
    <row r="203" spans="1:17" x14ac:dyDescent="0.2">
      <c r="A203" s="69" t="s">
        <v>194</v>
      </c>
      <c r="B203" s="69"/>
      <c r="C203" s="308">
        <v>132.38900000000001</v>
      </c>
      <c r="D203" s="308">
        <v>135.821</v>
      </c>
      <c r="E203" s="162">
        <v>135.94545041674729</v>
      </c>
      <c r="F203" s="162">
        <v>137.71374685559184</v>
      </c>
      <c r="G203" s="162">
        <v>142.23952817811403</v>
      </c>
      <c r="H203" s="162">
        <v>147.9035276342839</v>
      </c>
      <c r="I203" s="162">
        <v>153.34078751093</v>
      </c>
    </row>
    <row r="204" spans="1:17" x14ac:dyDescent="0.2">
      <c r="A204" s="69" t="s">
        <v>148</v>
      </c>
      <c r="B204" s="69"/>
      <c r="C204" s="308">
        <v>168.571</v>
      </c>
      <c r="D204" s="308">
        <v>179.048</v>
      </c>
      <c r="E204" s="162">
        <v>181.13885057739157</v>
      </c>
      <c r="F204" s="162">
        <v>184.50602822682566</v>
      </c>
      <c r="G204" s="162">
        <v>193.90799432322186</v>
      </c>
      <c r="H204" s="162">
        <v>205.38873623897788</v>
      </c>
      <c r="I204" s="162">
        <v>216.52261434577596</v>
      </c>
    </row>
    <row r="205" spans="1:17" x14ac:dyDescent="0.2">
      <c r="A205" s="69" t="s">
        <v>149</v>
      </c>
      <c r="B205" s="309">
        <v>1000</v>
      </c>
      <c r="C205" s="309">
        <v>1020</v>
      </c>
      <c r="D205" s="309">
        <v>1061</v>
      </c>
      <c r="E205" s="163">
        <v>1085.6289999999999</v>
      </c>
      <c r="F205" s="163">
        <v>1110.3489999999999</v>
      </c>
      <c r="G205" s="163">
        <v>1131.556</v>
      </c>
      <c r="H205" s="163">
        <v>1153.1769999999999</v>
      </c>
      <c r="I205" s="163">
        <v>1174.567</v>
      </c>
    </row>
    <row r="206" spans="1:17" x14ac:dyDescent="0.2">
      <c r="A206" s="69" t="s">
        <v>192</v>
      </c>
      <c r="B206" s="69"/>
      <c r="C206" s="393">
        <v>6.3100000000000003E-2</v>
      </c>
      <c r="D206" s="393">
        <v>6.4399999999999999E-2</v>
      </c>
      <c r="E206" s="394">
        <v>5.8999999999999997E-2</v>
      </c>
      <c r="F206" s="394">
        <v>5.7000000000000002E-2</v>
      </c>
      <c r="G206" s="394">
        <v>5.8999999999999997E-2</v>
      </c>
      <c r="H206" s="394">
        <v>0.06</v>
      </c>
      <c r="I206" s="394">
        <v>0.06</v>
      </c>
    </row>
    <row r="207" spans="1:17" x14ac:dyDescent="0.2">
      <c r="A207" s="69" t="s">
        <v>901</v>
      </c>
      <c r="B207" s="69"/>
      <c r="C207" s="308">
        <v>2.2168000000000001</v>
      </c>
      <c r="D207" s="308">
        <v>2.2395</v>
      </c>
      <c r="E207" s="162">
        <v>2.2664</v>
      </c>
      <c r="F207" s="162">
        <v>2.2530000000000001</v>
      </c>
      <c r="G207" s="162">
        <v>2.2458</v>
      </c>
      <c r="H207" s="162">
        <v>2.2711000000000001</v>
      </c>
      <c r="I207" s="162">
        <v>2.3178000000000001</v>
      </c>
    </row>
    <row r="208" spans="1:17" x14ac:dyDescent="0.2">
      <c r="A208" s="69" t="s">
        <v>150</v>
      </c>
      <c r="B208" s="69"/>
      <c r="C208" s="308">
        <v>3.73E-2</v>
      </c>
      <c r="D208" s="308">
        <v>3.6299999999999999E-2</v>
      </c>
      <c r="E208" s="162">
        <v>4.6699999999999998E-2</v>
      </c>
      <c r="F208" s="162">
        <v>6.2399999999999997E-2</v>
      </c>
      <c r="G208" s="162">
        <v>6.3E-2</v>
      </c>
      <c r="H208" s="162">
        <v>5.5100000000000003E-2</v>
      </c>
      <c r="I208" s="162">
        <v>4.6899999999999997E-2</v>
      </c>
    </row>
    <row r="209" spans="1:15" x14ac:dyDescent="0.2">
      <c r="A209" s="69" t="s">
        <v>151</v>
      </c>
      <c r="B209" s="69"/>
      <c r="C209" s="310">
        <v>38.1</v>
      </c>
      <c r="D209" s="310">
        <v>38</v>
      </c>
      <c r="E209" s="165">
        <v>37.700000000000003</v>
      </c>
      <c r="F209" s="165">
        <v>37.799999999999997</v>
      </c>
      <c r="G209" s="165">
        <v>37.799999999999997</v>
      </c>
      <c r="H209" s="165">
        <v>37.799999999999997</v>
      </c>
      <c r="I209" s="165">
        <v>37.799999999999997</v>
      </c>
    </row>
    <row r="210" spans="1:15" x14ac:dyDescent="0.2">
      <c r="A210" s="69" t="s">
        <v>272</v>
      </c>
      <c r="B210" s="69"/>
      <c r="C210" s="311">
        <v>1.6E-2</v>
      </c>
      <c r="D210" s="311">
        <v>2.6499999999999999E-2</v>
      </c>
      <c r="E210" s="164">
        <v>5.4000000000000003E-3</v>
      </c>
      <c r="F210" s="164">
        <v>3.5299999999999998E-2</v>
      </c>
      <c r="G210" s="164">
        <v>3.5999999999999997E-2</v>
      </c>
      <c r="H210" s="164">
        <v>1.9199999999999998E-2</v>
      </c>
      <c r="I210" s="164">
        <v>6.8999999999999999E-3</v>
      </c>
    </row>
    <row r="211" spans="1:15" x14ac:dyDescent="0.2">
      <c r="A211" s="69" t="s">
        <v>273</v>
      </c>
      <c r="B211" s="69"/>
      <c r="C211" s="311">
        <v>4.7199999999999999E-2</v>
      </c>
      <c r="D211" s="311">
        <v>4.5100000000000001E-2</v>
      </c>
      <c r="E211" s="164">
        <v>5.21E-2</v>
      </c>
      <c r="F211" s="164">
        <v>4.1200000000000001E-2</v>
      </c>
      <c r="G211" s="164">
        <v>3.4500000000000003E-2</v>
      </c>
      <c r="H211" s="164">
        <v>2.9399999999999999E-2</v>
      </c>
      <c r="I211" s="164">
        <v>2.9499999999999998E-2</v>
      </c>
    </row>
    <row r="212" spans="1:15" x14ac:dyDescent="0.2">
      <c r="A212" s="69" t="s">
        <v>274</v>
      </c>
      <c r="B212" s="69"/>
      <c r="C212" s="371">
        <v>832.54</v>
      </c>
      <c r="D212" s="371">
        <v>861.55</v>
      </c>
      <c r="E212" s="372">
        <v>906.02</v>
      </c>
      <c r="F212" s="372">
        <v>944</v>
      </c>
      <c r="G212" s="372">
        <v>978.23</v>
      </c>
      <c r="H212" s="372">
        <v>1007.55</v>
      </c>
      <c r="I212" s="372">
        <v>1037.4100000000001</v>
      </c>
    </row>
    <row r="213" spans="1:15" x14ac:dyDescent="0.2">
      <c r="C213"/>
      <c r="D213"/>
      <c r="E213"/>
      <c r="F213"/>
      <c r="G213"/>
      <c r="H213"/>
      <c r="I213"/>
    </row>
    <row r="215" spans="1:15" x14ac:dyDescent="0.2">
      <c r="A215" s="93" t="s">
        <v>742</v>
      </c>
      <c r="B215" s="367"/>
      <c r="C215" s="307">
        <v>44.494999999999997</v>
      </c>
      <c r="D215" s="307">
        <f>49.137*0+1.461*0+0.872+49.726</f>
        <v>50.597999999999999</v>
      </c>
      <c r="E215" s="161">
        <f>49.137-0.765</f>
        <v>48.372</v>
      </c>
      <c r="F215" s="161">
        <f>49.523-1.656</f>
        <v>47.867000000000004</v>
      </c>
      <c r="G215" s="161">
        <f>56.238-3.571</f>
        <v>52.667000000000002</v>
      </c>
      <c r="H215" s="161">
        <f>58.393-2.176</f>
        <v>56.216999999999999</v>
      </c>
      <c r="I215" s="161">
        <f>60.665-0.019</f>
        <v>60.646000000000001</v>
      </c>
      <c r="K215" s="403"/>
      <c r="L215" s="403"/>
      <c r="M215" s="403"/>
      <c r="N215" s="403"/>
      <c r="O215" s="403"/>
    </row>
    <row r="216" spans="1:15" x14ac:dyDescent="0.2">
      <c r="A216" s="93" t="s">
        <v>743</v>
      </c>
      <c r="B216" s="367"/>
      <c r="C216" s="307">
        <v>18.856000000000002</v>
      </c>
      <c r="D216" s="307">
        <v>19.446999999999999</v>
      </c>
      <c r="E216" s="161">
        <f>21.024-1.348</f>
        <v>19.676000000000002</v>
      </c>
      <c r="F216" s="161">
        <f>22.531-1.028</f>
        <v>21.503</v>
      </c>
      <c r="G216" s="161">
        <f>24.096-0.712</f>
        <v>23.384</v>
      </c>
      <c r="H216" s="161">
        <f>25.412-0.39</f>
        <v>25.021999999999998</v>
      </c>
      <c r="I216" s="161">
        <f>26.519-0.014</f>
        <v>26.504999999999999</v>
      </c>
      <c r="K216" s="403"/>
      <c r="L216" s="403"/>
      <c r="M216" s="403"/>
      <c r="N216" s="403"/>
      <c r="O216" s="403"/>
    </row>
    <row r="217" spans="1:15" x14ac:dyDescent="0.2">
      <c r="A217" s="93" t="s">
        <v>744</v>
      </c>
      <c r="B217" s="367"/>
      <c r="C217" s="72">
        <v>7.2130000000000001</v>
      </c>
      <c r="D217" s="72">
        <v>9.48</v>
      </c>
      <c r="E217" s="161">
        <v>12.066000000000001</v>
      </c>
      <c r="F217" s="161">
        <v>12.821999999999999</v>
      </c>
      <c r="G217" s="161">
        <v>13.053000000000001</v>
      </c>
      <c r="H217" s="161">
        <v>13.26</v>
      </c>
      <c r="I217" s="161">
        <v>13.625</v>
      </c>
      <c r="K217" s="403"/>
      <c r="L217" s="403"/>
      <c r="M217" s="403"/>
      <c r="N217" s="403"/>
      <c r="O217" s="403"/>
    </row>
    <row r="218" spans="1:15" x14ac:dyDescent="0.2">
      <c r="A218" s="93" t="s">
        <v>695</v>
      </c>
      <c r="B218" s="367"/>
      <c r="C218" s="72">
        <v>-8.902000000000001</v>
      </c>
      <c r="D218" s="72">
        <v>-8.6189999999999998</v>
      </c>
      <c r="E218" s="71">
        <v>-9.26</v>
      </c>
      <c r="F218" s="71">
        <v>-9.5790000000000006</v>
      </c>
      <c r="G218" s="71">
        <v>-10.154999999999999</v>
      </c>
      <c r="H218" s="161">
        <v>-10.548999999999999</v>
      </c>
      <c r="I218" s="161">
        <v>-10.958</v>
      </c>
      <c r="K218" s="403"/>
      <c r="L218" s="403"/>
      <c r="M218" s="403"/>
      <c r="N218" s="403"/>
      <c r="O218" s="403"/>
    </row>
    <row r="219" spans="1:15" x14ac:dyDescent="0.2">
      <c r="A219" s="93" t="s">
        <v>745</v>
      </c>
      <c r="B219" s="367"/>
      <c r="C219" s="72">
        <v>61.662000000000006</v>
      </c>
      <c r="D219" s="72">
        <v>70.906000000000006</v>
      </c>
      <c r="E219" s="161">
        <f>72.967-2.113</f>
        <v>70.853999999999999</v>
      </c>
      <c r="F219" s="161">
        <f>75.297-2.684</f>
        <v>72.613</v>
      </c>
      <c r="G219" s="161">
        <f>83.232-4.283</f>
        <v>78.948999999999998</v>
      </c>
      <c r="H219" s="161">
        <f>86.516-2.566</f>
        <v>83.95</v>
      </c>
      <c r="I219" s="161">
        <f>89.851-0.033</f>
        <v>89.817999999999998</v>
      </c>
      <c r="K219" s="403"/>
      <c r="L219" s="403"/>
      <c r="M219" s="403"/>
      <c r="N219" s="403"/>
      <c r="O219" s="403"/>
    </row>
    <row r="220" spans="1:15" x14ac:dyDescent="0.2">
      <c r="A220" s="93" t="s">
        <v>755</v>
      </c>
      <c r="B220" s="367"/>
      <c r="C220" s="72">
        <f>9.087+1.248*0</f>
        <v>9.0869999999999997</v>
      </c>
      <c r="D220" s="72">
        <f>10.728+0.298*0</f>
        <v>10.728</v>
      </c>
      <c r="E220" s="71">
        <v>11.938000000000001</v>
      </c>
      <c r="F220" s="71">
        <v>12.337</v>
      </c>
      <c r="G220" s="71">
        <v>12.971</v>
      </c>
      <c r="H220" s="161">
        <v>13.414999999999999</v>
      </c>
      <c r="I220" s="161">
        <v>13.882</v>
      </c>
      <c r="K220" s="403"/>
      <c r="L220" s="403"/>
      <c r="M220" s="403"/>
      <c r="N220" s="403"/>
      <c r="O220" s="403"/>
    </row>
    <row r="221" spans="1:15" x14ac:dyDescent="0.2">
      <c r="A221" s="93" t="s">
        <v>756</v>
      </c>
      <c r="B221" s="367"/>
      <c r="C221" s="72">
        <v>0.36699999999999999</v>
      </c>
      <c r="D221" s="72">
        <v>0.32400000000000001</v>
      </c>
      <c r="E221" s="71">
        <v>0.77200000000000002</v>
      </c>
      <c r="F221" s="71">
        <v>1.4950000000000001</v>
      </c>
      <c r="G221" s="71">
        <v>1.821</v>
      </c>
      <c r="H221" s="161">
        <v>2.1560000000000001</v>
      </c>
      <c r="I221" s="161">
        <v>2.4910000000000001</v>
      </c>
      <c r="K221" s="403"/>
      <c r="L221" s="403"/>
      <c r="M221" s="403"/>
      <c r="N221" s="403"/>
      <c r="O221" s="403"/>
    </row>
    <row r="222" spans="1:15" x14ac:dyDescent="0.2">
      <c r="A222" s="93" t="s">
        <v>748</v>
      </c>
      <c r="C222" s="72">
        <v>1.3380000000000001</v>
      </c>
      <c r="D222" s="72">
        <v>-2.1070000000000002</v>
      </c>
      <c r="E222" s="71">
        <v>0.80600000000000005</v>
      </c>
      <c r="F222" s="71">
        <v>1.53</v>
      </c>
      <c r="G222" s="71">
        <v>1.859</v>
      </c>
      <c r="H222" s="161">
        <v>2.2000000000000002</v>
      </c>
      <c r="I222" s="161">
        <v>2.5350000000000001</v>
      </c>
      <c r="K222" s="403"/>
      <c r="L222" s="403"/>
      <c r="M222" s="403"/>
      <c r="N222" s="403"/>
      <c r="O222" s="403"/>
    </row>
    <row r="223" spans="1:15" x14ac:dyDescent="0.2">
      <c r="A223" s="93" t="s">
        <v>749</v>
      </c>
      <c r="C223" s="72">
        <v>-0.22</v>
      </c>
      <c r="D223" s="72">
        <v>3.4540000000000002</v>
      </c>
      <c r="E223" s="71">
        <f>0.541+0.3</f>
        <v>0.84099999999999997</v>
      </c>
      <c r="F223" s="71">
        <f>0.541+0.3</f>
        <v>0.84099999999999997</v>
      </c>
      <c r="G223" s="71">
        <f>0.541+0.3</f>
        <v>0.84099999999999997</v>
      </c>
      <c r="H223" s="71">
        <f>0.541+0.3</f>
        <v>0.84099999999999997</v>
      </c>
      <c r="I223" s="71">
        <f>0.541+0.3</f>
        <v>0.84099999999999997</v>
      </c>
      <c r="K223" s="403"/>
      <c r="L223" s="403"/>
      <c r="M223" s="403"/>
      <c r="N223" s="403"/>
      <c r="O223" s="403"/>
    </row>
    <row r="224" spans="1:15" x14ac:dyDescent="0.2">
      <c r="C224" s="72"/>
      <c r="D224" s="72"/>
      <c r="E224" s="71"/>
      <c r="F224" s="71"/>
      <c r="G224" s="71"/>
      <c r="H224" s="71"/>
      <c r="I224" s="71"/>
      <c r="K224" s="403"/>
      <c r="L224" s="403"/>
      <c r="M224" s="403"/>
      <c r="N224" s="403"/>
      <c r="O224" s="403"/>
    </row>
    <row r="225" spans="1:15" x14ac:dyDescent="0.2">
      <c r="A225" s="93" t="s">
        <v>697</v>
      </c>
      <c r="C225" s="72">
        <v>0</v>
      </c>
      <c r="D225" s="72">
        <v>0</v>
      </c>
      <c r="E225" s="71">
        <v>0</v>
      </c>
      <c r="F225" s="71">
        <v>0</v>
      </c>
      <c r="G225" s="71">
        <v>0</v>
      </c>
      <c r="H225" s="71">
        <v>0</v>
      </c>
      <c r="I225" s="71">
        <v>0</v>
      </c>
      <c r="K225" s="403"/>
      <c r="L225" s="403"/>
      <c r="M225" s="403"/>
      <c r="N225" s="403"/>
      <c r="O225" s="403"/>
    </row>
    <row r="226" spans="1:15" x14ac:dyDescent="0.2">
      <c r="A226" s="93" t="s">
        <v>698</v>
      </c>
      <c r="C226" s="72">
        <v>0</v>
      </c>
      <c r="D226" s="72">
        <v>0</v>
      </c>
      <c r="E226" s="71">
        <v>0</v>
      </c>
      <c r="F226" s="71">
        <v>0</v>
      </c>
      <c r="G226" s="71">
        <v>0</v>
      </c>
      <c r="H226" s="71">
        <v>0</v>
      </c>
      <c r="I226" s="71">
        <v>0</v>
      </c>
    </row>
    <row r="228" spans="1:15" x14ac:dyDescent="0.2">
      <c r="C228"/>
      <c r="D228"/>
      <c r="E228"/>
      <c r="F228"/>
      <c r="G228"/>
      <c r="H228"/>
      <c r="I228"/>
    </row>
    <row r="229" spans="1:15" x14ac:dyDescent="0.2">
      <c r="C229"/>
      <c r="D229"/>
      <c r="E229"/>
      <c r="F229"/>
      <c r="G229"/>
      <c r="H229"/>
      <c r="I229"/>
    </row>
    <row r="230" spans="1:15" x14ac:dyDescent="0.2">
      <c r="C230"/>
      <c r="D230"/>
      <c r="E230"/>
      <c r="F230"/>
      <c r="G230"/>
      <c r="H230"/>
      <c r="I230"/>
    </row>
    <row r="231" spans="1:15" x14ac:dyDescent="0.2">
      <c r="C231"/>
      <c r="D231"/>
      <c r="E231"/>
      <c r="F231"/>
      <c r="G231"/>
      <c r="H231"/>
      <c r="I231"/>
    </row>
    <row r="232" spans="1:15" x14ac:dyDescent="0.2">
      <c r="C232"/>
      <c r="D232"/>
      <c r="E232"/>
      <c r="F232"/>
      <c r="G232"/>
      <c r="H232"/>
      <c r="I232"/>
    </row>
    <row r="233" spans="1:15" x14ac:dyDescent="0.2">
      <c r="C233"/>
      <c r="D233"/>
      <c r="E233"/>
      <c r="F233"/>
      <c r="G233"/>
      <c r="H233"/>
      <c r="I233"/>
    </row>
  </sheetData>
  <phoneticPr fontId="0" type="noConversion"/>
  <pageMargins left="0.75" right="0.75" top="1" bottom="1" header="0.5" footer="0.5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5"/>
  <dimension ref="A1:T254"/>
  <sheetViews>
    <sheetView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D33" sqref="D33"/>
    </sheetView>
  </sheetViews>
  <sheetFormatPr defaultRowHeight="12.75" x14ac:dyDescent="0.2"/>
  <cols>
    <col min="1" max="1" width="65.7109375" style="179" customWidth="1"/>
    <col min="2" max="2" width="8.7109375" customWidth="1"/>
    <col min="3" max="3" width="8.7109375" style="97" customWidth="1"/>
    <col min="4" max="10" width="8.7109375" style="182" customWidth="1"/>
    <col min="11" max="19" width="8.7109375" style="99" customWidth="1"/>
  </cols>
  <sheetData>
    <row r="1" spans="1:20" ht="15.75" x14ac:dyDescent="0.25">
      <c r="A1" s="263" t="s">
        <v>652</v>
      </c>
      <c r="B1" s="40" t="s">
        <v>733</v>
      </c>
      <c r="C1" s="262">
        <f>MATCH($B$1,Scenarios!$B$3:$C$3,0)</f>
        <v>1</v>
      </c>
      <c r="D1" s="385"/>
      <c r="J1" s="386"/>
      <c r="K1" s="171" t="s">
        <v>188</v>
      </c>
    </row>
    <row r="2" spans="1:20" ht="13.5" x14ac:dyDescent="0.25">
      <c r="A2" s="264" t="s">
        <v>264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20" ht="15.75" x14ac:dyDescent="0.25">
      <c r="A3" s="74" t="s">
        <v>171</v>
      </c>
      <c r="B3" s="261"/>
      <c r="C3" s="261"/>
      <c r="D3" s="261" t="s">
        <v>781</v>
      </c>
      <c r="E3" s="261" t="s">
        <v>782</v>
      </c>
      <c r="F3" s="199" t="s">
        <v>783</v>
      </c>
      <c r="G3" s="199" t="s">
        <v>784</v>
      </c>
      <c r="H3" s="199" t="s">
        <v>785</v>
      </c>
      <c r="I3" s="199" t="s">
        <v>786</v>
      </c>
      <c r="J3" s="199" t="s">
        <v>787</v>
      </c>
      <c r="K3" s="198" t="s">
        <v>788</v>
      </c>
      <c r="L3" s="198" t="s">
        <v>789</v>
      </c>
      <c r="M3" s="198" t="s">
        <v>790</v>
      </c>
      <c r="N3" s="198" t="s">
        <v>791</v>
      </c>
      <c r="O3" s="198" t="s">
        <v>792</v>
      </c>
      <c r="P3" s="198" t="s">
        <v>793</v>
      </c>
      <c r="Q3" s="198" t="s">
        <v>794</v>
      </c>
      <c r="R3" s="198" t="s">
        <v>795</v>
      </c>
      <c r="S3" s="198" t="s">
        <v>796</v>
      </c>
      <c r="T3" s="198" t="s">
        <v>797</v>
      </c>
    </row>
    <row r="4" spans="1:20" ht="15.75" x14ac:dyDescent="0.25">
      <c r="A4" s="249" t="s">
        <v>636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20" ht="13.5" x14ac:dyDescent="0.25">
      <c r="A5" s="254" t="s">
        <v>553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20" ht="21" customHeight="1" x14ac:dyDescent="0.2">
      <c r="A6" s="43"/>
      <c r="C6"/>
      <c r="D6" s="174">
        <f ca="1">OFFSET(D$8,Offsets!$B$1,0)/D$211</f>
        <v>2.4375485700387386E-2</v>
      </c>
      <c r="E6" s="174">
        <f ca="1">OFFSET(E$8,Offsets!$B$1,0)/E$211</f>
        <v>-1.0611679549617979E-4</v>
      </c>
      <c r="F6" s="178">
        <f ca="1">OFFSET(F$8,Offsets!$B$1,0)/F$211</f>
        <v>3.1086649727823882E-2</v>
      </c>
      <c r="G6" s="178">
        <f ca="1">OFFSET(G$8,Offsets!$B$1,0)/G$211</f>
        <v>7.2349939610586445E-2</v>
      </c>
      <c r="H6" s="178">
        <f ca="1">OFFSET(H$8,Offsets!$B$1,0)/H$211</f>
        <v>0.12131526645976368</v>
      </c>
      <c r="I6" s="178">
        <f ca="1">OFFSET(I$8,Offsets!$B$1,0)/I$211</f>
        <v>0.16486298430991556</v>
      </c>
      <c r="J6" s="178">
        <f ca="1">OFFSET(J$8,Offsets!$B$1,0)/J$211</f>
        <v>0.20666663450007874</v>
      </c>
      <c r="K6" s="175" t="e">
        <f ca="1">OFFSET(K$8,Offsets!$B$1,0)/K$211</f>
        <v>#REF!</v>
      </c>
      <c r="L6" s="175" t="e">
        <f ca="1">OFFSET(L$8,Offsets!$B$1,0)/L$211</f>
        <v>#REF!</v>
      </c>
      <c r="M6" s="175" t="e">
        <f ca="1">OFFSET(M$8,Offsets!$B$1,0)/M$211</f>
        <v>#REF!</v>
      </c>
      <c r="N6" s="175" t="e">
        <f ca="1">OFFSET(N$8,Offsets!$B$1,0)/N$211</f>
        <v>#REF!</v>
      </c>
      <c r="O6" s="175" t="e">
        <f ca="1">OFFSET(O$8,Offsets!$B$1,0)/O$211</f>
        <v>#REF!</v>
      </c>
      <c r="P6" s="175" t="e">
        <f ca="1">OFFSET(P$8,Offsets!$B$1,0)/P$211</f>
        <v>#REF!</v>
      </c>
      <c r="Q6" s="175" t="e">
        <f ca="1">OFFSET(Q$8,Offsets!$B$1,0)/Q$211</f>
        <v>#REF!</v>
      </c>
      <c r="R6" s="175" t="e">
        <f ca="1">OFFSET(R$8,Offsets!$B$1,0)/R$211</f>
        <v>#REF!</v>
      </c>
      <c r="S6" s="175" t="e">
        <f ca="1">OFFSET(S$8,Offsets!$B$1,0)/S$211</f>
        <v>#REF!</v>
      </c>
      <c r="T6" s="175" t="e">
        <f ca="1">OFFSET(T$8,Offsets!$B$1,0)/T$211</f>
        <v>#REF!</v>
      </c>
    </row>
    <row r="7" spans="1:20" ht="15.75" customHeight="1" x14ac:dyDescent="0.25">
      <c r="A7" s="249" t="s">
        <v>637</v>
      </c>
      <c r="C7"/>
      <c r="D7"/>
      <c r="E7"/>
      <c r="F7"/>
      <c r="G7"/>
      <c r="H7"/>
      <c r="I7"/>
      <c r="J7"/>
      <c r="K7" s="379"/>
      <c r="L7" s="379"/>
      <c r="M7" s="379"/>
      <c r="N7" s="379"/>
      <c r="O7" s="379"/>
      <c r="P7" s="379"/>
      <c r="Q7" s="379"/>
      <c r="R7" s="379"/>
      <c r="S7" s="379"/>
      <c r="T7" s="379"/>
    </row>
    <row r="8" spans="1:20" x14ac:dyDescent="0.2">
      <c r="A8" s="43" t="s">
        <v>210</v>
      </c>
      <c r="C8"/>
      <c r="D8" s="97"/>
      <c r="E8" s="97"/>
      <c r="F8" s="97"/>
      <c r="G8" s="97"/>
      <c r="H8" s="97"/>
      <c r="I8" s="97"/>
      <c r="J8" s="97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0" x14ac:dyDescent="0.2">
      <c r="A9" s="47" t="s">
        <v>190</v>
      </c>
      <c r="B9" s="94"/>
      <c r="C9"/>
      <c r="D9" s="94">
        <f t="shared" ref="D9:T9" si="0">D$50</f>
        <v>53.064000000000007</v>
      </c>
      <c r="E9" s="94">
        <f t="shared" si="0"/>
        <v>56.372</v>
      </c>
      <c r="F9" s="180">
        <f t="shared" si="0"/>
        <v>54.88</v>
      </c>
      <c r="G9" s="180">
        <f t="shared" si="0"/>
        <v>53.739999999999995</v>
      </c>
      <c r="H9" s="180">
        <f t="shared" si="0"/>
        <v>54.704000000000001</v>
      </c>
      <c r="I9" s="180">
        <f t="shared" si="0"/>
        <v>57.679000000000002</v>
      </c>
      <c r="J9" s="180">
        <f t="shared" si="0"/>
        <v>61.168999999999997</v>
      </c>
      <c r="K9" s="99" t="e">
        <f t="shared" ca="1" si="0"/>
        <v>#REF!</v>
      </c>
      <c r="L9" s="99" t="e">
        <f t="shared" ca="1" si="0"/>
        <v>#REF!</v>
      </c>
      <c r="M9" s="99" t="e">
        <f t="shared" ca="1" si="0"/>
        <v>#REF!</v>
      </c>
      <c r="N9" s="99" t="e">
        <f t="shared" ca="1" si="0"/>
        <v>#REF!</v>
      </c>
      <c r="O9" s="99" t="e">
        <f t="shared" ca="1" si="0"/>
        <v>#REF!</v>
      </c>
      <c r="P9" s="99" t="e">
        <f t="shared" ca="1" si="0"/>
        <v>#REF!</v>
      </c>
      <c r="Q9" s="99" t="e">
        <f t="shared" ca="1" si="0"/>
        <v>#REF!</v>
      </c>
      <c r="R9" s="99" t="e">
        <f t="shared" ca="1" si="0"/>
        <v>#REF!</v>
      </c>
      <c r="S9" s="99" t="e">
        <f t="shared" ca="1" si="0"/>
        <v>#REF!</v>
      </c>
      <c r="T9" s="99" t="e">
        <f t="shared" ca="1" si="0"/>
        <v>#REF!</v>
      </c>
    </row>
    <row r="10" spans="1:20" x14ac:dyDescent="0.2">
      <c r="A10" s="47" t="s">
        <v>514</v>
      </c>
      <c r="B10" s="94"/>
      <c r="C10"/>
      <c r="D10" s="94">
        <f t="shared" ref="D10:T10" si="1">SUM(D$9,D$55,D$57,D$67)</f>
        <v>74.589000000000013</v>
      </c>
      <c r="E10" s="94">
        <f t="shared" si="1"/>
        <v>81.478999999999999</v>
      </c>
      <c r="F10" s="180">
        <f t="shared" si="1"/>
        <v>81.450999999999979</v>
      </c>
      <c r="G10" s="180">
        <f t="shared" si="1"/>
        <v>81.538999999999987</v>
      </c>
      <c r="H10" s="180">
        <f t="shared" si="1"/>
        <v>84.446000000000012</v>
      </c>
      <c r="I10" s="180">
        <f t="shared" si="1"/>
        <v>88.367000000000004</v>
      </c>
      <c r="J10" s="180">
        <f t="shared" si="1"/>
        <v>93.561999999999983</v>
      </c>
      <c r="K10" s="99" t="e">
        <f t="shared" ca="1" si="1"/>
        <v>#REF!</v>
      </c>
      <c r="L10" s="99" t="e">
        <f t="shared" ca="1" si="1"/>
        <v>#REF!</v>
      </c>
      <c r="M10" s="99" t="e">
        <f t="shared" ca="1" si="1"/>
        <v>#REF!</v>
      </c>
      <c r="N10" s="99" t="e">
        <f t="shared" ca="1" si="1"/>
        <v>#REF!</v>
      </c>
      <c r="O10" s="99" t="e">
        <f t="shared" ca="1" si="1"/>
        <v>#REF!</v>
      </c>
      <c r="P10" s="99" t="e">
        <f t="shared" ca="1" si="1"/>
        <v>#REF!</v>
      </c>
      <c r="Q10" s="99" t="e">
        <f t="shared" ca="1" si="1"/>
        <v>#REF!</v>
      </c>
      <c r="R10" s="99" t="e">
        <f t="shared" ca="1" si="1"/>
        <v>#REF!</v>
      </c>
      <c r="S10" s="99" t="e">
        <f t="shared" ca="1" si="1"/>
        <v>#REF!</v>
      </c>
      <c r="T10" s="99" t="e">
        <f t="shared" ca="1" si="1"/>
        <v>#REF!</v>
      </c>
    </row>
    <row r="11" spans="1:20" x14ac:dyDescent="0.2">
      <c r="A11" s="47" t="s">
        <v>515</v>
      </c>
      <c r="B11" s="94"/>
      <c r="C11"/>
      <c r="D11" s="94">
        <f t="shared" ref="D11:T11" ca="1" si="2">SUM(D$12,D$108)</f>
        <v>68.729000000000013</v>
      </c>
      <c r="E11" s="94">
        <f t="shared" ca="1" si="2"/>
        <v>75.841999999999999</v>
      </c>
      <c r="F11" s="180">
        <f t="shared" ca="1" si="2"/>
        <v>82.001000000000005</v>
      </c>
      <c r="G11" s="180">
        <f t="shared" ca="1" si="2"/>
        <v>85.648999999999987</v>
      </c>
      <c r="H11" s="180">
        <f t="shared" ca="1" si="2"/>
        <v>90.454000000000008</v>
      </c>
      <c r="I11" s="180">
        <f t="shared" ca="1" si="2"/>
        <v>94.672000000000011</v>
      </c>
      <c r="J11" s="180">
        <f t="shared" ca="1" si="2"/>
        <v>99.887</v>
      </c>
      <c r="K11" s="99" t="e">
        <f t="shared" ca="1" si="2"/>
        <v>#REF!</v>
      </c>
      <c r="L11" s="99" t="e">
        <f t="shared" ca="1" si="2"/>
        <v>#REF!</v>
      </c>
      <c r="M11" s="99" t="e">
        <f t="shared" ca="1" si="2"/>
        <v>#REF!</v>
      </c>
      <c r="N11" s="99" t="e">
        <f t="shared" ca="1" si="2"/>
        <v>#REF!</v>
      </c>
      <c r="O11" s="99" t="e">
        <f t="shared" ca="1" si="2"/>
        <v>#REF!</v>
      </c>
      <c r="P11" s="99" t="e">
        <f t="shared" ca="1" si="2"/>
        <v>#REF!</v>
      </c>
      <c r="Q11" s="99" t="e">
        <f t="shared" ca="1" si="2"/>
        <v>#REF!</v>
      </c>
      <c r="R11" s="99" t="e">
        <f t="shared" ca="1" si="2"/>
        <v>#REF!</v>
      </c>
      <c r="S11" s="99" t="e">
        <f t="shared" ca="1" si="2"/>
        <v>#REF!</v>
      </c>
      <c r="T11" s="99" t="e">
        <f t="shared" ca="1" si="2"/>
        <v>#REF!</v>
      </c>
    </row>
    <row r="12" spans="1:20" x14ac:dyDescent="0.2">
      <c r="A12" s="47" t="s">
        <v>521</v>
      </c>
      <c r="B12" s="94"/>
      <c r="C12"/>
      <c r="D12" s="94">
        <f ca="1">SUM($D$69:D$69,D$80,D$90,D$96,D$104)</f>
        <v>65.844000000000008</v>
      </c>
      <c r="E12" s="94">
        <f ca="1">SUM($D$69:E$69,E$80,E$90,E$96,E$104)</f>
        <v>72.741</v>
      </c>
      <c r="F12" s="180">
        <f ca="1">SUM($D$69:F$69,F$80,F$90,F$96,F$104)</f>
        <v>78.782000000000011</v>
      </c>
      <c r="G12" s="180">
        <f ca="1">SUM($D$69:G$69,G$80,G$90,G$96,G$104)</f>
        <v>82.333999999999989</v>
      </c>
      <c r="H12" s="180">
        <f ca="1">SUM($D$69:H$69,H$80,H$90,H$96,H$104)</f>
        <v>86.521000000000001</v>
      </c>
      <c r="I12" s="180">
        <f ca="1">SUM($D$69:I$69,I$80,I$90,I$96,I$104)</f>
        <v>90.13600000000001</v>
      </c>
      <c r="J12" s="180">
        <f ca="1">SUM($D$69:J$69,J$80,J$90,J$96,J$104)</f>
        <v>94.507000000000005</v>
      </c>
      <c r="K12" s="99" t="e">
        <f ca="1">SUM($D$69:K$69,K$80,K$90,K$96,K$104)</f>
        <v>#REF!</v>
      </c>
      <c r="L12" s="99" t="e">
        <f ca="1">SUM($D$69:L$69,L$80,L$90,L$96,L$104)</f>
        <v>#REF!</v>
      </c>
      <c r="M12" s="99" t="e">
        <f ca="1">SUM($D$69:M$69,M$80,M$90,M$96,M$104)</f>
        <v>#REF!</v>
      </c>
      <c r="N12" s="99" t="e">
        <f ca="1">SUM($D$69:N$69,N$80,N$90,N$96,N$104)</f>
        <v>#REF!</v>
      </c>
      <c r="O12" s="99" t="e">
        <f ca="1">SUM($D$69:O$69,O$80,O$90,O$96,O$104)</f>
        <v>#REF!</v>
      </c>
      <c r="P12" s="99" t="e">
        <f ca="1">SUM($D$69:P$69,P$80,P$90,P$96,P$104)</f>
        <v>#REF!</v>
      </c>
      <c r="Q12" s="99" t="e">
        <f ca="1">SUM($D$69:Q$69,Q$80,Q$90,Q$96,Q$104)</f>
        <v>#REF!</v>
      </c>
      <c r="R12" s="99" t="e">
        <f ca="1">SUM($D$69:R$69,R$80,R$90,R$96,R$104)</f>
        <v>#REF!</v>
      </c>
      <c r="S12" s="99" t="e">
        <f ca="1">SUM($D$69:S$69,S$80,S$90,S$96,S$104)</f>
        <v>#REF!</v>
      </c>
      <c r="T12" s="99" t="e">
        <f ca="1">SUM($D$69:T$69,T$80,T$90,T$96,T$104)</f>
        <v>#REF!</v>
      </c>
    </row>
    <row r="13" spans="1:20" x14ac:dyDescent="0.2">
      <c r="A13" s="47" t="s">
        <v>517</v>
      </c>
      <c r="B13" s="94"/>
      <c r="C13"/>
      <c r="D13" s="94">
        <f t="shared" ref="D13:T13" ca="1" si="3">D$10-D$11</f>
        <v>5.8599999999999994</v>
      </c>
      <c r="E13" s="94">
        <f t="shared" ca="1" si="3"/>
        <v>5.6370000000000005</v>
      </c>
      <c r="F13" s="180">
        <f t="shared" ca="1" si="3"/>
        <v>-0.55000000000002558</v>
      </c>
      <c r="G13" s="180">
        <f t="shared" ca="1" si="3"/>
        <v>-4.1099999999999994</v>
      </c>
      <c r="H13" s="180">
        <f t="shared" ca="1" si="3"/>
        <v>-6.0079999999999956</v>
      </c>
      <c r="I13" s="180">
        <f t="shared" ca="1" si="3"/>
        <v>-6.3050000000000068</v>
      </c>
      <c r="J13" s="180">
        <f t="shared" ca="1" si="3"/>
        <v>-6.3250000000000171</v>
      </c>
      <c r="K13" s="99" t="e">
        <f t="shared" ca="1" si="3"/>
        <v>#REF!</v>
      </c>
      <c r="L13" s="99" t="e">
        <f t="shared" ca="1" si="3"/>
        <v>#REF!</v>
      </c>
      <c r="M13" s="99" t="e">
        <f t="shared" ca="1" si="3"/>
        <v>#REF!</v>
      </c>
      <c r="N13" s="99" t="e">
        <f t="shared" ca="1" si="3"/>
        <v>#REF!</v>
      </c>
      <c r="O13" s="99" t="e">
        <f t="shared" ca="1" si="3"/>
        <v>#REF!</v>
      </c>
      <c r="P13" s="99" t="e">
        <f t="shared" ca="1" si="3"/>
        <v>#REF!</v>
      </c>
      <c r="Q13" s="99" t="e">
        <f t="shared" ca="1" si="3"/>
        <v>#REF!</v>
      </c>
      <c r="R13" s="99" t="e">
        <f t="shared" ca="1" si="3"/>
        <v>#REF!</v>
      </c>
      <c r="S13" s="99" t="e">
        <f t="shared" ca="1" si="3"/>
        <v>#REF!</v>
      </c>
      <c r="T13" s="99" t="e">
        <f t="shared" ca="1" si="3"/>
        <v>#REF!</v>
      </c>
    </row>
    <row r="14" spans="1:20" x14ac:dyDescent="0.2">
      <c r="A14" s="47" t="s">
        <v>721</v>
      </c>
      <c r="B14" s="94"/>
      <c r="C14"/>
      <c r="D14" s="94">
        <f t="shared" ref="D14:T14" ca="1" si="4">D$13-(D$113-D$122-D$116)</f>
        <v>6.2499999999999991</v>
      </c>
      <c r="E14" s="94">
        <f t="shared" ca="1" si="4"/>
        <v>5.5860000000000003</v>
      </c>
      <c r="F14" s="180">
        <f t="shared" ca="1" si="4"/>
        <v>-0.81200000000002559</v>
      </c>
      <c r="G14" s="180">
        <f t="shared" ca="1" si="4"/>
        <v>-4.0269999999999992</v>
      </c>
      <c r="H14" s="180">
        <f t="shared" ca="1" si="4"/>
        <v>-5.902999999999996</v>
      </c>
      <c r="I14" s="180">
        <f t="shared" ca="1" si="4"/>
        <v>-6.1750000000000069</v>
      </c>
      <c r="J14" s="180">
        <f t="shared" ca="1" si="4"/>
        <v>-6.1750000000000167</v>
      </c>
      <c r="K14" s="99" t="e">
        <f t="shared" ca="1" si="4"/>
        <v>#REF!</v>
      </c>
      <c r="L14" s="99" t="e">
        <f t="shared" ca="1" si="4"/>
        <v>#REF!</v>
      </c>
      <c r="M14" s="99" t="e">
        <f t="shared" ca="1" si="4"/>
        <v>#REF!</v>
      </c>
      <c r="N14" s="99" t="e">
        <f t="shared" ca="1" si="4"/>
        <v>#REF!</v>
      </c>
      <c r="O14" s="99" t="e">
        <f t="shared" ca="1" si="4"/>
        <v>#REF!</v>
      </c>
      <c r="P14" s="99" t="e">
        <f t="shared" ca="1" si="4"/>
        <v>#REF!</v>
      </c>
      <c r="Q14" s="99" t="e">
        <f t="shared" ca="1" si="4"/>
        <v>#REF!</v>
      </c>
      <c r="R14" s="99" t="e">
        <f t="shared" ca="1" si="4"/>
        <v>#REF!</v>
      </c>
      <c r="S14" s="99" t="e">
        <f t="shared" ca="1" si="4"/>
        <v>#REF!</v>
      </c>
      <c r="T14" s="99" t="e">
        <f t="shared" ca="1" si="4"/>
        <v>#REF!</v>
      </c>
    </row>
    <row r="15" spans="1:20" x14ac:dyDescent="0.2">
      <c r="A15" s="47" t="s">
        <v>516</v>
      </c>
      <c r="B15" s="94"/>
      <c r="C15"/>
      <c r="D15" s="94">
        <f>SUM(Data!C$35:C$37)</f>
        <v>2.2429999999999999</v>
      </c>
      <c r="E15" s="94">
        <f>SUM(Data!D$35:D$37)</f>
        <v>-3.2079999999999997</v>
      </c>
      <c r="F15" s="180">
        <f>SUM(Data!E$35:E$37)</f>
        <v>-3.7789999999999995</v>
      </c>
      <c r="G15" s="180">
        <f>SUM(Data!F$35:F$37)</f>
        <v>2.12</v>
      </c>
      <c r="H15" s="180">
        <f>SUM(Data!G$35:G$37)</f>
        <v>2.4099999999999997</v>
      </c>
      <c r="I15" s="180">
        <f>SUM(Data!H$35:H$37)</f>
        <v>2.6960000000000002</v>
      </c>
      <c r="J15" s="180">
        <f>SUM(Data!I$35:I$37)</f>
        <v>2.992</v>
      </c>
      <c r="K15" s="99">
        <f ca="1">SUM(J$15,K$22-J$22,(K$128-K$129-(J$128-J$129))*(1-OFFSET(Scenarios!$A$21,0,$C$1)),(K$137-K$138-(J$137-J$138))*(1-OFFSET(Scenarios!$A$22,0,$C$1)))</f>
        <v>3.0615779859577956</v>
      </c>
      <c r="L15" s="99">
        <f ca="1">SUM(K$15,L$22-K$22,(L$128-L$129-(K$128-K$129))*(1-OFFSET(Scenarios!$A$21,0,$C$1)),(L$137-L$138-(K$137-K$138))*(1-OFFSET(Scenarios!$A$22,0,$C$1)))</f>
        <v>3.3646508389131853</v>
      </c>
      <c r="M15" s="99">
        <f ca="1">SUM(L$15,M$22-L$22,(M$128-M$129-(L$128-L$129))*(1-OFFSET(Scenarios!$A$21,0,$C$1)),(M$137-M$138-(L$137-L$138))*(1-OFFSET(Scenarios!$A$22,0,$C$1)))</f>
        <v>3.6860010106512786</v>
      </c>
      <c r="N15" s="99">
        <f ca="1">SUM(M$15,N$22-M$22,(N$128-N$129-(M$128-M$129))*(1-OFFSET(Scenarios!$A$21,0,$C$1)),(N$137-N$138-(M$137-M$138))*(1-OFFSET(Scenarios!$A$22,0,$C$1)))</f>
        <v>4.0266609967999987</v>
      </c>
      <c r="O15" s="99">
        <f ca="1">SUM(N$15,O$22-N$22,(O$128-O$129-(N$128-N$129))*(1-OFFSET(Scenarios!$A$21,0,$C$1)),(O$137-O$138-(N$137-N$138))*(1-OFFSET(Scenarios!$A$22,0,$C$1)))</f>
        <v>4.3867587073896175</v>
      </c>
      <c r="P15" s="99">
        <f ca="1">SUM(O$15,P$22-O$22,(P$128-P$129-(O$128-O$129))*(1-OFFSET(Scenarios!$A$21,0,$C$1)),(P$137-P$138-(O$137-O$138))*(1-OFFSET(Scenarios!$A$22,0,$C$1)))</f>
        <v>4.7661957041285978</v>
      </c>
      <c r="Q15" s="99">
        <f ca="1">SUM(P$15,Q$22-P$22,(Q$128-Q$129-(P$128-P$129))*(1-OFFSET(Scenarios!$A$21,0,$C$1)),(Q$137-Q$138-(P$137-P$138))*(1-OFFSET(Scenarios!$A$22,0,$C$1)))</f>
        <v>5.16490007664465</v>
      </c>
      <c r="R15" s="99">
        <f ca="1">SUM(Q$15,R$22-Q$22,(R$128-R$129-(Q$128-Q$129))*(1-OFFSET(Scenarios!$A$21,0,$C$1)),(R$137-R$138-(Q$137-Q$138))*(1-OFFSET(Scenarios!$A$22,0,$C$1)))</f>
        <v>5.5807349354070919</v>
      </c>
      <c r="S15" s="99">
        <f ca="1">SUM(R$15,S$22-R$22,(S$128-S$129-(R$128-R$129))*(1-OFFSET(Scenarios!$A$21,0,$C$1)),(S$137-S$138-(R$137-R$138))*(1-OFFSET(Scenarios!$A$22,0,$C$1)))</f>
        <v>6.0110363297451004</v>
      </c>
      <c r="T15" s="99">
        <f ca="1">SUM(S$15,T$22-S$22,(T$128-T$129-(S$128-S$129))*(1-OFFSET(Scenarios!$A$21,0,$C$1)),(T$137-T$138-(S$137-S$138))*(1-OFFSET(Scenarios!$A$22,0,$C$1)))</f>
        <v>6.4551078155435206</v>
      </c>
    </row>
    <row r="16" spans="1:20" x14ac:dyDescent="0.2">
      <c r="A16" s="47" t="s">
        <v>160</v>
      </c>
      <c r="B16" s="95"/>
      <c r="C16"/>
      <c r="D16" s="94">
        <f t="shared" ref="D16:T16" ca="1" si="5">SUM(D$13,D$15)</f>
        <v>8.1029999999999998</v>
      </c>
      <c r="E16" s="94">
        <f t="shared" ca="1" si="5"/>
        <v>2.4290000000000007</v>
      </c>
      <c r="F16" s="180">
        <f t="shared" ca="1" si="5"/>
        <v>-4.3290000000000255</v>
      </c>
      <c r="G16" s="180">
        <f t="shared" ca="1" si="5"/>
        <v>-1.9899999999999993</v>
      </c>
      <c r="H16" s="180">
        <f t="shared" ca="1" si="5"/>
        <v>-3.5979999999999959</v>
      </c>
      <c r="I16" s="180">
        <f t="shared" ca="1" si="5"/>
        <v>-3.6090000000000066</v>
      </c>
      <c r="J16" s="180">
        <f t="shared" ca="1" si="5"/>
        <v>-3.3330000000000171</v>
      </c>
      <c r="K16" s="99" t="e">
        <f t="shared" ca="1" si="5"/>
        <v>#REF!</v>
      </c>
      <c r="L16" s="99" t="e">
        <f t="shared" ca="1" si="5"/>
        <v>#REF!</v>
      </c>
      <c r="M16" s="99" t="e">
        <f t="shared" ca="1" si="5"/>
        <v>#REF!</v>
      </c>
      <c r="N16" s="99" t="e">
        <f t="shared" ca="1" si="5"/>
        <v>#REF!</v>
      </c>
      <c r="O16" s="99" t="e">
        <f t="shared" ca="1" si="5"/>
        <v>#REF!</v>
      </c>
      <c r="P16" s="99" t="e">
        <f t="shared" ca="1" si="5"/>
        <v>#REF!</v>
      </c>
      <c r="Q16" s="99" t="e">
        <f t="shared" ca="1" si="5"/>
        <v>#REF!</v>
      </c>
      <c r="R16" s="99" t="e">
        <f t="shared" ca="1" si="5"/>
        <v>#REF!</v>
      </c>
      <c r="S16" s="99" t="e">
        <f t="shared" ca="1" si="5"/>
        <v>#REF!</v>
      </c>
      <c r="T16" s="99" t="e">
        <f t="shared" ca="1" si="5"/>
        <v>#REF!</v>
      </c>
    </row>
    <row r="17" spans="1:20" x14ac:dyDescent="0.2">
      <c r="A17" s="43" t="s">
        <v>213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</row>
    <row r="18" spans="1:20" x14ac:dyDescent="0.2">
      <c r="A18" s="47" t="s">
        <v>190</v>
      </c>
      <c r="B18" s="94"/>
      <c r="C18"/>
      <c r="D18" s="94">
        <f t="shared" ref="D18:T18" si="6">D$52</f>
        <v>53.476999999999997</v>
      </c>
      <c r="E18" s="94">
        <f t="shared" si="6"/>
        <v>56.747</v>
      </c>
      <c r="F18" s="180">
        <f t="shared" si="6"/>
        <v>55.4</v>
      </c>
      <c r="G18" s="180">
        <f t="shared" si="6"/>
        <v>54.354999999999997</v>
      </c>
      <c r="H18" s="180">
        <f t="shared" si="6"/>
        <v>55.298000000000002</v>
      </c>
      <c r="I18" s="180">
        <f t="shared" si="6"/>
        <v>58.302999999999997</v>
      </c>
      <c r="J18" s="180">
        <f t="shared" si="6"/>
        <v>61.879000000000005</v>
      </c>
      <c r="K18" s="99" t="e">
        <f t="shared" ca="1" si="6"/>
        <v>#REF!</v>
      </c>
      <c r="L18" s="99" t="e">
        <f t="shared" ca="1" si="6"/>
        <v>#REF!</v>
      </c>
      <c r="M18" s="99" t="e">
        <f t="shared" ca="1" si="6"/>
        <v>#REF!</v>
      </c>
      <c r="N18" s="99" t="e">
        <f t="shared" ca="1" si="6"/>
        <v>#REF!</v>
      </c>
      <c r="O18" s="99" t="e">
        <f t="shared" ca="1" si="6"/>
        <v>#REF!</v>
      </c>
      <c r="P18" s="99" t="e">
        <f t="shared" ca="1" si="6"/>
        <v>#REF!</v>
      </c>
      <c r="Q18" s="99" t="e">
        <f t="shared" ca="1" si="6"/>
        <v>#REF!</v>
      </c>
      <c r="R18" s="99" t="e">
        <f t="shared" ca="1" si="6"/>
        <v>#REF!</v>
      </c>
      <c r="S18" s="99" t="e">
        <f t="shared" ca="1" si="6"/>
        <v>#REF!</v>
      </c>
      <c r="T18" s="99" t="e">
        <f t="shared" ca="1" si="6"/>
        <v>#REF!</v>
      </c>
    </row>
    <row r="19" spans="1:20" x14ac:dyDescent="0.2">
      <c r="A19" s="47" t="s">
        <v>514</v>
      </c>
      <c r="B19" s="94"/>
      <c r="C19"/>
      <c r="D19" s="94">
        <f t="shared" ref="D19:T19" si="7">SUM(D$18,D$56,D$57,D$64)</f>
        <v>58.210999999999999</v>
      </c>
      <c r="E19" s="94">
        <f t="shared" si="7"/>
        <v>61.819000000000003</v>
      </c>
      <c r="F19" s="180">
        <f t="shared" si="7"/>
        <v>60.805999999999997</v>
      </c>
      <c r="G19" s="180">
        <f t="shared" si="7"/>
        <v>59.783000000000001</v>
      </c>
      <c r="H19" s="180">
        <f t="shared" si="7"/>
        <v>61.212000000000003</v>
      </c>
      <c r="I19" s="180">
        <f t="shared" si="7"/>
        <v>64.573999999999998</v>
      </c>
      <c r="J19" s="180">
        <f t="shared" si="7"/>
        <v>68.835000000000008</v>
      </c>
      <c r="K19" s="99" t="e">
        <f t="shared" ca="1" si="7"/>
        <v>#REF!</v>
      </c>
      <c r="L19" s="99" t="e">
        <f t="shared" ca="1" si="7"/>
        <v>#REF!</v>
      </c>
      <c r="M19" s="99" t="e">
        <f t="shared" ca="1" si="7"/>
        <v>#REF!</v>
      </c>
      <c r="N19" s="99" t="e">
        <f t="shared" ca="1" si="7"/>
        <v>#REF!</v>
      </c>
      <c r="O19" s="99" t="e">
        <f t="shared" ca="1" si="7"/>
        <v>#REF!</v>
      </c>
      <c r="P19" s="99" t="e">
        <f t="shared" ca="1" si="7"/>
        <v>#REF!</v>
      </c>
      <c r="Q19" s="99" t="e">
        <f t="shared" ca="1" si="7"/>
        <v>#REF!</v>
      </c>
      <c r="R19" s="99" t="e">
        <f t="shared" ca="1" si="7"/>
        <v>#REF!</v>
      </c>
      <c r="S19" s="99" t="e">
        <f t="shared" ca="1" si="7"/>
        <v>#REF!</v>
      </c>
      <c r="T19" s="99" t="e">
        <f t="shared" ca="1" si="7"/>
        <v>#REF!</v>
      </c>
    </row>
    <row r="20" spans="1:20" x14ac:dyDescent="0.2">
      <c r="A20" s="47" t="s">
        <v>515</v>
      </c>
      <c r="B20" s="94"/>
      <c r="C20"/>
      <c r="D20" s="94">
        <f t="shared" ref="D20:T20" ca="1" si="8">SUM(D$21,D$107)</f>
        <v>54.003000000000007</v>
      </c>
      <c r="E20" s="94">
        <f t="shared" ca="1" si="8"/>
        <v>56.997000000000007</v>
      </c>
      <c r="F20" s="180">
        <f t="shared" ca="1" si="8"/>
        <v>62.741</v>
      </c>
      <c r="G20" s="180">
        <f t="shared" ca="1" si="8"/>
        <v>65.427999999999997</v>
      </c>
      <c r="H20" s="180">
        <f t="shared" ca="1" si="8"/>
        <v>68.524000000000001</v>
      </c>
      <c r="I20" s="180">
        <f t="shared" ca="1" si="8"/>
        <v>71.953000000000003</v>
      </c>
      <c r="J20" s="180">
        <f t="shared" ca="1" si="8"/>
        <v>76.158000000000001</v>
      </c>
      <c r="K20" s="99">
        <f t="shared" ca="1" si="8"/>
        <v>79.476825522438105</v>
      </c>
      <c r="L20" s="99" t="e">
        <f t="shared" ca="1" si="8"/>
        <v>#REF!</v>
      </c>
      <c r="M20" s="99" t="e">
        <f t="shared" ca="1" si="8"/>
        <v>#REF!</v>
      </c>
      <c r="N20" s="99" t="e">
        <f t="shared" ca="1" si="8"/>
        <v>#REF!</v>
      </c>
      <c r="O20" s="99" t="e">
        <f t="shared" ca="1" si="8"/>
        <v>#REF!</v>
      </c>
      <c r="P20" s="99" t="e">
        <f t="shared" ca="1" si="8"/>
        <v>#REF!</v>
      </c>
      <c r="Q20" s="99" t="e">
        <f t="shared" ca="1" si="8"/>
        <v>#REF!</v>
      </c>
      <c r="R20" s="99" t="e">
        <f t="shared" ca="1" si="8"/>
        <v>#REF!</v>
      </c>
      <c r="S20" s="99" t="e">
        <f t="shared" ca="1" si="8"/>
        <v>#REF!</v>
      </c>
      <c r="T20" s="99" t="e">
        <f t="shared" ca="1" si="8"/>
        <v>#REF!</v>
      </c>
    </row>
    <row r="21" spans="1:20" x14ac:dyDescent="0.2">
      <c r="A21" s="47" t="s">
        <v>521</v>
      </c>
      <c r="B21" s="94"/>
      <c r="C21"/>
      <c r="D21" s="94">
        <f ca="1">SUM($D$69:D$69,D$77,D$89,D$95,D$103)</f>
        <v>51.674000000000007</v>
      </c>
      <c r="E21" s="94">
        <f ca="1">SUM($D$69:E$69,E$77,E$89,E$95,E$103)</f>
        <v>54.537000000000006</v>
      </c>
      <c r="F21" s="180">
        <f ca="1">SUM($D$69:F$69,F$77,F$89,F$95,F$103)</f>
        <v>60.176000000000002</v>
      </c>
      <c r="G21" s="180">
        <f ca="1">SUM($D$69:G$69,G$77,G$89,G$95,G$103)</f>
        <v>62.944000000000003</v>
      </c>
      <c r="H21" s="180">
        <f ca="1">SUM($D$69:H$69,H$77,H$89,H$95,H$103)</f>
        <v>65.539000000000001</v>
      </c>
      <c r="I21" s="180">
        <f ca="1">SUM($D$69:I$69,I$77,I$89,I$95,I$103)</f>
        <v>68.396000000000001</v>
      </c>
      <c r="J21" s="180">
        <f ca="1">SUM($D$69:J$69,J$77,J$89,J$95,J$103)</f>
        <v>71.835999999999999</v>
      </c>
      <c r="K21" s="99">
        <f ca="1">SUM($D$69:K$69,K$77,K$89,K$95,K$103)</f>
        <v>74.869485522438112</v>
      </c>
      <c r="L21" s="99">
        <f ca="1">SUM($D$69:L$69,L$77,L$89,L$95,L$103)</f>
        <v>77.68242359480071</v>
      </c>
      <c r="M21" s="99">
        <f ca="1">SUM($D$69:M$69,M$77,M$89,M$95,M$103)</f>
        <v>80.562143574253952</v>
      </c>
      <c r="N21" s="99">
        <f ca="1">SUM($D$69:N$69,N$77,N$89,N$95,N$103)</f>
        <v>83.551525071956775</v>
      </c>
      <c r="O21" s="99">
        <f ca="1">SUM($D$69:O$69,O$77,O$89,O$95,O$103)</f>
        <v>86.635958339664739</v>
      </c>
      <c r="P21" s="99">
        <f ca="1">SUM($D$69:P$69,P$77,P$89,P$95,P$103)</f>
        <v>89.736592029940283</v>
      </c>
      <c r="Q21" s="99">
        <f ca="1">SUM($D$69:Q$69,Q$77,Q$89,Q$95,Q$103)</f>
        <v>92.916348592192406</v>
      </c>
      <c r="R21" s="99">
        <f ca="1">SUM($D$69:R$69,R$77,R$89,R$95,R$103)</f>
        <v>96.296542611268833</v>
      </c>
      <c r="S21" s="99">
        <f ca="1">SUM($D$69:S$69,S$77,S$89,S$95,S$103)</f>
        <v>99.832037922980305</v>
      </c>
      <c r="T21" s="99">
        <f ca="1">SUM($D$69:T$69,T$77,T$89,T$95,T$103)</f>
        <v>103.4556898194698</v>
      </c>
    </row>
    <row r="22" spans="1:20" x14ac:dyDescent="0.2">
      <c r="A22" s="47" t="s">
        <v>516</v>
      </c>
      <c r="B22" s="94"/>
      <c r="C22"/>
      <c r="D22" s="94">
        <f>Data!C$114</f>
        <v>2.395</v>
      </c>
      <c r="E22" s="94">
        <f>Data!D$114</f>
        <v>-0.92900000000000005</v>
      </c>
      <c r="F22" s="180">
        <f>Data!E$114</f>
        <v>-3.01</v>
      </c>
      <c r="G22" s="180">
        <f>Data!F$114</f>
        <v>1.619</v>
      </c>
      <c r="H22" s="180">
        <f>Data!G$114</f>
        <v>1.869</v>
      </c>
      <c r="I22" s="180">
        <f>Data!H$114</f>
        <v>2.1230000000000002</v>
      </c>
      <c r="J22" s="180">
        <f>Data!I$114</f>
        <v>2.3980000000000001</v>
      </c>
      <c r="K22" s="99">
        <f>SUM(J$22,K$114-J$114)</f>
        <v>2.4588812002618501</v>
      </c>
      <c r="L22" s="99">
        <f t="shared" ref="L22:T22" si="9">SUM(K$22,L$114-K$114)</f>
        <v>2.7426856429336981</v>
      </c>
      <c r="M22" s="99">
        <f t="shared" si="9"/>
        <v>3.0435700556440617</v>
      </c>
      <c r="N22" s="99">
        <f t="shared" si="9"/>
        <v>3.3624923631201908</v>
      </c>
      <c r="O22" s="99">
        <f t="shared" si="9"/>
        <v>3.6995012485343701</v>
      </c>
      <c r="P22" s="99">
        <f t="shared" si="9"/>
        <v>4.0544140992624893</v>
      </c>
      <c r="Q22" s="99">
        <f t="shared" si="9"/>
        <v>4.4270695732987253</v>
      </c>
      <c r="R22" s="99">
        <f t="shared" si="9"/>
        <v>4.8152357628885794</v>
      </c>
      <c r="S22" s="99">
        <f t="shared" si="9"/>
        <v>5.216147762567994</v>
      </c>
      <c r="T22" s="99">
        <f t="shared" si="9"/>
        <v>5.6290018648857556</v>
      </c>
    </row>
    <row r="23" spans="1:20" x14ac:dyDescent="0.2">
      <c r="A23" s="47" t="s">
        <v>160</v>
      </c>
      <c r="B23" s="94"/>
      <c r="C23"/>
      <c r="D23" s="94">
        <f t="shared" ref="D23:T23" ca="1" si="10">D$19-D$20+D$22</f>
        <v>6.6029999999999909</v>
      </c>
      <c r="E23" s="94">
        <f t="shared" ca="1" si="10"/>
        <v>3.8929999999999954</v>
      </c>
      <c r="F23" s="180">
        <f t="shared" ca="1" si="10"/>
        <v>-4.9450000000000021</v>
      </c>
      <c r="G23" s="180">
        <f t="shared" ca="1" si="10"/>
        <v>-4.0259999999999962</v>
      </c>
      <c r="H23" s="180">
        <f t="shared" ca="1" si="10"/>
        <v>-5.4429999999999978</v>
      </c>
      <c r="I23" s="180">
        <f t="shared" ca="1" si="10"/>
        <v>-5.2560000000000047</v>
      </c>
      <c r="J23" s="180">
        <f t="shared" ca="1" si="10"/>
        <v>-4.9249999999999936</v>
      </c>
      <c r="K23" s="99" t="e">
        <f t="shared" ca="1" si="10"/>
        <v>#REF!</v>
      </c>
      <c r="L23" s="99" t="e">
        <f t="shared" ca="1" si="10"/>
        <v>#REF!</v>
      </c>
      <c r="M23" s="99" t="e">
        <f t="shared" ca="1" si="10"/>
        <v>#REF!</v>
      </c>
      <c r="N23" s="99" t="e">
        <f t="shared" ca="1" si="10"/>
        <v>#REF!</v>
      </c>
      <c r="O23" s="99" t="e">
        <f t="shared" ca="1" si="10"/>
        <v>#REF!</v>
      </c>
      <c r="P23" s="99" t="e">
        <f t="shared" ca="1" si="10"/>
        <v>#REF!</v>
      </c>
      <c r="Q23" s="99" t="e">
        <f t="shared" ca="1" si="10"/>
        <v>#REF!</v>
      </c>
      <c r="R23" s="99" t="e">
        <f t="shared" ca="1" si="10"/>
        <v>#REF!</v>
      </c>
      <c r="S23" s="99" t="e">
        <f t="shared" ca="1" si="10"/>
        <v>#REF!</v>
      </c>
      <c r="T23" s="99" t="e">
        <f t="shared" ca="1" si="10"/>
        <v>#REF!</v>
      </c>
    </row>
    <row r="24" spans="1:20" ht="15.75" customHeight="1" x14ac:dyDescent="0.25">
      <c r="A24" s="249" t="s">
        <v>638</v>
      </c>
      <c r="C24"/>
      <c r="D24" s="97"/>
      <c r="E24" s="97"/>
      <c r="F24" s="97"/>
      <c r="G24" s="97"/>
      <c r="H24" s="97"/>
      <c r="I24" s="97"/>
      <c r="J24" s="97"/>
      <c r="K24"/>
      <c r="L24"/>
      <c r="M24"/>
      <c r="N24"/>
      <c r="O24"/>
      <c r="P24"/>
      <c r="Q24"/>
      <c r="R24"/>
      <c r="S24"/>
    </row>
    <row r="25" spans="1:20" x14ac:dyDescent="0.2">
      <c r="A25" s="43" t="s">
        <v>212</v>
      </c>
      <c r="B25" s="95"/>
      <c r="C25"/>
      <c r="D25" s="95"/>
      <c r="E25" s="95"/>
      <c r="F25" s="95"/>
      <c r="G25" s="95"/>
      <c r="H25" s="95"/>
      <c r="I25" s="95"/>
      <c r="J25" s="95"/>
      <c r="K25" s="180"/>
      <c r="L25" s="180"/>
      <c r="M25" s="180"/>
      <c r="N25" s="180"/>
      <c r="O25" s="180"/>
      <c r="P25" s="180"/>
      <c r="Q25" s="180"/>
      <c r="R25" s="180"/>
      <c r="S25" s="180"/>
      <c r="T25" s="180"/>
    </row>
    <row r="26" spans="1:20" x14ac:dyDescent="0.2">
      <c r="A26" s="47" t="s">
        <v>845</v>
      </c>
      <c r="B26" s="95"/>
      <c r="C26"/>
      <c r="D26" s="94">
        <f ca="1">SUM(D$148,D$157,D$166,D$168,D$173,$D$175:D$175,D$183)</f>
        <v>180.34900000000002</v>
      </c>
      <c r="E26" s="94">
        <f ca="1">SUM(E$148,E$157,E$166,E$168,E$173,$D$175:E$175,E$183)</f>
        <v>200.83500000000001</v>
      </c>
      <c r="F26" s="180">
        <f ca="1">SUM(F$148,F$157,F$166,F$168,F$173,$D$175:F$175,F$183)</f>
        <v>206.48699999999999</v>
      </c>
      <c r="G26" s="180">
        <f ca="1">SUM(G$148,G$157,G$166,G$168,G$173,$D$175:G$175,G$183)</f>
        <v>212.24899999999997</v>
      </c>
      <c r="H26" s="180">
        <f ca="1">SUM(H$148,H$157,H$166,H$168,H$173,$D$175:H$175,H$183)</f>
        <v>222.69499999999999</v>
      </c>
      <c r="I26" s="180">
        <f ca="1">SUM(I$148,I$157,I$166,I$168,I$173,$D$175:I$175,I$183)</f>
        <v>231.08500000000001</v>
      </c>
      <c r="J26" s="180">
        <f ca="1">SUM(J$148,J$157,J$166,J$168,J$173,$D$175:J$175,J$183)</f>
        <v>242.07100000000003</v>
      </c>
      <c r="K26" s="99" t="e">
        <f ca="1">SUM(K$148,K$157,K$166,K$168,K$173,$D$175:K$175,K$183)</f>
        <v>#REF!</v>
      </c>
      <c r="L26" s="99" t="e">
        <f ca="1">SUM(L$148,L$157,L$166,L$168,L$173,$D$175:L$175,L$183)</f>
        <v>#REF!</v>
      </c>
      <c r="M26" s="99" t="e">
        <f ca="1">SUM(M$148,M$157,M$166,M$168,M$173,$D$175:M$175,M$183)</f>
        <v>#REF!</v>
      </c>
      <c r="N26" s="99" t="e">
        <f ca="1">SUM(N$148,N$157,N$166,N$168,N$173,$D$175:N$175,N$183)</f>
        <v>#REF!</v>
      </c>
      <c r="O26" s="99" t="e">
        <f ca="1">SUM(O$148,O$157,O$166,O$168,O$173,$D$175:O$175,O$183)</f>
        <v>#REF!</v>
      </c>
      <c r="P26" s="99" t="e">
        <f ca="1">SUM(P$148,P$157,P$166,P$168,P$173,$D$175:P$175,P$183)</f>
        <v>#REF!</v>
      </c>
      <c r="Q26" s="99" t="e">
        <f ca="1">SUM(Q$148,Q$157,Q$166,Q$168,Q$173,$D$175:Q$175,Q$183)</f>
        <v>#REF!</v>
      </c>
      <c r="R26" s="99" t="e">
        <f ca="1">SUM(R$148,R$157,R$166,R$168,R$173,$D$175:R$175,R$183)</f>
        <v>#REF!</v>
      </c>
      <c r="S26" s="99" t="e">
        <f ca="1">SUM(S$148,S$157,S$166,S$168,S$173,$D$175:S$175,S$183)</f>
        <v>#REF!</v>
      </c>
      <c r="T26" s="99" t="e">
        <f ca="1">SUM(T$148,T$157,T$166,T$168,T$173,$D$175:T$175,T$183)</f>
        <v>#REF!</v>
      </c>
    </row>
    <row r="27" spans="1:20" x14ac:dyDescent="0.2">
      <c r="A27" s="47" t="s">
        <v>161</v>
      </c>
      <c r="B27" s="95"/>
      <c r="C27"/>
      <c r="D27" s="94">
        <f t="shared" ref="D27:T27" si="11">SUM(D$199,D$196)</f>
        <v>41.897999999999996</v>
      </c>
      <c r="E27" s="94">
        <f t="shared" si="11"/>
        <v>46.11</v>
      </c>
      <c r="F27" s="180">
        <f t="shared" si="11"/>
        <v>51.317</v>
      </c>
      <c r="G27" s="180">
        <f t="shared" si="11"/>
        <v>57.06</v>
      </c>
      <c r="H27" s="180">
        <f t="shared" si="11"/>
        <v>70.701999999999998</v>
      </c>
      <c r="I27" s="180">
        <f t="shared" si="11"/>
        <v>81.509</v>
      </c>
      <c r="J27" s="180">
        <f t="shared" si="11"/>
        <v>94.339999999999989</v>
      </c>
      <c r="K27" s="99" t="e">
        <f t="shared" ca="1" si="11"/>
        <v>#REF!</v>
      </c>
      <c r="L27" s="99" t="e">
        <f t="shared" ca="1" si="11"/>
        <v>#REF!</v>
      </c>
      <c r="M27" s="99" t="e">
        <f t="shared" ca="1" si="11"/>
        <v>#REF!</v>
      </c>
      <c r="N27" s="99" t="e">
        <f t="shared" ca="1" si="11"/>
        <v>#REF!</v>
      </c>
      <c r="O27" s="99" t="e">
        <f t="shared" ca="1" si="11"/>
        <v>#REF!</v>
      </c>
      <c r="P27" s="99" t="e">
        <f t="shared" ca="1" si="11"/>
        <v>#REF!</v>
      </c>
      <c r="Q27" s="99" t="e">
        <f t="shared" ca="1" si="11"/>
        <v>#REF!</v>
      </c>
      <c r="R27" s="99" t="e">
        <f t="shared" ca="1" si="11"/>
        <v>#REF!</v>
      </c>
      <c r="S27" s="99" t="e">
        <f t="shared" ca="1" si="11"/>
        <v>#REF!</v>
      </c>
      <c r="T27" s="99" t="e">
        <f t="shared" ca="1" si="11"/>
        <v>#REF!</v>
      </c>
    </row>
    <row r="28" spans="1:20" x14ac:dyDescent="0.2">
      <c r="A28" s="47" t="s">
        <v>238</v>
      </c>
      <c r="B28" s="95"/>
      <c r="C28"/>
      <c r="D28" s="94">
        <f t="shared" ref="D28:T28" si="12">D$194</f>
        <v>41.623999999999995</v>
      </c>
      <c r="E28" s="94">
        <f t="shared" si="12"/>
        <v>49.210999999999999</v>
      </c>
      <c r="F28" s="180">
        <f t="shared" si="12"/>
        <v>53.639000000000003</v>
      </c>
      <c r="G28" s="180">
        <f t="shared" si="12"/>
        <v>55.642000000000003</v>
      </c>
      <c r="H28" s="180">
        <f t="shared" si="12"/>
        <v>56.042000000000002</v>
      </c>
      <c r="I28" s="180">
        <f t="shared" si="12"/>
        <v>57.227000000000004</v>
      </c>
      <c r="J28" s="180">
        <f t="shared" si="12"/>
        <v>58.710000000000008</v>
      </c>
      <c r="K28" s="99">
        <f t="shared" ca="1" si="12"/>
        <v>60.640249328527673</v>
      </c>
      <c r="L28" s="99">
        <f t="shared" ca="1" si="12"/>
        <v>62.655250967163312</v>
      </c>
      <c r="M28" s="99">
        <f t="shared" ca="1" si="12"/>
        <v>64.936898946864204</v>
      </c>
      <c r="N28" s="99">
        <f t="shared" ca="1" si="12"/>
        <v>67.323096398911815</v>
      </c>
      <c r="O28" s="99">
        <f t="shared" ca="1" si="12"/>
        <v>69.816875161235956</v>
      </c>
      <c r="P28" s="99">
        <f t="shared" ca="1" si="12"/>
        <v>72.435052793655927</v>
      </c>
      <c r="Q28" s="99">
        <f t="shared" ca="1" si="12"/>
        <v>75.195237085928227</v>
      </c>
      <c r="R28" s="99">
        <f t="shared" ca="1" si="12"/>
        <v>78.097720390013706</v>
      </c>
      <c r="S28" s="99">
        <f t="shared" ca="1" si="12"/>
        <v>81.163257205763912</v>
      </c>
      <c r="T28" s="99">
        <f t="shared" ca="1" si="12"/>
        <v>84.394681927544141</v>
      </c>
    </row>
    <row r="29" spans="1:20" x14ac:dyDescent="0.2">
      <c r="A29" s="47" t="s">
        <v>162</v>
      </c>
      <c r="B29" s="95"/>
      <c r="C29"/>
      <c r="D29" s="94">
        <f t="shared" ref="D29:T29" ca="1" si="13">D$26-SUM(D$27,D$28)</f>
        <v>96.827000000000027</v>
      </c>
      <c r="E29" s="94">
        <f t="shared" ca="1" si="13"/>
        <v>105.51400000000001</v>
      </c>
      <c r="F29" s="180">
        <f t="shared" ca="1" si="13"/>
        <v>101.53099999999999</v>
      </c>
      <c r="G29" s="180">
        <f t="shared" ca="1" si="13"/>
        <v>99.546999999999969</v>
      </c>
      <c r="H29" s="180">
        <f t="shared" ca="1" si="13"/>
        <v>95.950999999999993</v>
      </c>
      <c r="I29" s="180">
        <f t="shared" ca="1" si="13"/>
        <v>92.349000000000018</v>
      </c>
      <c r="J29" s="180">
        <f t="shared" ca="1" si="13"/>
        <v>89.021000000000015</v>
      </c>
      <c r="K29" s="99" t="e">
        <f t="shared" ca="1" si="13"/>
        <v>#REF!</v>
      </c>
      <c r="L29" s="99" t="e">
        <f t="shared" ca="1" si="13"/>
        <v>#REF!</v>
      </c>
      <c r="M29" s="99" t="e">
        <f t="shared" ca="1" si="13"/>
        <v>#REF!</v>
      </c>
      <c r="N29" s="99" t="e">
        <f t="shared" ca="1" si="13"/>
        <v>#REF!</v>
      </c>
      <c r="O29" s="99" t="e">
        <f t="shared" ca="1" si="13"/>
        <v>#REF!</v>
      </c>
      <c r="P29" s="99" t="e">
        <f t="shared" ca="1" si="13"/>
        <v>#REF!</v>
      </c>
      <c r="Q29" s="99" t="e">
        <f t="shared" ca="1" si="13"/>
        <v>#REF!</v>
      </c>
      <c r="R29" s="99" t="e">
        <f t="shared" ca="1" si="13"/>
        <v>#REF!</v>
      </c>
      <c r="S29" s="99" t="e">
        <f t="shared" ca="1" si="13"/>
        <v>#REF!</v>
      </c>
      <c r="T29" s="99" t="e">
        <f t="shared" ca="1" si="13"/>
        <v>#REF!</v>
      </c>
    </row>
    <row r="30" spans="1:20" x14ac:dyDescent="0.2">
      <c r="A30" s="47" t="s">
        <v>276</v>
      </c>
      <c r="B30" s="95"/>
      <c r="C30"/>
      <c r="D30" s="94">
        <f t="shared" ref="D30:T30" si="14">D$203</f>
        <v>36.805</v>
      </c>
      <c r="E30" s="94">
        <f t="shared" si="14"/>
        <v>37.744999999999997</v>
      </c>
      <c r="F30" s="180">
        <f t="shared" si="14"/>
        <v>41.140999999999998</v>
      </c>
      <c r="G30" s="180">
        <f t="shared" si="14"/>
        <v>45.142999999999994</v>
      </c>
      <c r="H30" s="180">
        <f t="shared" si="14"/>
        <v>56.682000000000002</v>
      </c>
      <c r="I30" s="180">
        <f t="shared" si="14"/>
        <v>66.805999999999997</v>
      </c>
      <c r="J30" s="180">
        <f t="shared" si="14"/>
        <v>77.995999999999995</v>
      </c>
      <c r="K30" s="99" t="e">
        <f t="shared" ca="1" si="14"/>
        <v>#REF!</v>
      </c>
      <c r="L30" s="99" t="e">
        <f t="shared" ca="1" si="14"/>
        <v>#REF!</v>
      </c>
      <c r="M30" s="99" t="e">
        <f t="shared" ca="1" si="14"/>
        <v>#REF!</v>
      </c>
      <c r="N30" s="99" t="e">
        <f t="shared" ca="1" si="14"/>
        <v>#REF!</v>
      </c>
      <c r="O30" s="99" t="e">
        <f t="shared" ca="1" si="14"/>
        <v>#REF!</v>
      </c>
      <c r="P30" s="99" t="e">
        <f t="shared" ca="1" si="14"/>
        <v>#REF!</v>
      </c>
      <c r="Q30" s="99" t="e">
        <f t="shared" ca="1" si="14"/>
        <v>#REF!</v>
      </c>
      <c r="R30" s="99" t="e">
        <f t="shared" ca="1" si="14"/>
        <v>#REF!</v>
      </c>
      <c r="S30" s="99" t="e">
        <f t="shared" ca="1" si="14"/>
        <v>#REF!</v>
      </c>
      <c r="T30" s="99" t="e">
        <f t="shared" ca="1" si="14"/>
        <v>#REF!</v>
      </c>
    </row>
    <row r="31" spans="1:20" x14ac:dyDescent="0.2">
      <c r="A31" s="47" t="s">
        <v>705</v>
      </c>
      <c r="B31" s="95"/>
      <c r="C31"/>
      <c r="D31" s="94">
        <f t="shared" ref="D31:T31" si="15">D$203-D$205</f>
        <v>30.692999999999998</v>
      </c>
      <c r="E31" s="94">
        <f t="shared" si="15"/>
        <v>31.389999999999997</v>
      </c>
      <c r="F31" s="180">
        <f t="shared" si="15"/>
        <v>34.786000000000001</v>
      </c>
      <c r="G31" s="180">
        <f t="shared" si="15"/>
        <v>38.787999999999997</v>
      </c>
      <c r="H31" s="180">
        <f t="shared" si="15"/>
        <v>50.326999999999998</v>
      </c>
      <c r="I31" s="180">
        <f t="shared" si="15"/>
        <v>60.450999999999993</v>
      </c>
      <c r="J31" s="180">
        <f t="shared" si="15"/>
        <v>71.640999999999991</v>
      </c>
      <c r="K31" s="99" t="e">
        <f t="shared" ca="1" si="15"/>
        <v>#REF!</v>
      </c>
      <c r="L31" s="99" t="e">
        <f t="shared" ca="1" si="15"/>
        <v>#REF!</v>
      </c>
      <c r="M31" s="99" t="e">
        <f t="shared" ca="1" si="15"/>
        <v>#REF!</v>
      </c>
      <c r="N31" s="99" t="e">
        <f t="shared" ca="1" si="15"/>
        <v>#REF!</v>
      </c>
      <c r="O31" s="99" t="e">
        <f t="shared" ca="1" si="15"/>
        <v>#REF!</v>
      </c>
      <c r="P31" s="99" t="e">
        <f t="shared" ca="1" si="15"/>
        <v>#REF!</v>
      </c>
      <c r="Q31" s="99" t="e">
        <f t="shared" ca="1" si="15"/>
        <v>#REF!</v>
      </c>
      <c r="R31" s="99" t="e">
        <f t="shared" ca="1" si="15"/>
        <v>#REF!</v>
      </c>
      <c r="S31" s="99" t="e">
        <f t="shared" ca="1" si="15"/>
        <v>#REF!</v>
      </c>
      <c r="T31" s="99" t="e">
        <f t="shared" ca="1" si="15"/>
        <v>#REF!</v>
      </c>
    </row>
    <row r="32" spans="1:20" x14ac:dyDescent="0.2">
      <c r="A32" s="43" t="s">
        <v>214</v>
      </c>
      <c r="B32" s="95"/>
      <c r="C32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</row>
    <row r="33" spans="1:20" x14ac:dyDescent="0.2">
      <c r="A33" s="47" t="s">
        <v>845</v>
      </c>
      <c r="B33" s="95"/>
      <c r="C33"/>
      <c r="D33" s="94">
        <f ca="1">SUM(D$144,D$157,D$163,D$167,D$171,$D$175:D$175,D$182)</f>
        <v>105.21299999999999</v>
      </c>
      <c r="E33" s="94">
        <f ca="1">SUM(E$144,E$157,E$163,E$167,E$171,$D$175:E$175,E$182)</f>
        <v>116.18199999999999</v>
      </c>
      <c r="F33" s="180">
        <f ca="1">SUM(F$144,F$157,F$163,F$167,F$171,$D$175:F$175,F$182)</f>
        <v>115.982</v>
      </c>
      <c r="G33" s="180">
        <f ca="1">SUM(G$144,G$157,G$163,G$167,G$171,$D$175:G$175,G$182)</f>
        <v>116.7</v>
      </c>
      <c r="H33" s="180">
        <f ca="1">SUM(H$144,H$157,H$163,H$167,H$171,$D$175:H$175,H$182)</f>
        <v>122.72799999999999</v>
      </c>
      <c r="I33" s="180">
        <f ca="1">SUM(I$144,I$157,I$163,I$167,I$171,$D$175:I$175,I$182)</f>
        <v>127.464</v>
      </c>
      <c r="J33" s="180">
        <f ca="1">SUM(J$144,J$157,J$163,J$167,J$171,$D$175:J$175,J$182)</f>
        <v>133.78900000000002</v>
      </c>
      <c r="K33" s="99" t="e">
        <f ca="1">SUM(K$144,K$157,K$163,K$167,K$171,$D$175:K$175,K$182)</f>
        <v>#REF!</v>
      </c>
      <c r="L33" s="99" t="e">
        <f ca="1">SUM(L$144,L$157,L$163,L$167,L$171,$D$175:L$175,L$182)</f>
        <v>#REF!</v>
      </c>
      <c r="M33" s="99" t="e">
        <f ca="1">SUM(M$144,M$157,M$163,M$167,M$171,$D$175:M$175,M$182)</f>
        <v>#REF!</v>
      </c>
      <c r="N33" s="99" t="e">
        <f ca="1">SUM(N$144,N$157,N$163,N$167,N$171,$D$175:N$175,N$182)</f>
        <v>#REF!</v>
      </c>
      <c r="O33" s="99" t="e">
        <f ca="1">SUM(O$144,O$157,O$163,O$167,O$171,$D$175:O$175,O$182)</f>
        <v>#REF!</v>
      </c>
      <c r="P33" s="99" t="e">
        <f ca="1">SUM(P$144,P$157,P$163,P$167,P$171,$D$175:P$175,P$182)</f>
        <v>#REF!</v>
      </c>
      <c r="Q33" s="99" t="e">
        <f ca="1">SUM(Q$144,Q$157,Q$163,Q$167,Q$171,$D$175:Q$175,Q$182)</f>
        <v>#REF!</v>
      </c>
      <c r="R33" s="99" t="e">
        <f ca="1">SUM(R$144,R$157,R$163,R$167,R$171,$D$175:R$175,R$182)</f>
        <v>#REF!</v>
      </c>
      <c r="S33" s="99" t="e">
        <f ca="1">SUM(S$144,S$157,S$163,S$167,S$171,$D$175:S$175,S$182)</f>
        <v>#REF!</v>
      </c>
      <c r="T33" s="99" t="e">
        <f ca="1">SUM(T$144,T$157,T$163,T$167,T$171,$D$175:T$175,T$182)</f>
        <v>#REF!</v>
      </c>
    </row>
    <row r="34" spans="1:20" x14ac:dyDescent="0.2">
      <c r="A34" s="47" t="s">
        <v>161</v>
      </c>
      <c r="B34" s="139"/>
      <c r="C34"/>
      <c r="D34" s="94">
        <f t="shared" ref="D34:T34" si="16">D$201</f>
        <v>35.892000000000003</v>
      </c>
      <c r="E34" s="94">
        <f t="shared" si="16"/>
        <v>37.335999999999999</v>
      </c>
      <c r="F34" s="180">
        <f t="shared" si="16"/>
        <v>40.491999999999997</v>
      </c>
      <c r="G34" s="180">
        <f t="shared" si="16"/>
        <v>44.385999999999996</v>
      </c>
      <c r="H34" s="180">
        <f t="shared" si="16"/>
        <v>55.801000000000002</v>
      </c>
      <c r="I34" s="180">
        <f t="shared" si="16"/>
        <v>65.774000000000001</v>
      </c>
      <c r="J34" s="180">
        <f t="shared" si="16"/>
        <v>76.789000000000001</v>
      </c>
      <c r="K34" s="99" t="e">
        <f t="shared" ca="1" si="16"/>
        <v>#REF!</v>
      </c>
      <c r="L34" s="99" t="e">
        <f t="shared" ca="1" si="16"/>
        <v>#REF!</v>
      </c>
      <c r="M34" s="99" t="e">
        <f t="shared" ca="1" si="16"/>
        <v>#REF!</v>
      </c>
      <c r="N34" s="99" t="e">
        <f t="shared" ca="1" si="16"/>
        <v>#REF!</v>
      </c>
      <c r="O34" s="99" t="e">
        <f t="shared" ca="1" si="16"/>
        <v>#REF!</v>
      </c>
      <c r="P34" s="99" t="e">
        <f t="shared" ca="1" si="16"/>
        <v>#REF!</v>
      </c>
      <c r="Q34" s="99" t="e">
        <f t="shared" ca="1" si="16"/>
        <v>#REF!</v>
      </c>
      <c r="R34" s="99" t="e">
        <f t="shared" ca="1" si="16"/>
        <v>#REF!</v>
      </c>
      <c r="S34" s="99" t="e">
        <f t="shared" ca="1" si="16"/>
        <v>#REF!</v>
      </c>
      <c r="T34" s="99" t="e">
        <f t="shared" ca="1" si="16"/>
        <v>#REF!</v>
      </c>
    </row>
    <row r="35" spans="1:20" x14ac:dyDescent="0.2">
      <c r="A35" s="47" t="s">
        <v>238</v>
      </c>
      <c r="B35" s="139"/>
      <c r="C35"/>
      <c r="D35" s="94">
        <f t="shared" ref="D35:T35" si="17">D$191</f>
        <v>18.538</v>
      </c>
      <c r="E35" s="94">
        <f t="shared" si="17"/>
        <v>22.032</v>
      </c>
      <c r="F35" s="180">
        <f t="shared" si="17"/>
        <v>23.395999999999997</v>
      </c>
      <c r="G35" s="180">
        <f t="shared" si="17"/>
        <v>24.224999999999998</v>
      </c>
      <c r="H35" s="180">
        <f t="shared" si="17"/>
        <v>24.251000000000001</v>
      </c>
      <c r="I35" s="180">
        <f t="shared" si="17"/>
        <v>24.229999999999997</v>
      </c>
      <c r="J35" s="180">
        <f t="shared" si="17"/>
        <v>24.422000000000001</v>
      </c>
      <c r="K35" s="99">
        <f t="shared" ca="1" si="17"/>
        <v>24.493668744633226</v>
      </c>
      <c r="L35" s="99">
        <f t="shared" ca="1" si="17"/>
        <v>24.541181392655837</v>
      </c>
      <c r="M35" s="99">
        <f t="shared" ca="1" si="17"/>
        <v>24.73986595095321</v>
      </c>
      <c r="N35" s="99">
        <f t="shared" ca="1" si="17"/>
        <v>24.92065981846558</v>
      </c>
      <c r="O35" s="99">
        <f t="shared" ca="1" si="17"/>
        <v>25.079204982127756</v>
      </c>
      <c r="P35" s="99">
        <f t="shared" ca="1" si="17"/>
        <v>25.224479129402773</v>
      </c>
      <c r="Q35" s="99">
        <f t="shared" ca="1" si="17"/>
        <v>25.365772670035135</v>
      </c>
      <c r="R35" s="99">
        <f t="shared" ca="1" si="17"/>
        <v>25.494553901590297</v>
      </c>
      <c r="S35" s="99">
        <f t="shared" ca="1" si="17"/>
        <v>25.622215645210385</v>
      </c>
      <c r="T35" s="99">
        <f t="shared" ca="1" si="17"/>
        <v>25.741660150048673</v>
      </c>
    </row>
    <row r="36" spans="1:20" x14ac:dyDescent="0.2">
      <c r="A36" s="47" t="s">
        <v>162</v>
      </c>
      <c r="B36" s="139"/>
      <c r="C36"/>
      <c r="D36" s="94">
        <f t="shared" ref="D36:T36" ca="1" si="18">D$33-SUM(D$34,D$35)</f>
        <v>50.782999999999987</v>
      </c>
      <c r="E36" s="94">
        <f t="shared" ca="1" si="18"/>
        <v>56.813999999999993</v>
      </c>
      <c r="F36" s="180">
        <f t="shared" ca="1" si="18"/>
        <v>52.094000000000008</v>
      </c>
      <c r="G36" s="180">
        <f t="shared" ca="1" si="18"/>
        <v>48.089000000000013</v>
      </c>
      <c r="H36" s="180">
        <f t="shared" ca="1" si="18"/>
        <v>42.675999999999988</v>
      </c>
      <c r="I36" s="180">
        <f t="shared" ca="1" si="18"/>
        <v>37.460000000000008</v>
      </c>
      <c r="J36" s="180">
        <f t="shared" ca="1" si="18"/>
        <v>32.578000000000017</v>
      </c>
      <c r="K36" s="99" t="e">
        <f t="shared" ca="1" si="18"/>
        <v>#REF!</v>
      </c>
      <c r="L36" s="99" t="e">
        <f t="shared" ca="1" si="18"/>
        <v>#REF!</v>
      </c>
      <c r="M36" s="99" t="e">
        <f t="shared" ca="1" si="18"/>
        <v>#REF!</v>
      </c>
      <c r="N36" s="99" t="e">
        <f t="shared" ca="1" si="18"/>
        <v>#REF!</v>
      </c>
      <c r="O36" s="99" t="e">
        <f t="shared" ca="1" si="18"/>
        <v>#REF!</v>
      </c>
      <c r="P36" s="99" t="e">
        <f t="shared" ca="1" si="18"/>
        <v>#REF!</v>
      </c>
      <c r="Q36" s="99" t="e">
        <f t="shared" ca="1" si="18"/>
        <v>#REF!</v>
      </c>
      <c r="R36" s="99" t="e">
        <f t="shared" ca="1" si="18"/>
        <v>#REF!</v>
      </c>
      <c r="S36" s="99" t="e">
        <f t="shared" ca="1" si="18"/>
        <v>#REF!</v>
      </c>
      <c r="T36" s="99" t="e">
        <f t="shared" ca="1" si="18"/>
        <v>#REF!</v>
      </c>
    </row>
    <row r="37" spans="1:20" x14ac:dyDescent="0.2">
      <c r="A37" s="47" t="s">
        <v>406</v>
      </c>
      <c r="B37" s="139"/>
      <c r="C37"/>
      <c r="D37" s="94">
        <f>Data!C$100</f>
        <v>4.1090000000000018</v>
      </c>
      <c r="E37" s="94">
        <f>Data!D$100</f>
        <v>-1.9E-2</v>
      </c>
      <c r="F37" s="180">
        <f>Data!E$100</f>
        <v>5.6310000000000002</v>
      </c>
      <c r="G37" s="180">
        <f>Data!F$100</f>
        <v>13.348999999999995</v>
      </c>
      <c r="H37" s="180">
        <f>Data!G$100</f>
        <v>23.524000000000001</v>
      </c>
      <c r="I37" s="180">
        <f>Data!H$100</f>
        <v>33.860999999999997</v>
      </c>
      <c r="J37" s="180">
        <f>Data!I$100</f>
        <v>44.74799999999999</v>
      </c>
      <c r="K37" s="99" t="e">
        <f ca="1">J$37+(K$30-J$30)-SUM(K$141-J$141,K$157-J$157,K$163-J$163)</f>
        <v>#REF!</v>
      </c>
      <c r="L37" s="99" t="e">
        <f t="shared" ref="L37:T37" ca="1" si="19">K$37+(L$30-K$30)-SUM(L$141-K$141,L$157-K$157,L$163-K$163)</f>
        <v>#REF!</v>
      </c>
      <c r="M37" s="99" t="e">
        <f t="shared" ca="1" si="19"/>
        <v>#REF!</v>
      </c>
      <c r="N37" s="99" t="e">
        <f t="shared" ca="1" si="19"/>
        <v>#REF!</v>
      </c>
      <c r="O37" s="99" t="e">
        <f t="shared" ca="1" si="19"/>
        <v>#REF!</v>
      </c>
      <c r="P37" s="99" t="e">
        <f t="shared" ca="1" si="19"/>
        <v>#REF!</v>
      </c>
      <c r="Q37" s="99" t="e">
        <f t="shared" ca="1" si="19"/>
        <v>#REF!</v>
      </c>
      <c r="R37" s="99" t="e">
        <f t="shared" ca="1" si="19"/>
        <v>#REF!</v>
      </c>
      <c r="S37" s="99" t="e">
        <f t="shared" ca="1" si="19"/>
        <v>#REF!</v>
      </c>
      <c r="T37" s="99" t="e">
        <f t="shared" ca="1" si="19"/>
        <v>#REF!</v>
      </c>
    </row>
    <row r="38" spans="1:20" x14ac:dyDescent="0.2">
      <c r="A38" s="47" t="s">
        <v>904</v>
      </c>
      <c r="B38" s="95"/>
      <c r="C38"/>
      <c r="D38" s="94">
        <f t="shared" ref="D38:T38" si="20">D$37-D$117</f>
        <v>-8.863999999999999</v>
      </c>
      <c r="E38" s="94">
        <f t="shared" si="20"/>
        <v>-14.231000000000002</v>
      </c>
      <c r="F38" s="180">
        <f t="shared" si="20"/>
        <v>-8.7040000000000024</v>
      </c>
      <c r="G38" s="180">
        <f t="shared" si="20"/>
        <v>-4.4380000000000077</v>
      </c>
      <c r="H38" s="180">
        <f t="shared" si="20"/>
        <v>2.0380000000000003</v>
      </c>
      <c r="I38" s="180">
        <f t="shared" si="20"/>
        <v>8.3939999999999984</v>
      </c>
      <c r="J38" s="180">
        <f t="shared" si="20"/>
        <v>14.943999999999988</v>
      </c>
      <c r="K38" s="99" t="e">
        <f t="shared" ca="1" si="20"/>
        <v>#REF!</v>
      </c>
      <c r="L38" s="99" t="e">
        <f t="shared" ca="1" si="20"/>
        <v>#REF!</v>
      </c>
      <c r="M38" s="99" t="e">
        <f t="shared" ca="1" si="20"/>
        <v>#REF!</v>
      </c>
      <c r="N38" s="99" t="e">
        <f t="shared" ca="1" si="20"/>
        <v>#REF!</v>
      </c>
      <c r="O38" s="99" t="e">
        <f t="shared" ca="1" si="20"/>
        <v>#REF!</v>
      </c>
      <c r="P38" s="99" t="e">
        <f t="shared" ca="1" si="20"/>
        <v>#REF!</v>
      </c>
      <c r="Q38" s="99" t="e">
        <f t="shared" ca="1" si="20"/>
        <v>#REF!</v>
      </c>
      <c r="R38" s="99" t="e">
        <f t="shared" ca="1" si="20"/>
        <v>#REF!</v>
      </c>
      <c r="S38" s="99" t="e">
        <f t="shared" ca="1" si="20"/>
        <v>#REF!</v>
      </c>
      <c r="T38" s="99" t="e">
        <f t="shared" ca="1" si="20"/>
        <v>#REF!</v>
      </c>
    </row>
    <row r="39" spans="1:20" ht="13.5" x14ac:dyDescent="0.25">
      <c r="A39" s="254" t="s">
        <v>846</v>
      </c>
      <c r="B39" s="60"/>
      <c r="C39"/>
      <c r="D39" s="94"/>
      <c r="E39" s="94"/>
      <c r="F39" s="99"/>
      <c r="G39" s="99"/>
      <c r="H39" s="99"/>
      <c r="I39" s="99"/>
      <c r="J39" s="99"/>
      <c r="T39" s="99"/>
    </row>
    <row r="40" spans="1:20" x14ac:dyDescent="0.2">
      <c r="A40" s="47" t="s">
        <v>512</v>
      </c>
      <c r="B40" s="96"/>
      <c r="C40"/>
      <c r="D40" s="279" t="str">
        <f ca="1">IF(ROUND(Data!C$34-D$13,3)=0,"OK","ERROR")</f>
        <v>OK</v>
      </c>
      <c r="E40" s="279" t="str">
        <f ca="1">IF(ROUND(Data!D$34-E$13,3)=0,"OK","ERROR")</f>
        <v>OK</v>
      </c>
      <c r="F40" s="255" t="str">
        <f ca="1">IF(ROUND(Data!E$34-F$13,3)=0,"OK","ERROR")</f>
        <v>OK</v>
      </c>
      <c r="G40" s="255" t="str">
        <f ca="1">IF(ROUND(Data!F$34-G$13,3)=0,"OK","ERROR")</f>
        <v>OK</v>
      </c>
      <c r="H40" s="255" t="str">
        <f ca="1">IF(ROUND(Data!G$34-H$13,3)=0,"OK","ERROR")</f>
        <v>OK</v>
      </c>
      <c r="I40" s="255" t="str">
        <f ca="1">IF(ROUND(Data!H$34-I$13,3)=0,"OK","ERROR")</f>
        <v>OK</v>
      </c>
      <c r="J40" s="255" t="str">
        <f ca="1">IF(ROUND(Data!I$34-J$13,3)=0,"OK","ERROR")</f>
        <v>OK</v>
      </c>
      <c r="T40" s="99"/>
    </row>
    <row r="41" spans="1:20" x14ac:dyDescent="0.2">
      <c r="A41" s="47" t="s">
        <v>847</v>
      </c>
      <c r="B41" s="117"/>
      <c r="C41"/>
      <c r="D41" s="279" t="str">
        <f ca="1">IF(ROUND(Data!C$115-D$23,3)=0,"OK","ERROR")</f>
        <v>OK</v>
      </c>
      <c r="E41" s="279" t="str">
        <f ca="1">IF(ROUND(Data!D$115-E$23,3)=0,"OK","ERROR")</f>
        <v>OK</v>
      </c>
      <c r="F41" s="255" t="str">
        <f ca="1">IF(ROUND(Data!E$115-F$23,3)=0,"OK","ERROR")</f>
        <v>OK</v>
      </c>
      <c r="G41" s="255" t="str">
        <f ca="1">IF(ROUND(Data!F$115-G$23,3)=0,"OK","ERROR")</f>
        <v>OK</v>
      </c>
      <c r="H41" s="255" t="str">
        <f ca="1">IF(ROUND(Data!G$115-H$23,3)=0,"OK","ERROR")</f>
        <v>OK</v>
      </c>
      <c r="I41" s="255" t="str">
        <f ca="1">IF(ROUND(Data!H$115-I$23,3)=0,"OK","ERROR")</f>
        <v>OK</v>
      </c>
      <c r="J41" s="255" t="str">
        <f ca="1">IF(ROUND(Data!I$115-J$23,3)=0,"OK","ERROR")</f>
        <v>OK</v>
      </c>
      <c r="K41" s="256"/>
      <c r="L41" s="256"/>
      <c r="M41" s="256"/>
      <c r="N41" s="256"/>
      <c r="O41" s="256"/>
      <c r="P41" s="256"/>
      <c r="Q41" s="256"/>
      <c r="R41" s="256"/>
      <c r="S41" s="256"/>
      <c r="T41" s="256"/>
    </row>
    <row r="42" spans="1:20" x14ac:dyDescent="0.2">
      <c r="A42" s="47" t="s">
        <v>848</v>
      </c>
      <c r="B42" s="117"/>
      <c r="C42"/>
      <c r="D42" s="279" t="str">
        <f ca="1">IF(ROUND(Data!C$84-D$29,3)=0,"OK","ERROR")</f>
        <v>OK</v>
      </c>
      <c r="E42" s="279" t="str">
        <f ca="1">IF(ROUND(Data!D$84-E$29,3)=0,"OK","ERROR")</f>
        <v>OK</v>
      </c>
      <c r="F42" s="255" t="str">
        <f ca="1">IF(ROUND(Data!E$84-F$29,3)=0,"OK","ERROR")</f>
        <v>OK</v>
      </c>
      <c r="G42" s="255" t="str">
        <f ca="1">IF(ROUND(Data!F$84-G$29,3)=0,"OK","ERROR")</f>
        <v>OK</v>
      </c>
      <c r="H42" s="255" t="str">
        <f ca="1">IF(ROUND(Data!G$84-H$29,3)=0,"OK","ERROR")</f>
        <v>OK</v>
      </c>
      <c r="I42" s="255" t="str">
        <f ca="1">IF(ROUND(Data!H$84-I$29,3)=0,"OK","ERROR")</f>
        <v>OK</v>
      </c>
      <c r="J42" s="255" t="str">
        <f ca="1">IF(ROUND(Data!I$84-J$29,3)=0,"OK","ERROR")</f>
        <v>OK</v>
      </c>
      <c r="K42" s="257" t="e">
        <f ca="1">IF(ROUND(K$29-J$29-K$16,3)=0,"OK","ERROR")</f>
        <v>#REF!</v>
      </c>
      <c r="L42" s="257" t="e">
        <f t="shared" ref="L42:T42" ca="1" si="21">IF(ROUND(L$29-K$29-L$16,3)=0,"OK","ERROR")</f>
        <v>#REF!</v>
      </c>
      <c r="M42" s="257" t="e">
        <f t="shared" ca="1" si="21"/>
        <v>#REF!</v>
      </c>
      <c r="N42" s="257" t="e">
        <f t="shared" ca="1" si="21"/>
        <v>#REF!</v>
      </c>
      <c r="O42" s="257" t="e">
        <f t="shared" ca="1" si="21"/>
        <v>#REF!</v>
      </c>
      <c r="P42" s="257" t="e">
        <f t="shared" ca="1" si="21"/>
        <v>#REF!</v>
      </c>
      <c r="Q42" s="257" t="e">
        <f t="shared" ca="1" si="21"/>
        <v>#REF!</v>
      </c>
      <c r="R42" s="257" t="e">
        <f t="shared" ca="1" si="21"/>
        <v>#REF!</v>
      </c>
      <c r="S42" s="257" t="e">
        <f t="shared" ca="1" si="21"/>
        <v>#REF!</v>
      </c>
      <c r="T42" s="257" t="e">
        <f t="shared" ca="1" si="21"/>
        <v>#REF!</v>
      </c>
    </row>
    <row r="43" spans="1:20" x14ac:dyDescent="0.2">
      <c r="A43" s="47" t="s">
        <v>849</v>
      </c>
      <c r="B43" s="117"/>
      <c r="C43"/>
      <c r="D43" s="279" t="str">
        <f ca="1">IF(ROUND(Data!C$129-D$36-0.007,3)=0,"OK","ERROR")</f>
        <v>OK</v>
      </c>
      <c r="E43" s="279" t="str">
        <f ca="1">IF(ROUND(Data!D$129-E$36-0.169,3)=0,"OK","ERROR")</f>
        <v>OK</v>
      </c>
      <c r="F43" s="255" t="str">
        <f ca="1">IF(ROUND(Data!E$129-F$36,3)=0,"OK","ERROR")</f>
        <v>OK</v>
      </c>
      <c r="G43" s="255" t="str">
        <f ca="1">IF(ROUND(Data!F$129-G$36,3)=0,"OK","ERROR")</f>
        <v>OK</v>
      </c>
      <c r="H43" s="255" t="str">
        <f ca="1">IF(ROUND(Data!G$129-H$36,3)=0,"OK","ERROR")</f>
        <v>OK</v>
      </c>
      <c r="I43" s="255" t="str">
        <f ca="1">IF(ROUND(Data!H$129-I$36,3)=0,"OK","ERROR")</f>
        <v>OK</v>
      </c>
      <c r="J43" s="255" t="str">
        <f ca="1">IF(ROUND(Data!I$129-J$36,3)=0,"OK","ERROR")</f>
        <v>OK</v>
      </c>
      <c r="K43" s="257" t="e">
        <f ca="1">IF(ROUND(K$36-J$36-K$23,3)=0,"OK","ERROR")</f>
        <v>#REF!</v>
      </c>
      <c r="L43" s="257" t="e">
        <f t="shared" ref="L43:T43" ca="1" si="22">IF(ROUND(L$36-K$36-L$23,3)=0,"OK","ERROR")</f>
        <v>#REF!</v>
      </c>
      <c r="M43" s="257" t="e">
        <f t="shared" ca="1" si="22"/>
        <v>#REF!</v>
      </c>
      <c r="N43" s="257" t="e">
        <f t="shared" ca="1" si="22"/>
        <v>#REF!</v>
      </c>
      <c r="O43" s="257" t="e">
        <f t="shared" ca="1" si="22"/>
        <v>#REF!</v>
      </c>
      <c r="P43" s="257" t="e">
        <f t="shared" ca="1" si="22"/>
        <v>#REF!</v>
      </c>
      <c r="Q43" s="257" t="e">
        <f t="shared" ca="1" si="22"/>
        <v>#REF!</v>
      </c>
      <c r="R43" s="257" t="e">
        <f t="shared" ca="1" si="22"/>
        <v>#REF!</v>
      </c>
      <c r="S43" s="257" t="e">
        <f t="shared" ca="1" si="22"/>
        <v>#REF!</v>
      </c>
      <c r="T43" s="257" t="e">
        <f t="shared" ca="1" si="22"/>
        <v>#REF!</v>
      </c>
    </row>
    <row r="44" spans="1:20" x14ac:dyDescent="0.2">
      <c r="A44" s="43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</row>
    <row r="45" spans="1:20" ht="15.75" x14ac:dyDescent="0.25">
      <c r="A45" s="249" t="s">
        <v>165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</row>
    <row r="46" spans="1:20" x14ac:dyDescent="0.2">
      <c r="A46" s="147" t="s">
        <v>391</v>
      </c>
      <c r="C46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</row>
    <row r="47" spans="1:20" x14ac:dyDescent="0.2">
      <c r="A47" s="258" t="s">
        <v>266</v>
      </c>
      <c r="C47"/>
      <c r="D47" s="94">
        <f>Data!C$131</f>
        <v>20.98</v>
      </c>
      <c r="E47" s="94">
        <f>Data!D$131</f>
        <v>23.344999999999999</v>
      </c>
      <c r="F47" s="180">
        <f>Data!E$131</f>
        <v>22.821999999999999</v>
      </c>
      <c r="G47" s="180">
        <f>Data!F$131</f>
        <v>22.204000000000001</v>
      </c>
      <c r="H47" s="180">
        <f>Data!G$131</f>
        <v>22.718</v>
      </c>
      <c r="I47" s="180">
        <f>Data!H$131</f>
        <v>23.823999999999998</v>
      </c>
      <c r="J47" s="180">
        <f>Data!I$131</f>
        <v>25.484000000000002</v>
      </c>
      <c r="K47" s="99">
        <f ca="1">IF(AND(OR(OFFSET(Scenarios!$A$24,0,$C$1)&lt;&gt;"Yes",MID(OFFSET(Scenarios!$A$26,0,$C$1),6,2)&lt;MID(K$3,4,2)),OFFSET(Scenarios!$A$49,0,$C$1)="Yes"),IF(J$47/J$211&lt;OFFSET(Scenarios!$A$55,0,$C$1),MIN(J$47/J$211+OFFSET(Scenarios!$A$54,0,$C$1),OFFSET(Scenarios!$A$55,0,$C$1)),MAX(J$47/J$211-OFFSET(Scenarios!$A$54,0,$C$1),OFFSET(Scenarios!$A$55,0,$C$1)))*K$211,J$47*(1+K$225)*(1+IF(AND(OFFSET(Scenarios!$A$24,0,$C$1)="YES",MID(OFFSET(Scenarios!$A$26,0,$C$1),6,2)&gt;=MID(K$3,4,2)),IF(OFFSET(Scenarios!$A$29,0,$C$1)="Inflation",1,OFFSET(Scenarios!$A$25,0,$C$1)),1)*K$228)*(1+IF(AND(OFFSET(Scenarios!$A$24,0,$C$1)="YES",MID(OFFSET(Scenarios!$A$26,0,$C$1),6,2)&gt;=MID(K$3,4,2)),IF(OFFSET(Scenarios!$A$29,0,$C$1)="Wage",1,OFFSET(Scenarios!$A$25,0,$C$1)),1)*K$215))</f>
        <v>26.977113450623101</v>
      </c>
      <c r="L47" s="99">
        <f ca="1">IF(AND(OR(OFFSET(Scenarios!$A$24,0,$C$1)&lt;&gt;"Yes",MID(OFFSET(Scenarios!$A$26,0,$C$1),6,2)&lt;MID(L$3,4,2)),OFFSET(Scenarios!$A$49,0,$C$1)="Yes"),IF(K$47/K$211&lt;OFFSET(Scenarios!$A$55,0,$C$1),MIN(K$47/K$211+OFFSET(Scenarios!$A$54,0,$C$1),OFFSET(Scenarios!$A$55,0,$C$1)),MAX(K$47/K$211-OFFSET(Scenarios!$A$54,0,$C$1),OFFSET(Scenarios!$A$55,0,$C$1)))*L$211,K$47*(1+L$225)*(1+IF(AND(OFFSET(Scenarios!$A$24,0,$C$1)="YES",MID(OFFSET(Scenarios!$A$26,0,$C$1),6,2)&gt;=MID(L$3,4,2)),IF(OFFSET(Scenarios!$A$29,0,$C$1)="Inflation",1,OFFSET(Scenarios!$A$25,0,$C$1)),1)*L$228)*(1+IF(AND(OFFSET(Scenarios!$A$24,0,$C$1)="YES",MID(OFFSET(Scenarios!$A$26,0,$C$1),6,2)&gt;=MID(L$3,4,2)),IF(OFFSET(Scenarios!$A$29,0,$C$1)="Wage",1,OFFSET(Scenarios!$A$25,0,$C$1)),1)*L$215))</f>
        <v>28.562717711750405</v>
      </c>
      <c r="M47" s="99">
        <f ca="1">IF(AND(OR(OFFSET(Scenarios!$A$24,0,$C$1)&lt;&gt;"Yes",MID(OFFSET(Scenarios!$A$26,0,$C$1),6,2)&lt;MID(M$3,4,2)),OFFSET(Scenarios!$A$49,0,$C$1)="Yes"),IF(L$47/L$211&lt;OFFSET(Scenarios!$A$55,0,$C$1),MIN(L$47/L$211+OFFSET(Scenarios!$A$54,0,$C$1),OFFSET(Scenarios!$A$55,0,$C$1)),MAX(L$47/L$211-OFFSET(Scenarios!$A$54,0,$C$1),OFFSET(Scenarios!$A$55,0,$C$1)))*M$211,L$47*(1+M$225)*(1+IF(AND(OFFSET(Scenarios!$A$24,0,$C$1)="YES",MID(OFFSET(Scenarios!$A$26,0,$C$1),6,2)&gt;=MID(M$3,4,2)),IF(OFFSET(Scenarios!$A$29,0,$C$1)="Inflation",1,OFFSET(Scenarios!$A$25,0,$C$1)),1)*M$228)*(1+IF(AND(OFFSET(Scenarios!$A$24,0,$C$1)="YES",MID(OFFSET(Scenarios!$A$26,0,$C$1),6,2)&gt;=MID(M$3,4,2)),IF(OFFSET(Scenarios!$A$29,0,$C$1)="Wage",1,OFFSET(Scenarios!$A$25,0,$C$1)),1)*M$215))</f>
        <v>30.233706809593674</v>
      </c>
      <c r="N47" s="99">
        <f ca="1">IF(AND(OR(OFFSET(Scenarios!$A$24,0,$C$1)&lt;&gt;"Yes",MID(OFFSET(Scenarios!$A$26,0,$C$1),6,2)&lt;MID(N$3,4,2)),OFFSET(Scenarios!$A$49,0,$C$1)="Yes"),IF(M$47/M$211&lt;OFFSET(Scenarios!$A$55,0,$C$1),MIN(M$47/M$211+OFFSET(Scenarios!$A$54,0,$C$1),OFFSET(Scenarios!$A$55,0,$C$1)),MAX(M$47/M$211-OFFSET(Scenarios!$A$54,0,$C$1),OFFSET(Scenarios!$A$55,0,$C$1)))*N$211,M$47*(1+N$225)*(1+IF(AND(OFFSET(Scenarios!$A$24,0,$C$1)="YES",MID(OFFSET(Scenarios!$A$26,0,$C$1),6,2)&gt;=MID(N$3,4,2)),IF(OFFSET(Scenarios!$A$29,0,$C$1)="Inflation",1,OFFSET(Scenarios!$A$25,0,$C$1)),1)*N$228)*(1+IF(AND(OFFSET(Scenarios!$A$24,0,$C$1)="YES",MID(OFFSET(Scenarios!$A$26,0,$C$1),6,2)&gt;=MID(N$3,4,2)),IF(OFFSET(Scenarios!$A$29,0,$C$1)="Wage",1,OFFSET(Scenarios!$A$25,0,$C$1)),1)*N$215))</f>
        <v>31.969538180463097</v>
      </c>
      <c r="O47" s="99">
        <f ca="1">IF(AND(OR(OFFSET(Scenarios!$A$24,0,$C$1)&lt;&gt;"Yes",MID(OFFSET(Scenarios!$A$26,0,$C$1),6,2)&lt;MID(O$3,4,2)),OFFSET(Scenarios!$A$49,0,$C$1)="Yes"),IF(N$47/N$211&lt;OFFSET(Scenarios!$A$55,0,$C$1),MIN(N$47/N$211+OFFSET(Scenarios!$A$54,0,$C$1),OFFSET(Scenarios!$A$55,0,$C$1)),MAX(N$47/N$211-OFFSET(Scenarios!$A$54,0,$C$1),OFFSET(Scenarios!$A$55,0,$C$1)))*O$211,N$47*(1+O$225)*(1+IF(AND(OFFSET(Scenarios!$A$24,0,$C$1)="YES",MID(OFFSET(Scenarios!$A$26,0,$C$1),6,2)&gt;=MID(O$3,4,2)),IF(OFFSET(Scenarios!$A$29,0,$C$1)="Inflation",1,OFFSET(Scenarios!$A$25,0,$C$1)),1)*O$228)*(1+IF(AND(OFFSET(Scenarios!$A$24,0,$C$1)="YES",MID(OFFSET(Scenarios!$A$26,0,$C$1),6,2)&gt;=MID(O$3,4,2)),IF(OFFSET(Scenarios!$A$29,0,$C$1)="Wage",1,OFFSET(Scenarios!$A$25,0,$C$1)),1)*O$215))</f>
        <v>33.724459662659804</v>
      </c>
      <c r="P47" s="99">
        <f ca="1">IF(AND(OR(OFFSET(Scenarios!$A$24,0,$C$1)&lt;&gt;"Yes",MID(OFFSET(Scenarios!$A$26,0,$C$1),6,2)&lt;MID(P$3,4,2)),OFFSET(Scenarios!$A$49,0,$C$1)="Yes"),IF(O$47/O$211&lt;OFFSET(Scenarios!$A$55,0,$C$1),MIN(O$47/O$211+OFFSET(Scenarios!$A$54,0,$C$1),OFFSET(Scenarios!$A$55,0,$C$1)),MAX(O$47/O$211-OFFSET(Scenarios!$A$54,0,$C$1),OFFSET(Scenarios!$A$55,0,$C$1)))*P$211,O$47*(1+P$225)*(1+IF(AND(OFFSET(Scenarios!$A$24,0,$C$1)="YES",MID(OFFSET(Scenarios!$A$26,0,$C$1),6,2)&gt;=MID(P$3,4,2)),IF(OFFSET(Scenarios!$A$29,0,$C$1)="Inflation",1,OFFSET(Scenarios!$A$25,0,$C$1)),1)*P$228)*(1+IF(AND(OFFSET(Scenarios!$A$24,0,$C$1)="YES",MID(OFFSET(Scenarios!$A$26,0,$C$1),6,2)&gt;=MID(P$3,4,2)),IF(OFFSET(Scenarios!$A$29,0,$C$1)="Wage",1,OFFSET(Scenarios!$A$25,0,$C$1)),1)*P$215))</f>
        <v>35.565468165359711</v>
      </c>
      <c r="Q47" s="99">
        <f ca="1">IF(AND(OR(OFFSET(Scenarios!$A$24,0,$C$1)&lt;&gt;"Yes",MID(OFFSET(Scenarios!$A$26,0,$C$1),6,2)&lt;MID(Q$3,4,2)),OFFSET(Scenarios!$A$49,0,$C$1)="Yes"),IF(P$47/P$211&lt;OFFSET(Scenarios!$A$55,0,$C$1),MIN(P$47/P$211+OFFSET(Scenarios!$A$54,0,$C$1),OFFSET(Scenarios!$A$55,0,$C$1)),MAX(P$47/P$211-OFFSET(Scenarios!$A$54,0,$C$1),OFFSET(Scenarios!$A$55,0,$C$1)))*Q$211,P$47*(1+Q$225)*(1+IF(AND(OFFSET(Scenarios!$A$24,0,$C$1)="YES",MID(OFFSET(Scenarios!$A$26,0,$C$1),6,2)&gt;=MID(Q$3,4,2)),IF(OFFSET(Scenarios!$A$29,0,$C$1)="Inflation",1,OFFSET(Scenarios!$A$25,0,$C$1)),1)*Q$228)*(1+IF(AND(OFFSET(Scenarios!$A$24,0,$C$1)="YES",MID(OFFSET(Scenarios!$A$26,0,$C$1),6,2)&gt;=MID(Q$3,4,2)),IF(OFFSET(Scenarios!$A$29,0,$C$1)="Wage",1,OFFSET(Scenarios!$A$25,0,$C$1)),1)*Q$215))</f>
        <v>37.498324411381752</v>
      </c>
      <c r="R47" s="99">
        <f ca="1">IF(AND(OR(OFFSET(Scenarios!$A$24,0,$C$1)&lt;&gt;"Yes",MID(OFFSET(Scenarios!$A$26,0,$C$1),6,2)&lt;MID(R$3,4,2)),OFFSET(Scenarios!$A$49,0,$C$1)="Yes"),IF(Q$47/Q$211&lt;OFFSET(Scenarios!$A$55,0,$C$1),MIN(Q$47/Q$211+OFFSET(Scenarios!$A$54,0,$C$1),OFFSET(Scenarios!$A$55,0,$C$1)),MAX(Q$47/Q$211-OFFSET(Scenarios!$A$54,0,$C$1),OFFSET(Scenarios!$A$55,0,$C$1)))*R$211,Q$47*(1+R$225)*(1+IF(AND(OFFSET(Scenarios!$A$24,0,$C$1)="YES",MID(OFFSET(Scenarios!$A$26,0,$C$1),6,2)&gt;=MID(R$3,4,2)),IF(OFFSET(Scenarios!$A$29,0,$C$1)="Inflation",1,OFFSET(Scenarios!$A$25,0,$C$1)),1)*R$228)*(1+IF(AND(OFFSET(Scenarios!$A$24,0,$C$1)="YES",MID(OFFSET(Scenarios!$A$26,0,$C$1),6,2)&gt;=MID(R$3,4,2)),IF(OFFSET(Scenarios!$A$29,0,$C$1)="Wage",1,OFFSET(Scenarios!$A$25,0,$C$1)),1)*R$215))</f>
        <v>39.05258479390578</v>
      </c>
      <c r="S47" s="99">
        <f ca="1">IF(AND(OR(OFFSET(Scenarios!$A$24,0,$C$1)&lt;&gt;"Yes",MID(OFFSET(Scenarios!$A$26,0,$C$1),6,2)&lt;MID(S$3,4,2)),OFFSET(Scenarios!$A$49,0,$C$1)="Yes"),IF(R$47/R$211&lt;OFFSET(Scenarios!$A$55,0,$C$1),MIN(R$47/R$211+OFFSET(Scenarios!$A$54,0,$C$1),OFFSET(Scenarios!$A$55,0,$C$1)),MAX(R$47/R$211-OFFSET(Scenarios!$A$54,0,$C$1),OFFSET(Scenarios!$A$55,0,$C$1)))*S$211,R$47*(1+S$225)*(1+IF(AND(OFFSET(Scenarios!$A$24,0,$C$1)="YES",MID(OFFSET(Scenarios!$A$26,0,$C$1),6,2)&gt;=MID(S$3,4,2)),IF(OFFSET(Scenarios!$A$29,0,$C$1)="Inflation",1,OFFSET(Scenarios!$A$25,0,$C$1)),1)*S$228)*(1+IF(AND(OFFSET(Scenarios!$A$24,0,$C$1)="YES",MID(OFFSET(Scenarios!$A$26,0,$C$1),6,2)&gt;=MID(S$3,4,2)),IF(OFFSET(Scenarios!$A$29,0,$C$1)="Wage",1,OFFSET(Scenarios!$A$25,0,$C$1)),1)*S$215))</f>
        <v>40.669982284411475</v>
      </c>
      <c r="T47" s="99">
        <f ca="1">IF(AND(OR(OFFSET(Scenarios!$A$24,0,$C$1)&lt;&gt;"Yes",MID(OFFSET(Scenarios!$A$26,0,$C$1),6,2)&lt;MID(T$3,4,2)),OFFSET(Scenarios!$A$49,0,$C$1)="Yes"),IF(S$47/S$211&lt;OFFSET(Scenarios!$A$55,0,$C$1),MIN(S$47/S$211+OFFSET(Scenarios!$A$54,0,$C$1),OFFSET(Scenarios!$A$55,0,$C$1)),MAX(S$47/S$211-OFFSET(Scenarios!$A$54,0,$C$1),OFFSET(Scenarios!$A$55,0,$C$1)))*T$211,S$47*(1+T$225)*(1+IF(AND(OFFSET(Scenarios!$A$24,0,$C$1)="YES",MID(OFFSET(Scenarios!$A$26,0,$C$1),6,2)&gt;=MID(T$3,4,2)),IF(OFFSET(Scenarios!$A$29,0,$C$1)="Inflation",1,OFFSET(Scenarios!$A$25,0,$C$1)),1)*T$228)*(1+IF(AND(OFFSET(Scenarios!$A$24,0,$C$1)="YES",MID(OFFSET(Scenarios!$A$26,0,$C$1),6,2)&gt;=MID(T$3,4,2)),IF(OFFSET(Scenarios!$A$29,0,$C$1)="Wage",1,OFFSET(Scenarios!$A$25,0,$C$1)),1)*T$215))</f>
        <v>42.334662502445994</v>
      </c>
    </row>
    <row r="48" spans="1:20" x14ac:dyDescent="0.2">
      <c r="A48" s="258" t="s">
        <v>528</v>
      </c>
      <c r="C48"/>
      <c r="D48" s="94">
        <f>Data!C$135</f>
        <v>9.891</v>
      </c>
      <c r="E48" s="94">
        <f>Data!D$135</f>
        <v>10.122</v>
      </c>
      <c r="F48" s="180">
        <f>Data!E$135</f>
        <v>8.6810000000000009</v>
      </c>
      <c r="G48" s="180">
        <f>Data!F$135</f>
        <v>8.4829999999999988</v>
      </c>
      <c r="H48" s="180">
        <f>Data!G$135</f>
        <v>9.2089999999999996</v>
      </c>
      <c r="I48" s="180">
        <f>Data!H$135</f>
        <v>9.9969999999999999</v>
      </c>
      <c r="J48" s="180">
        <f>Data!I$135</f>
        <v>10.668999999999999</v>
      </c>
      <c r="K48" s="99" t="e">
        <f ca="1">IF(OFFSET(Scenarios!$A$50,0,$C$1)="Yes",IF(J$48/J$211&lt;OFFSET(Scenarios!$A$56,0,$C$1),MIN(J$48/J$211+OFFSET(Scenarios!$A$54,0,$C$1),OFFSET(Scenarios!$A$56,0,$C$1)),MAX(J$48/J$211-OFFSET(Scenarios!$A$54,0,$C$1),OFFSET(Scenarios!$A$56,0,$C$1)))*K$211,J$48*(1+K$212))</f>
        <v>#REF!</v>
      </c>
      <c r="L48" s="99" t="e">
        <f ca="1">IF(OFFSET(Scenarios!$A$50,0,$C$1)="Yes",IF(K$48/K$211&lt;OFFSET(Scenarios!$A$56,0,$C$1),MIN(K$48/K$211+OFFSET(Scenarios!$A$54,0,$C$1),OFFSET(Scenarios!$A$56,0,$C$1)),MAX(K$48/K$211-OFFSET(Scenarios!$A$54,0,$C$1),OFFSET(Scenarios!$A$56,0,$C$1)))*L$211,K$48*(1+L$212))</f>
        <v>#REF!</v>
      </c>
      <c r="M48" s="99" t="e">
        <f ca="1">IF(OFFSET(Scenarios!$A$50,0,$C$1)="Yes",IF(L$48/L$211&lt;OFFSET(Scenarios!$A$56,0,$C$1),MIN(L$48/L$211+OFFSET(Scenarios!$A$54,0,$C$1),OFFSET(Scenarios!$A$56,0,$C$1)),MAX(L$48/L$211-OFFSET(Scenarios!$A$54,0,$C$1),OFFSET(Scenarios!$A$56,0,$C$1)))*M$211,L$48*(1+M$212))</f>
        <v>#REF!</v>
      </c>
      <c r="N48" s="99" t="e">
        <f ca="1">IF(OFFSET(Scenarios!$A$50,0,$C$1)="Yes",IF(M$48/M$211&lt;OFFSET(Scenarios!$A$56,0,$C$1),MIN(M$48/M$211+OFFSET(Scenarios!$A$54,0,$C$1),OFFSET(Scenarios!$A$56,0,$C$1)),MAX(M$48/M$211-OFFSET(Scenarios!$A$54,0,$C$1),OFFSET(Scenarios!$A$56,0,$C$1)))*N$211,M$48*(1+N$212))</f>
        <v>#REF!</v>
      </c>
      <c r="O48" s="99" t="e">
        <f ca="1">IF(OFFSET(Scenarios!$A$50,0,$C$1)="Yes",IF(N$48/N$211&lt;OFFSET(Scenarios!$A$56,0,$C$1),MIN(N$48/N$211+OFFSET(Scenarios!$A$54,0,$C$1),OFFSET(Scenarios!$A$56,0,$C$1)),MAX(N$48/N$211-OFFSET(Scenarios!$A$54,0,$C$1),OFFSET(Scenarios!$A$56,0,$C$1)))*O$211,N$48*(1+O$212))</f>
        <v>#REF!</v>
      </c>
      <c r="P48" s="99" t="e">
        <f ca="1">IF(OFFSET(Scenarios!$A$50,0,$C$1)="Yes",IF(O$48/O$211&lt;OFFSET(Scenarios!$A$56,0,$C$1),MIN(O$48/O$211+OFFSET(Scenarios!$A$54,0,$C$1),OFFSET(Scenarios!$A$56,0,$C$1)),MAX(O$48/O$211-OFFSET(Scenarios!$A$54,0,$C$1),OFFSET(Scenarios!$A$56,0,$C$1)))*P$211,O$48*(1+P$212))</f>
        <v>#REF!</v>
      </c>
      <c r="Q48" s="99" t="e">
        <f ca="1">IF(OFFSET(Scenarios!$A$50,0,$C$1)="Yes",IF(P$48/P$211&lt;OFFSET(Scenarios!$A$56,0,$C$1),MIN(P$48/P$211+OFFSET(Scenarios!$A$54,0,$C$1),OFFSET(Scenarios!$A$56,0,$C$1)),MAX(P$48/P$211-OFFSET(Scenarios!$A$54,0,$C$1),OFFSET(Scenarios!$A$56,0,$C$1)))*Q$211,P$48*(1+Q$212))</f>
        <v>#REF!</v>
      </c>
      <c r="R48" s="99" t="e">
        <f ca="1">IF(OFFSET(Scenarios!$A$50,0,$C$1)="Yes",IF(Q$48/Q$211&lt;OFFSET(Scenarios!$A$56,0,$C$1),MIN(Q$48/Q$211+OFFSET(Scenarios!$A$54,0,$C$1),OFFSET(Scenarios!$A$56,0,$C$1)),MAX(Q$48/Q$211-OFFSET(Scenarios!$A$54,0,$C$1),OFFSET(Scenarios!$A$56,0,$C$1)))*R$211,Q$48*(1+R$212))</f>
        <v>#REF!</v>
      </c>
      <c r="S48" s="99" t="e">
        <f ca="1">IF(OFFSET(Scenarios!$A$50,0,$C$1)="Yes",IF(R$48/R$211&lt;OFFSET(Scenarios!$A$56,0,$C$1),MIN(R$48/R$211+OFFSET(Scenarios!$A$54,0,$C$1),OFFSET(Scenarios!$A$56,0,$C$1)),MAX(R$48/R$211-OFFSET(Scenarios!$A$54,0,$C$1),OFFSET(Scenarios!$A$56,0,$C$1)))*S$211,R$48*(1+S$212))</f>
        <v>#REF!</v>
      </c>
      <c r="T48" s="99" t="e">
        <f ca="1">IF(OFFSET(Scenarios!$A$50,0,$C$1)="Yes",IF(S$48/S$211&lt;OFFSET(Scenarios!$A$56,0,$C$1),MIN(S$48/S$211+OFFSET(Scenarios!$A$54,0,$C$1),OFFSET(Scenarios!$A$56,0,$C$1)),MAX(S$48/S$211-OFFSET(Scenarios!$A$54,0,$C$1),OFFSET(Scenarios!$A$56,0,$C$1)))*T$211,S$48*(1+T$212))</f>
        <v>#REF!</v>
      </c>
    </row>
    <row r="49" spans="1:20" x14ac:dyDescent="0.2">
      <c r="A49" s="258" t="s">
        <v>342</v>
      </c>
      <c r="C49"/>
      <c r="D49" s="280">
        <f>SUM(Data!C$132:C$134,Data!C$136:C$138)</f>
        <v>22.193000000000001</v>
      </c>
      <c r="E49" s="280">
        <f>SUM(Data!D$132:D$134,Data!D$136:D$138)</f>
        <v>22.905000000000001</v>
      </c>
      <c r="F49" s="186">
        <f>SUM(Data!E$132:E$134,Data!E$136:E$138)</f>
        <v>23.377000000000002</v>
      </c>
      <c r="G49" s="186">
        <f>SUM(Data!F$132:F$134,Data!F$136:F$138)</f>
        <v>23.053000000000001</v>
      </c>
      <c r="H49" s="186">
        <f>SUM(Data!G$132:G$134,Data!G$136:G$138)</f>
        <v>22.777000000000001</v>
      </c>
      <c r="I49" s="186">
        <f>SUM(Data!H$132:H$134,Data!H$136:H$138)</f>
        <v>23.858000000000004</v>
      </c>
      <c r="J49" s="186">
        <f>SUM(Data!I$132:I$134,Data!I$136:I$138)</f>
        <v>25.016000000000002</v>
      </c>
      <c r="K49" s="107" t="e">
        <f ca="1">IF(OFFSET(Scenarios!$A$51,0,$C$1)="Yes",IF(J$49/J$211&lt;OFFSET(Scenarios!$A$57,0,$C$1),MIN(J$49/J$211+OFFSET(Scenarios!$A$54,0,$C$1),OFFSET(Scenarios!$A$57,0,$C$1)),MAX(J$49/J$211-OFFSET(Scenarios!$A$54,0,$C$1),OFFSET(Scenarios!$A$57,0,$C$1)))*K$211,J$49*(1+K$212))</f>
        <v>#REF!</v>
      </c>
      <c r="L49" s="107" t="e">
        <f ca="1">IF(OFFSET(Scenarios!$A$51,0,$C$1)="Yes",IF(K$49/K$211&lt;OFFSET(Scenarios!$A$57,0,$C$1),MIN(K$49/K$211+OFFSET(Scenarios!$A$54,0,$C$1),OFFSET(Scenarios!$A$57,0,$C$1)),MAX(K$49/K$211-OFFSET(Scenarios!$A$54,0,$C$1),OFFSET(Scenarios!$A$57,0,$C$1)))*L$211,K$49*(1+L$212))</f>
        <v>#REF!</v>
      </c>
      <c r="M49" s="107" t="e">
        <f ca="1">IF(OFFSET(Scenarios!$A$51,0,$C$1)="Yes",IF(L$49/L$211&lt;OFFSET(Scenarios!$A$57,0,$C$1),MIN(L$49/L$211+OFFSET(Scenarios!$A$54,0,$C$1),OFFSET(Scenarios!$A$57,0,$C$1)),MAX(L$49/L$211-OFFSET(Scenarios!$A$54,0,$C$1),OFFSET(Scenarios!$A$57,0,$C$1)))*M$211,L$49*(1+M$212))</f>
        <v>#REF!</v>
      </c>
      <c r="N49" s="107" t="e">
        <f ca="1">IF(OFFSET(Scenarios!$A$51,0,$C$1)="Yes",IF(M$49/M$211&lt;OFFSET(Scenarios!$A$57,0,$C$1),MIN(M$49/M$211+OFFSET(Scenarios!$A$54,0,$C$1),OFFSET(Scenarios!$A$57,0,$C$1)),MAX(M$49/M$211-OFFSET(Scenarios!$A$54,0,$C$1),OFFSET(Scenarios!$A$57,0,$C$1)))*N$211,M$49*(1+N$212))</f>
        <v>#REF!</v>
      </c>
      <c r="O49" s="107" t="e">
        <f ca="1">IF(OFFSET(Scenarios!$A$51,0,$C$1)="Yes",IF(N$49/N$211&lt;OFFSET(Scenarios!$A$57,0,$C$1),MIN(N$49/N$211+OFFSET(Scenarios!$A$54,0,$C$1),OFFSET(Scenarios!$A$57,0,$C$1)),MAX(N$49/N$211-OFFSET(Scenarios!$A$54,0,$C$1),OFFSET(Scenarios!$A$57,0,$C$1)))*O$211,N$49*(1+O$212))</f>
        <v>#REF!</v>
      </c>
      <c r="P49" s="107" t="e">
        <f ca="1">IF(OFFSET(Scenarios!$A$51,0,$C$1)="Yes",IF(O$49/O$211&lt;OFFSET(Scenarios!$A$57,0,$C$1),MIN(O$49/O$211+OFFSET(Scenarios!$A$54,0,$C$1),OFFSET(Scenarios!$A$57,0,$C$1)),MAX(O$49/O$211-OFFSET(Scenarios!$A$54,0,$C$1),OFFSET(Scenarios!$A$57,0,$C$1)))*P$211,O$49*(1+P$212))</f>
        <v>#REF!</v>
      </c>
      <c r="Q49" s="107" t="e">
        <f ca="1">IF(OFFSET(Scenarios!$A$51,0,$C$1)="Yes",IF(P$49/P$211&lt;OFFSET(Scenarios!$A$57,0,$C$1),MIN(P$49/P$211+OFFSET(Scenarios!$A$54,0,$C$1),OFFSET(Scenarios!$A$57,0,$C$1)),MAX(P$49/P$211-OFFSET(Scenarios!$A$54,0,$C$1),OFFSET(Scenarios!$A$57,0,$C$1)))*Q$211,P$49*(1+Q$212))</f>
        <v>#REF!</v>
      </c>
      <c r="R49" s="107" t="e">
        <f ca="1">IF(OFFSET(Scenarios!$A$51,0,$C$1)="Yes",IF(Q$49/Q$211&lt;OFFSET(Scenarios!$A$57,0,$C$1),MIN(Q$49/Q$211+OFFSET(Scenarios!$A$54,0,$C$1),OFFSET(Scenarios!$A$57,0,$C$1)),MAX(Q$49/Q$211-OFFSET(Scenarios!$A$54,0,$C$1),OFFSET(Scenarios!$A$57,0,$C$1)))*R$211,Q$49*(1+R$212))</f>
        <v>#REF!</v>
      </c>
      <c r="S49" s="107" t="e">
        <f ca="1">IF(OFFSET(Scenarios!$A$51,0,$C$1)="Yes",IF(R$49/R$211&lt;OFFSET(Scenarios!$A$57,0,$C$1),MIN(R$49/R$211+OFFSET(Scenarios!$A$54,0,$C$1),OFFSET(Scenarios!$A$57,0,$C$1)),MAX(R$49/R$211-OFFSET(Scenarios!$A$54,0,$C$1),OFFSET(Scenarios!$A$57,0,$C$1)))*S$211,R$49*(1+S$212))</f>
        <v>#REF!</v>
      </c>
      <c r="T49" s="107" t="e">
        <f ca="1">IF(OFFSET(Scenarios!$A$51,0,$C$1)="Yes",IF(S$49/S$211&lt;OFFSET(Scenarios!$A$57,0,$C$1),MIN(S$49/S$211+OFFSET(Scenarios!$A$54,0,$C$1),OFFSET(Scenarios!$A$57,0,$C$1)),MAX(S$49/S$211-OFFSET(Scenarios!$A$54,0,$C$1),OFFSET(Scenarios!$A$57,0,$C$1)))*T$211,S$49*(1+T$212))</f>
        <v>#REF!</v>
      </c>
    </row>
    <row r="50" spans="1:20" x14ac:dyDescent="0.2">
      <c r="A50" s="43" t="s">
        <v>343</v>
      </c>
      <c r="C50"/>
      <c r="D50" s="96">
        <f t="shared" ref="D50:T50" si="23">SUM(D$47:D$49)</f>
        <v>53.064000000000007</v>
      </c>
      <c r="E50" s="96">
        <f t="shared" si="23"/>
        <v>56.372</v>
      </c>
      <c r="F50" s="187">
        <f t="shared" si="23"/>
        <v>54.88</v>
      </c>
      <c r="G50" s="187">
        <f t="shared" si="23"/>
        <v>53.739999999999995</v>
      </c>
      <c r="H50" s="187">
        <f t="shared" si="23"/>
        <v>54.704000000000001</v>
      </c>
      <c r="I50" s="187">
        <f t="shared" si="23"/>
        <v>57.679000000000002</v>
      </c>
      <c r="J50" s="187">
        <f t="shared" si="23"/>
        <v>61.168999999999997</v>
      </c>
      <c r="K50" s="101" t="e">
        <f t="shared" ca="1" si="23"/>
        <v>#REF!</v>
      </c>
      <c r="L50" s="101" t="e">
        <f t="shared" ca="1" si="23"/>
        <v>#REF!</v>
      </c>
      <c r="M50" s="101" t="e">
        <f t="shared" ca="1" si="23"/>
        <v>#REF!</v>
      </c>
      <c r="N50" s="101" t="e">
        <f t="shared" ca="1" si="23"/>
        <v>#REF!</v>
      </c>
      <c r="O50" s="101" t="e">
        <f t="shared" ca="1" si="23"/>
        <v>#REF!</v>
      </c>
      <c r="P50" s="101" t="e">
        <f t="shared" ca="1" si="23"/>
        <v>#REF!</v>
      </c>
      <c r="Q50" s="101" t="e">
        <f t="shared" ca="1" si="23"/>
        <v>#REF!</v>
      </c>
      <c r="R50" s="101" t="e">
        <f t="shared" ca="1" si="23"/>
        <v>#REF!</v>
      </c>
      <c r="S50" s="101" t="e">
        <f t="shared" ca="1" si="23"/>
        <v>#REF!</v>
      </c>
      <c r="T50" s="101" t="e">
        <f t="shared" ca="1" si="23"/>
        <v>#REF!</v>
      </c>
    </row>
    <row r="51" spans="1:20" x14ac:dyDescent="0.2">
      <c r="A51" s="259" t="s">
        <v>851</v>
      </c>
      <c r="C51"/>
      <c r="D51" s="280">
        <f t="shared" ref="D51:J51" si="24">D$52-D$50</f>
        <v>0.4129999999999896</v>
      </c>
      <c r="E51" s="280">
        <f t="shared" si="24"/>
        <v>0.375</v>
      </c>
      <c r="F51" s="186">
        <f t="shared" si="24"/>
        <v>0.51999999999999602</v>
      </c>
      <c r="G51" s="186">
        <f t="shared" si="24"/>
        <v>0.61500000000000199</v>
      </c>
      <c r="H51" s="186">
        <f t="shared" si="24"/>
        <v>0.59400000000000119</v>
      </c>
      <c r="I51" s="186">
        <f t="shared" si="24"/>
        <v>0.62399999999999523</v>
      </c>
      <c r="J51" s="186">
        <f t="shared" si="24"/>
        <v>0.71000000000000796</v>
      </c>
      <c r="K51" s="107" t="e">
        <f ca="1">J$51*(1+K$212)</f>
        <v>#REF!</v>
      </c>
      <c r="L51" s="107" t="e">
        <f t="shared" ref="L51:T51" ca="1" si="25">K$51*(1+L$212)</f>
        <v>#REF!</v>
      </c>
      <c r="M51" s="107" t="e">
        <f t="shared" ca="1" si="25"/>
        <v>#REF!</v>
      </c>
      <c r="N51" s="107" t="e">
        <f t="shared" ca="1" si="25"/>
        <v>#REF!</v>
      </c>
      <c r="O51" s="107" t="e">
        <f t="shared" ca="1" si="25"/>
        <v>#REF!</v>
      </c>
      <c r="P51" s="107" t="e">
        <f t="shared" ca="1" si="25"/>
        <v>#REF!</v>
      </c>
      <c r="Q51" s="107" t="e">
        <f t="shared" ca="1" si="25"/>
        <v>#REF!</v>
      </c>
      <c r="R51" s="107" t="e">
        <f t="shared" ca="1" si="25"/>
        <v>#REF!</v>
      </c>
      <c r="S51" s="107" t="e">
        <f t="shared" ca="1" si="25"/>
        <v>#REF!</v>
      </c>
      <c r="T51" s="107" t="e">
        <f t="shared" ca="1" si="25"/>
        <v>#REF!</v>
      </c>
    </row>
    <row r="52" spans="1:20" x14ac:dyDescent="0.2">
      <c r="A52" s="43" t="s">
        <v>535</v>
      </c>
      <c r="C52"/>
      <c r="D52" s="96">
        <f>Data!C$105</f>
        <v>53.476999999999997</v>
      </c>
      <c r="E52" s="96">
        <f>Data!D$105</f>
        <v>56.747</v>
      </c>
      <c r="F52" s="187">
        <f>Data!E$105</f>
        <v>55.4</v>
      </c>
      <c r="G52" s="187">
        <f>Data!F$105</f>
        <v>54.354999999999997</v>
      </c>
      <c r="H52" s="187">
        <f>Data!G$105</f>
        <v>55.298000000000002</v>
      </c>
      <c r="I52" s="187">
        <f>Data!H$105</f>
        <v>58.302999999999997</v>
      </c>
      <c r="J52" s="187">
        <f>Data!I$105</f>
        <v>61.879000000000005</v>
      </c>
      <c r="K52" s="101" t="e">
        <f t="shared" ref="K52:T52" ca="1" si="26">SUM(K$50,K$51)</f>
        <v>#REF!</v>
      </c>
      <c r="L52" s="101" t="e">
        <f t="shared" ca="1" si="26"/>
        <v>#REF!</v>
      </c>
      <c r="M52" s="101" t="e">
        <f t="shared" ca="1" si="26"/>
        <v>#REF!</v>
      </c>
      <c r="N52" s="101" t="e">
        <f t="shared" ca="1" si="26"/>
        <v>#REF!</v>
      </c>
      <c r="O52" s="101" t="e">
        <f t="shared" ca="1" si="26"/>
        <v>#REF!</v>
      </c>
      <c r="P52" s="101" t="e">
        <f t="shared" ca="1" si="26"/>
        <v>#REF!</v>
      </c>
      <c r="Q52" s="101" t="e">
        <f t="shared" ca="1" si="26"/>
        <v>#REF!</v>
      </c>
      <c r="R52" s="101" t="e">
        <f t="shared" ca="1" si="26"/>
        <v>#REF!</v>
      </c>
      <c r="S52" s="101" t="e">
        <f t="shared" ca="1" si="26"/>
        <v>#REF!</v>
      </c>
      <c r="T52" s="101" t="e">
        <f t="shared" ca="1" si="26"/>
        <v>#REF!</v>
      </c>
    </row>
    <row r="53" spans="1:20" x14ac:dyDescent="0.2">
      <c r="A53" s="4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20" x14ac:dyDescent="0.2">
      <c r="A54" s="147" t="s">
        <v>852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20" x14ac:dyDescent="0.2">
      <c r="A55" s="43" t="s">
        <v>853</v>
      </c>
      <c r="C55"/>
      <c r="D55" s="96">
        <f>SUM(Data!C$6,Data!C$8,Data!C$10)-D$57</f>
        <v>18.529999999999998</v>
      </c>
      <c r="E55" s="96">
        <f>SUM(Data!D$6,Data!D$8,Data!D$10)-E$57</f>
        <v>21.893000000000001</v>
      </c>
      <c r="F55" s="187">
        <f>SUM(Data!E$6,Data!E$8,Data!E$10)-F$57</f>
        <v>22.772999999999996</v>
      </c>
      <c r="G55" s="187">
        <f>SUM(Data!F$6,Data!F$8,Data!F$10)-G$57</f>
        <v>23.663</v>
      </c>
      <c r="H55" s="187">
        <f>SUM(Data!G$6,Data!G$8,Data!G$10)-H$57</f>
        <v>24.88</v>
      </c>
      <c r="I55" s="187">
        <f>SUM(Data!H$6,Data!H$8,Data!H$10)-I$57</f>
        <v>25.431999999999999</v>
      </c>
      <c r="J55" s="187">
        <f>SUM(Data!I$6,Data!I$8,Data!I$10)-J$57</f>
        <v>26.466000000000001</v>
      </c>
      <c r="K55" s="101" t="e">
        <f ca="1">J$55*(1+K$212)</f>
        <v>#REF!</v>
      </c>
      <c r="L55" s="101" t="e">
        <f t="shared" ref="L55:T55" ca="1" si="27">K$55*(1+L$212)</f>
        <v>#REF!</v>
      </c>
      <c r="M55" s="101" t="e">
        <f t="shared" ca="1" si="27"/>
        <v>#REF!</v>
      </c>
      <c r="N55" s="101" t="e">
        <f t="shared" ca="1" si="27"/>
        <v>#REF!</v>
      </c>
      <c r="O55" s="101" t="e">
        <f t="shared" ca="1" si="27"/>
        <v>#REF!</v>
      </c>
      <c r="P55" s="101" t="e">
        <f t="shared" ca="1" si="27"/>
        <v>#REF!</v>
      </c>
      <c r="Q55" s="101" t="e">
        <f t="shared" ca="1" si="27"/>
        <v>#REF!</v>
      </c>
      <c r="R55" s="101" t="e">
        <f t="shared" ca="1" si="27"/>
        <v>#REF!</v>
      </c>
      <c r="S55" s="101" t="e">
        <f t="shared" ca="1" si="27"/>
        <v>#REF!</v>
      </c>
      <c r="T55" s="101" t="e">
        <f t="shared" ca="1" si="27"/>
        <v>#REF!</v>
      </c>
    </row>
    <row r="56" spans="1:20" x14ac:dyDescent="0.2">
      <c r="A56" s="43" t="s">
        <v>854</v>
      </c>
      <c r="C56"/>
      <c r="D56" s="96">
        <f>SUM(Data!C$106,Data!C$108,Data!C$110)</f>
        <v>2.1539999999999999</v>
      </c>
      <c r="E56" s="96">
        <f>SUM(Data!D$106,Data!D$108,Data!D$110)</f>
        <v>2.7280000000000002</v>
      </c>
      <c r="F56" s="187">
        <f>SUM(Data!E$106,Data!E$108,Data!E$110)</f>
        <v>2.7890000000000001</v>
      </c>
      <c r="G56" s="187">
        <f>SUM(Data!F$106,Data!F$108,Data!F$110)</f>
        <v>2.5090000000000003</v>
      </c>
      <c r="H56" s="187">
        <f>SUM(Data!G$106,Data!G$108,Data!G$110)</f>
        <v>2.444</v>
      </c>
      <c r="I56" s="187">
        <f>SUM(Data!H$106,Data!H$108,Data!H$110)</f>
        <v>2.4819999999999998</v>
      </c>
      <c r="J56" s="187">
        <f>SUM(Data!I$106,Data!I$108,Data!I$110)</f>
        <v>2.4729999999999999</v>
      </c>
      <c r="K56" s="101">
        <f ca="1">J$56*(1+K$215)</f>
        <v>2.5224599999999997</v>
      </c>
      <c r="L56" s="101">
        <f t="shared" ref="L56:T56" ca="1" si="28">K$56*(1+L$215)</f>
        <v>2.5729091999999998</v>
      </c>
      <c r="M56" s="101">
        <f t="shared" ca="1" si="28"/>
        <v>2.6243673839999997</v>
      </c>
      <c r="N56" s="101">
        <f t="shared" ca="1" si="28"/>
        <v>2.6768547316799998</v>
      </c>
      <c r="O56" s="101">
        <f t="shared" ca="1" si="28"/>
        <v>2.7303918263135998</v>
      </c>
      <c r="P56" s="101">
        <f t="shared" ca="1" si="28"/>
        <v>2.7849996628398719</v>
      </c>
      <c r="Q56" s="101">
        <f t="shared" ca="1" si="28"/>
        <v>2.8406996560966693</v>
      </c>
      <c r="R56" s="101">
        <f t="shared" ca="1" si="28"/>
        <v>2.8975136492186029</v>
      </c>
      <c r="S56" s="101">
        <f t="shared" ca="1" si="28"/>
        <v>2.9554639222029748</v>
      </c>
      <c r="T56" s="101">
        <f t="shared" ca="1" si="28"/>
        <v>3.0145732006470345</v>
      </c>
    </row>
    <row r="57" spans="1:20" x14ac:dyDescent="0.2">
      <c r="A57" s="43" t="s">
        <v>108</v>
      </c>
      <c r="C57"/>
      <c r="D57" s="96">
        <f>Data!C$107</f>
        <v>0</v>
      </c>
      <c r="E57" s="96">
        <f>Data!D$107</f>
        <v>0</v>
      </c>
      <c r="F57" s="187">
        <f>Data!E$107</f>
        <v>8.7999999999999995E-2</v>
      </c>
      <c r="G57" s="187">
        <f>Data!F$107</f>
        <v>0.41399999999999998</v>
      </c>
      <c r="H57" s="187">
        <f>Data!G$107</f>
        <v>0.84599999999999997</v>
      </c>
      <c r="I57" s="187">
        <f>Data!H$107</f>
        <v>1.044</v>
      </c>
      <c r="J57" s="187">
        <f>Data!I$107</f>
        <v>1.577</v>
      </c>
      <c r="K57" s="101">
        <f>Tracks!H$114</f>
        <v>1.35</v>
      </c>
      <c r="L57" s="101">
        <f>Tracks!I$114</f>
        <v>1.35</v>
      </c>
      <c r="M57" s="101">
        <f>Tracks!J$114</f>
        <v>1.35</v>
      </c>
      <c r="N57" s="101">
        <f>Tracks!K$114</f>
        <v>1.35</v>
      </c>
      <c r="O57" s="101">
        <f>Tracks!L$114</f>
        <v>1.35</v>
      </c>
      <c r="P57" s="101">
        <f>Tracks!M$114</f>
        <v>1.2479166666666666</v>
      </c>
      <c r="Q57" s="101">
        <f>Tracks!N$114</f>
        <v>1.1458333333333335</v>
      </c>
      <c r="R57" s="101">
        <f>Tracks!O$114</f>
        <v>1.04375</v>
      </c>
      <c r="S57" s="101">
        <f>Tracks!P$114</f>
        <v>0.94166666666666665</v>
      </c>
      <c r="T57" s="101">
        <f>Tracks!Q$114</f>
        <v>0.83958333333333335</v>
      </c>
    </row>
    <row r="58" spans="1:20" x14ac:dyDescent="0.2">
      <c r="A58" s="47"/>
      <c r="C58"/>
      <c r="D58" s="94"/>
      <c r="E58" s="94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</row>
    <row r="59" spans="1:20" x14ac:dyDescent="0.2">
      <c r="A59" s="147" t="s">
        <v>855</v>
      </c>
      <c r="C59"/>
      <c r="D59" s="97"/>
      <c r="E59" s="97"/>
      <c r="F59"/>
      <c r="G59"/>
      <c r="H59"/>
      <c r="I59"/>
      <c r="J59"/>
      <c r="K59" s="180"/>
      <c r="L59" s="180"/>
      <c r="M59" s="180"/>
      <c r="N59" s="180"/>
      <c r="O59" s="180"/>
      <c r="P59" s="180"/>
      <c r="Q59" s="180"/>
      <c r="R59" s="180"/>
      <c r="S59" s="180"/>
      <c r="T59" s="180"/>
    </row>
    <row r="60" spans="1:20" x14ac:dyDescent="0.2">
      <c r="A60" s="47" t="s">
        <v>642</v>
      </c>
      <c r="B60" s="103"/>
      <c r="C60"/>
      <c r="D60" s="281">
        <f>Data!C$109-SUM(D$61:D$63)</f>
        <v>1.4840000000000002</v>
      </c>
      <c r="E60" s="281">
        <f>Data!D$109-SUM(E$61:E$63)</f>
        <v>0.88899999999999979</v>
      </c>
      <c r="F60" s="253">
        <f>Data!E$109-SUM(F$61:F$63)</f>
        <v>1.4559999999999997</v>
      </c>
      <c r="G60" s="253">
        <f>Data!F$109-SUM(G$61:G$63)</f>
        <v>1.0589999999999999</v>
      </c>
      <c r="H60" s="253">
        <f>Data!G$109-SUM(H$61:H$63)</f>
        <v>1.1659999999999997</v>
      </c>
      <c r="I60" s="253">
        <f>Data!H$109-SUM(I$61:I$63)</f>
        <v>1.2270000000000001</v>
      </c>
      <c r="J60" s="253">
        <f>Data!I$109-SUM(J$61:J$63)</f>
        <v>1.2570000000000003</v>
      </c>
      <c r="K60" s="99">
        <f ca="1">SUM(J$141,J$162)*K$216</f>
        <v>1.0338000000000003</v>
      </c>
      <c r="L60" s="99" t="e">
        <f t="shared" ref="L60:T60" ca="1" si="29">SUM(K$141,K$162)*L$216</f>
        <v>#REF!</v>
      </c>
      <c r="M60" s="99" t="e">
        <f t="shared" ca="1" si="29"/>
        <v>#REF!</v>
      </c>
      <c r="N60" s="99" t="e">
        <f t="shared" ca="1" si="29"/>
        <v>#REF!</v>
      </c>
      <c r="O60" s="99" t="e">
        <f t="shared" ca="1" si="29"/>
        <v>#REF!</v>
      </c>
      <c r="P60" s="99" t="e">
        <f t="shared" ca="1" si="29"/>
        <v>#REF!</v>
      </c>
      <c r="Q60" s="99" t="e">
        <f t="shared" ca="1" si="29"/>
        <v>#REF!</v>
      </c>
      <c r="R60" s="99" t="e">
        <f t="shared" ca="1" si="29"/>
        <v>#REF!</v>
      </c>
      <c r="S60" s="99" t="e">
        <f t="shared" ca="1" si="29"/>
        <v>#REF!</v>
      </c>
      <c r="T60" s="99" t="e">
        <f t="shared" ca="1" si="29"/>
        <v>#REF!</v>
      </c>
    </row>
    <row r="61" spans="1:20" x14ac:dyDescent="0.2">
      <c r="A61" s="47" t="s">
        <v>641</v>
      </c>
      <c r="B61" s="103"/>
      <c r="C61"/>
      <c r="D61" s="94">
        <f t="shared" ref="D61:T61" si="30">D$113-D$121</f>
        <v>0.41899999999999998</v>
      </c>
      <c r="E61" s="94">
        <f t="shared" si="30"/>
        <v>0.34700000000000003</v>
      </c>
      <c r="F61" s="142">
        <f t="shared" si="30"/>
        <v>0.39600000000000002</v>
      </c>
      <c r="G61" s="142">
        <f t="shared" si="30"/>
        <v>0.44700000000000001</v>
      </c>
      <c r="H61" s="142">
        <f t="shared" si="30"/>
        <v>0.51800000000000002</v>
      </c>
      <c r="I61" s="142">
        <f t="shared" si="30"/>
        <v>0.59199999999999997</v>
      </c>
      <c r="J61" s="142">
        <f t="shared" si="30"/>
        <v>0.66699999999999993</v>
      </c>
      <c r="K61" s="99">
        <f t="shared" si="30"/>
        <v>0.68620896905139739</v>
      </c>
      <c r="L61" s="99">
        <f t="shared" si="30"/>
        <v>0.77575370096347029</v>
      </c>
      <c r="M61" s="99">
        <f t="shared" si="30"/>
        <v>0.87068743004474392</v>
      </c>
      <c r="N61" s="99">
        <f t="shared" si="30"/>
        <v>0.97131239650007895</v>
      </c>
      <c r="O61" s="99">
        <f t="shared" si="30"/>
        <v>1.0776439606302861</v>
      </c>
      <c r="P61" s="99">
        <f t="shared" si="30"/>
        <v>1.1896245053018355</v>
      </c>
      <c r="Q61" s="99">
        <f t="shared" si="30"/>
        <v>1.3072031245933065</v>
      </c>
      <c r="R61" s="99">
        <f t="shared" si="30"/>
        <v>1.4296756167675888</v>
      </c>
      <c r="S61" s="99">
        <f t="shared" si="30"/>
        <v>1.5561696109899965</v>
      </c>
      <c r="T61" s="99">
        <f t="shared" si="30"/>
        <v>1.6864315250136233</v>
      </c>
    </row>
    <row r="62" spans="1:20" x14ac:dyDescent="0.2">
      <c r="A62" s="47" t="s">
        <v>645</v>
      </c>
      <c r="B62" s="103"/>
      <c r="C62"/>
      <c r="D62" s="94">
        <f t="shared" ref="D62:T62" si="31">D$155</f>
        <v>0.36</v>
      </c>
      <c r="E62" s="94">
        <f t="shared" si="31"/>
        <v>0.40699999999999997</v>
      </c>
      <c r="F62" s="142">
        <f t="shared" si="31"/>
        <v>0.45200000000000001</v>
      </c>
      <c r="G62" s="142">
        <f t="shared" si="31"/>
        <v>0.48299999999999998</v>
      </c>
      <c r="H62" s="142">
        <f t="shared" si="31"/>
        <v>0.51</v>
      </c>
      <c r="I62" s="142">
        <f t="shared" si="31"/>
        <v>0.53900000000000003</v>
      </c>
      <c r="J62" s="142">
        <f t="shared" si="31"/>
        <v>0.56799999999999995</v>
      </c>
      <c r="K62" s="99">
        <f t="shared" si="31"/>
        <v>0.59517865183274432</v>
      </c>
      <c r="L62" s="99">
        <f t="shared" si="31"/>
        <v>0.62161650163509619</v>
      </c>
      <c r="M62" s="99">
        <f t="shared" si="31"/>
        <v>0.64730979374220132</v>
      </c>
      <c r="N62" s="99">
        <f t="shared" si="31"/>
        <v>0.67226653533023317</v>
      </c>
      <c r="O62" s="99">
        <f t="shared" si="31"/>
        <v>0.69650431024576887</v>
      </c>
      <c r="P62" s="99">
        <f t="shared" si="31"/>
        <v>0.72004830747829385</v>
      </c>
      <c r="Q62" s="99">
        <f t="shared" si="31"/>
        <v>0.7429295778013747</v>
      </c>
      <c r="R62" s="99">
        <f t="shared" si="31"/>
        <v>0.7651835190413887</v>
      </c>
      <c r="S62" s="99">
        <f t="shared" si="31"/>
        <v>0.78684858126354429</v>
      </c>
      <c r="T62" s="99">
        <f t="shared" si="31"/>
        <v>0.80799788598620947</v>
      </c>
    </row>
    <row r="63" spans="1:20" x14ac:dyDescent="0.2">
      <c r="A63" s="47" t="s">
        <v>419</v>
      </c>
      <c r="B63" s="103"/>
      <c r="C63"/>
      <c r="D63" s="280">
        <f>Data!C$198</f>
        <v>0.317</v>
      </c>
      <c r="E63" s="280">
        <f>Data!D$198</f>
        <v>0.70099999999999996</v>
      </c>
      <c r="F63" s="186">
        <f>Data!E$198</f>
        <v>0.22500000000000001</v>
      </c>
      <c r="G63" s="186">
        <f>Data!F$198</f>
        <v>0.51600000000000001</v>
      </c>
      <c r="H63" s="186">
        <f>Data!G$198</f>
        <v>0.43</v>
      </c>
      <c r="I63" s="186">
        <f>Data!H$198</f>
        <v>0.38700000000000001</v>
      </c>
      <c r="J63" s="186">
        <f>Data!I$198</f>
        <v>0.41399999999999998</v>
      </c>
      <c r="K63" s="107" t="e">
        <f ca="1">J$63*(1+K$212)</f>
        <v>#REF!</v>
      </c>
      <c r="L63" s="107" t="e">
        <f t="shared" ref="L63:T63" ca="1" si="32">K$63*(1+L$212)</f>
        <v>#REF!</v>
      </c>
      <c r="M63" s="107" t="e">
        <f t="shared" ca="1" si="32"/>
        <v>#REF!</v>
      </c>
      <c r="N63" s="107" t="e">
        <f t="shared" ca="1" si="32"/>
        <v>#REF!</v>
      </c>
      <c r="O63" s="107" t="e">
        <f t="shared" ca="1" si="32"/>
        <v>#REF!</v>
      </c>
      <c r="P63" s="107" t="e">
        <f t="shared" ca="1" si="32"/>
        <v>#REF!</v>
      </c>
      <c r="Q63" s="107" t="e">
        <f t="shared" ca="1" si="32"/>
        <v>#REF!</v>
      </c>
      <c r="R63" s="107" t="e">
        <f t="shared" ca="1" si="32"/>
        <v>#REF!</v>
      </c>
      <c r="S63" s="107" t="e">
        <f t="shared" ca="1" si="32"/>
        <v>#REF!</v>
      </c>
      <c r="T63" s="107" t="e">
        <f t="shared" ca="1" si="32"/>
        <v>#REF!</v>
      </c>
    </row>
    <row r="64" spans="1:20" x14ac:dyDescent="0.2">
      <c r="A64" s="43" t="s">
        <v>651</v>
      </c>
      <c r="C64"/>
      <c r="D64" s="96">
        <f t="shared" ref="D64:T64" si="33">SUM(D$60:D$63)</f>
        <v>2.5800000000000005</v>
      </c>
      <c r="E64" s="96">
        <f t="shared" si="33"/>
        <v>2.3439999999999999</v>
      </c>
      <c r="F64" s="187">
        <f t="shared" si="33"/>
        <v>2.5289999999999999</v>
      </c>
      <c r="G64" s="187">
        <f t="shared" si="33"/>
        <v>2.5049999999999999</v>
      </c>
      <c r="H64" s="187">
        <f t="shared" si="33"/>
        <v>2.6240000000000001</v>
      </c>
      <c r="I64" s="187">
        <f t="shared" si="33"/>
        <v>2.7450000000000001</v>
      </c>
      <c r="J64" s="187">
        <f t="shared" si="33"/>
        <v>2.9060000000000006</v>
      </c>
      <c r="K64" s="101" t="e">
        <f t="shared" ca="1" si="33"/>
        <v>#REF!</v>
      </c>
      <c r="L64" s="101" t="e">
        <f t="shared" ca="1" si="33"/>
        <v>#REF!</v>
      </c>
      <c r="M64" s="101" t="e">
        <f t="shared" ca="1" si="33"/>
        <v>#REF!</v>
      </c>
      <c r="N64" s="101" t="e">
        <f t="shared" ca="1" si="33"/>
        <v>#REF!</v>
      </c>
      <c r="O64" s="101" t="e">
        <f t="shared" ca="1" si="33"/>
        <v>#REF!</v>
      </c>
      <c r="P64" s="101" t="e">
        <f t="shared" ca="1" si="33"/>
        <v>#REF!</v>
      </c>
      <c r="Q64" s="101" t="e">
        <f t="shared" ca="1" si="33"/>
        <v>#REF!</v>
      </c>
      <c r="R64" s="101" t="e">
        <f t="shared" ca="1" si="33"/>
        <v>#REF!</v>
      </c>
      <c r="S64" s="101" t="e">
        <f t="shared" ca="1" si="33"/>
        <v>#REF!</v>
      </c>
      <c r="T64" s="101" t="e">
        <f t="shared" ca="1" si="33"/>
        <v>#REF!</v>
      </c>
    </row>
    <row r="65" spans="1:20" x14ac:dyDescent="0.2">
      <c r="A65" s="47" t="s">
        <v>752</v>
      </c>
      <c r="B65" s="103"/>
      <c r="C65"/>
      <c r="D65" s="94">
        <f t="shared" ref="D65:T65" si="34">SUM(D$128,D$137)</f>
        <v>0.50800000000000001</v>
      </c>
      <c r="E65" s="94">
        <f t="shared" si="34"/>
        <v>0.88300000000000001</v>
      </c>
      <c r="F65" s="180">
        <f t="shared" si="34"/>
        <v>0.84899999999999998</v>
      </c>
      <c r="G65" s="180">
        <f t="shared" si="34"/>
        <v>0.90599999999999992</v>
      </c>
      <c r="H65" s="180">
        <f t="shared" si="34"/>
        <v>0.96399999999999997</v>
      </c>
      <c r="I65" s="180">
        <f t="shared" si="34"/>
        <v>1.014</v>
      </c>
      <c r="J65" s="180">
        <f t="shared" si="34"/>
        <v>1.0509999999999999</v>
      </c>
      <c r="K65" s="99">
        <f t="shared" si="34"/>
        <v>1.0932977227594929</v>
      </c>
      <c r="L65" s="99">
        <f t="shared" si="34"/>
        <v>1.1638497133758055</v>
      </c>
      <c r="M65" s="99">
        <f t="shared" si="34"/>
        <v>1.2389784564981106</v>
      </c>
      <c r="N65" s="99">
        <f t="shared" si="34"/>
        <v>1.3189824606763474</v>
      </c>
      <c r="O65" s="99">
        <f t="shared" si="34"/>
        <v>1.4041798119722531</v>
      </c>
      <c r="P65" s="99">
        <f t="shared" si="34"/>
        <v>1.494909465130885</v>
      </c>
      <c r="Q65" s="99">
        <f t="shared" si="34"/>
        <v>1.5915326203836457</v>
      </c>
      <c r="R65" s="99">
        <f t="shared" si="34"/>
        <v>1.694434191593345</v>
      </c>
      <c r="S65" s="99">
        <f t="shared" si="34"/>
        <v>1.8040243718347209</v>
      </c>
      <c r="T65" s="99">
        <f t="shared" si="34"/>
        <v>1.920740302912511</v>
      </c>
    </row>
    <row r="66" spans="1:20" x14ac:dyDescent="0.2">
      <c r="A66" s="251" t="s">
        <v>858</v>
      </c>
      <c r="B66" s="103"/>
      <c r="C66"/>
      <c r="D66" s="280">
        <f>SUM(D$64:D$65)-Data!C$9</f>
        <v>9.3000000000000416E-2</v>
      </c>
      <c r="E66" s="280">
        <f>SUM(E$64:E$65)-Data!D$9</f>
        <v>1.2999999999999901E-2</v>
      </c>
      <c r="F66" s="186">
        <f>SUM(F$64:F$65)-Data!E$9</f>
        <v>-0.33199999999999985</v>
      </c>
      <c r="G66" s="186">
        <f>SUM(G$64:G$65)-Data!F$9</f>
        <v>-0.31100000000000039</v>
      </c>
      <c r="H66" s="186">
        <f>SUM(H$64:H$65)-Data!G$9</f>
        <v>-0.42799999999999994</v>
      </c>
      <c r="I66" s="186">
        <f>SUM(I$64:I$65)-Data!H$9</f>
        <v>-0.45300000000000029</v>
      </c>
      <c r="J66" s="186">
        <f>SUM(J$64:J$65)-Data!I$9</f>
        <v>-0.39299999999999891</v>
      </c>
      <c r="K66" s="107" t="e">
        <f ca="1">(J$66-SUM(J$129,J$138))*(1+K$212)+SUM(K$129,K$138)</f>
        <v>#REF!</v>
      </c>
      <c r="L66" s="107" t="e">
        <f t="shared" ref="L66:T66" ca="1" si="35">(K$66-SUM(K$129,K$138))*(1+L$212)+SUM(L$129,L$138)</f>
        <v>#REF!</v>
      </c>
      <c r="M66" s="107" t="e">
        <f t="shared" ca="1" si="35"/>
        <v>#REF!</v>
      </c>
      <c r="N66" s="107" t="e">
        <f t="shared" ca="1" si="35"/>
        <v>#REF!</v>
      </c>
      <c r="O66" s="107" t="e">
        <f t="shared" ca="1" si="35"/>
        <v>#REF!</v>
      </c>
      <c r="P66" s="107" t="e">
        <f t="shared" ca="1" si="35"/>
        <v>#REF!</v>
      </c>
      <c r="Q66" s="107" t="e">
        <f t="shared" ca="1" si="35"/>
        <v>#REF!</v>
      </c>
      <c r="R66" s="107" t="e">
        <f t="shared" ca="1" si="35"/>
        <v>#REF!</v>
      </c>
      <c r="S66" s="107" t="e">
        <f t="shared" ca="1" si="35"/>
        <v>#REF!</v>
      </c>
      <c r="T66" s="107" t="e">
        <f t="shared" ca="1" si="35"/>
        <v>#REF!</v>
      </c>
    </row>
    <row r="67" spans="1:20" x14ac:dyDescent="0.2">
      <c r="A67" s="43" t="s">
        <v>537</v>
      </c>
      <c r="B67" s="103"/>
      <c r="C67"/>
      <c r="D67" s="96">
        <f t="shared" ref="D67:T67" si="36">SUM(D$64,D$65,-D$66)</f>
        <v>2.9950000000000001</v>
      </c>
      <c r="E67" s="96">
        <f t="shared" si="36"/>
        <v>3.214</v>
      </c>
      <c r="F67" s="187">
        <f t="shared" si="36"/>
        <v>3.71</v>
      </c>
      <c r="G67" s="187">
        <f t="shared" si="36"/>
        <v>3.722</v>
      </c>
      <c r="H67" s="187">
        <f t="shared" si="36"/>
        <v>4.016</v>
      </c>
      <c r="I67" s="187">
        <f t="shared" si="36"/>
        <v>4.2120000000000006</v>
      </c>
      <c r="J67" s="187">
        <f t="shared" si="36"/>
        <v>4.3499999999999996</v>
      </c>
      <c r="K67" s="101" t="e">
        <f t="shared" ca="1" si="36"/>
        <v>#REF!</v>
      </c>
      <c r="L67" s="101" t="e">
        <f t="shared" ca="1" si="36"/>
        <v>#REF!</v>
      </c>
      <c r="M67" s="101" t="e">
        <f t="shared" ca="1" si="36"/>
        <v>#REF!</v>
      </c>
      <c r="N67" s="101" t="e">
        <f t="shared" ca="1" si="36"/>
        <v>#REF!</v>
      </c>
      <c r="O67" s="101" t="e">
        <f t="shared" ca="1" si="36"/>
        <v>#REF!</v>
      </c>
      <c r="P67" s="101" t="e">
        <f t="shared" ca="1" si="36"/>
        <v>#REF!</v>
      </c>
      <c r="Q67" s="101" t="e">
        <f t="shared" ca="1" si="36"/>
        <v>#REF!</v>
      </c>
      <c r="R67" s="101" t="e">
        <f t="shared" ca="1" si="36"/>
        <v>#REF!</v>
      </c>
      <c r="S67" s="101" t="e">
        <f t="shared" ca="1" si="36"/>
        <v>#REF!</v>
      </c>
      <c r="T67" s="101" t="e">
        <f t="shared" ca="1" si="36"/>
        <v>#REF!</v>
      </c>
    </row>
    <row r="68" spans="1:20" x14ac:dyDescent="0.2">
      <c r="A68" s="46"/>
      <c r="C68"/>
      <c r="D68" s="94"/>
      <c r="E68" s="94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</row>
    <row r="69" spans="1:20" x14ac:dyDescent="0.2">
      <c r="A69" s="147" t="s">
        <v>653</v>
      </c>
      <c r="B69" s="103"/>
      <c r="C69"/>
      <c r="D69" s="96">
        <f>D70</f>
        <v>0</v>
      </c>
      <c r="E69" s="96">
        <f ca="1">IF(OFFSET(Scenarios!$A$62,0,$C$1)="Yes",0,E$70-D$70)</f>
        <v>0</v>
      </c>
      <c r="F69" s="187">
        <f ca="1">IF(OFFSET(Scenarios!$A$62,0,$C$1)="Yes",0,F$70-E$70)</f>
        <v>0.17199999999999999</v>
      </c>
      <c r="G69" s="187">
        <f ca="1">IF(OFFSET(Scenarios!$A$62,0,$C$1)="Yes",0,G$70-F$70)</f>
        <v>1.4220000000000002</v>
      </c>
      <c r="H69" s="187">
        <f ca="1">IF(OFFSET(Scenarios!$A$62,0,$C$1)="Yes",0,H$70-G$70)</f>
        <v>1.8160000000000001</v>
      </c>
      <c r="I69" s="187">
        <f ca="1">IF(OFFSET(Scenarios!$A$62,0,$C$1)="Yes",0,I$70-H$70)</f>
        <v>1.7830000000000004</v>
      </c>
      <c r="J69" s="187">
        <f ca="1">IF(OFFSET(Scenarios!$A$62,0,$C$1)="Yes",0,J$70-I$70)</f>
        <v>1.8549999999999995</v>
      </c>
      <c r="K69" s="146">
        <f ca="1">IF(OFFSET(Scenarios!$A$62,0,$C$1)="Yes",0,IF(K$1="Proj Yr1",OFFSET(Scenarios!$A$31,0,$C$1),J$69*(1+IF(OFFSET(Scenarios!$A$35,0,$C$1)="GDP",K$212,IF(OFFSET(Scenarios!$A$35,0,$C$1)="CPI",K$215,0)))))</f>
        <v>1.544</v>
      </c>
      <c r="L69" s="146">
        <f ca="1">IF(OFFSET(Scenarios!$A$62,0,$C$1)="Yes",0,IF(L$1="Proj Yr1",OFFSET(Scenarios!$A$31,0,$C$1),K$69*(1+IF(OFFSET(Scenarios!$A$35,0,$C$1)="GDP",L$212,IF(OFFSET(Scenarios!$A$35,0,$C$1)="CPI",L$215,0)))))</f>
        <v>1.5748800000000001</v>
      </c>
      <c r="M69" s="146">
        <f ca="1">IF(OFFSET(Scenarios!$A$62,0,$C$1)="Yes",0,IF(M$1="Proj Yr1",OFFSET(Scenarios!$A$31,0,$C$1),L$69*(1+IF(OFFSET(Scenarios!$A$35,0,$C$1)="GDP",M$212,IF(OFFSET(Scenarios!$A$35,0,$C$1)="CPI",M$215,0)))))</f>
        <v>1.6063776000000001</v>
      </c>
      <c r="N69" s="146">
        <f ca="1">IF(OFFSET(Scenarios!$A$62,0,$C$1)="Yes",0,IF(N$1="Proj Yr1",OFFSET(Scenarios!$A$31,0,$C$1),M$69*(1+IF(OFFSET(Scenarios!$A$35,0,$C$1)="GDP",N$212,IF(OFFSET(Scenarios!$A$35,0,$C$1)="CPI",N$215,0)))))</f>
        <v>1.638505152</v>
      </c>
      <c r="O69" s="146">
        <f ca="1">IF(OFFSET(Scenarios!$A$62,0,$C$1)="Yes",0,IF(O$1="Proj Yr1",OFFSET(Scenarios!$A$31,0,$C$1),N$69*(1+IF(OFFSET(Scenarios!$A$35,0,$C$1)="GDP",O$212,IF(OFFSET(Scenarios!$A$35,0,$C$1)="CPI",O$215,0)))))</f>
        <v>1.6712752550400001</v>
      </c>
      <c r="P69" s="146">
        <f ca="1">IF(OFFSET(Scenarios!$A$62,0,$C$1)="Yes",0,IF(P$1="Proj Yr1",OFFSET(Scenarios!$A$31,0,$C$1),O$69*(1+IF(OFFSET(Scenarios!$A$35,0,$C$1)="GDP",P$212,IF(OFFSET(Scenarios!$A$35,0,$C$1)="CPI",P$215,0)))))</f>
        <v>1.7047007601408002</v>
      </c>
      <c r="Q69" s="146">
        <f ca="1">IF(OFFSET(Scenarios!$A$62,0,$C$1)="Yes",0,IF(Q$1="Proj Yr1",OFFSET(Scenarios!$A$31,0,$C$1),P$69*(1+IF(OFFSET(Scenarios!$A$35,0,$C$1)="GDP",Q$212,IF(OFFSET(Scenarios!$A$35,0,$C$1)="CPI",Q$215,0)))))</f>
        <v>1.7387947753436162</v>
      </c>
      <c r="R69" s="146">
        <f ca="1">IF(OFFSET(Scenarios!$A$62,0,$C$1)="Yes",0,IF(R$1="Proj Yr1",OFFSET(Scenarios!$A$31,0,$C$1),Q$69*(1+IF(OFFSET(Scenarios!$A$35,0,$C$1)="GDP",R$212,IF(OFFSET(Scenarios!$A$35,0,$C$1)="CPI",R$215,0)))))</f>
        <v>1.7735706708504886</v>
      </c>
      <c r="S69" s="146">
        <f ca="1">IF(OFFSET(Scenarios!$A$62,0,$C$1)="Yes",0,IF(S$1="Proj Yr1",OFFSET(Scenarios!$A$31,0,$C$1),R$69*(1+IF(OFFSET(Scenarios!$A$35,0,$C$1)="GDP",S$212,IF(OFFSET(Scenarios!$A$35,0,$C$1)="CPI",S$215,0)))))</f>
        <v>1.8090420842674984</v>
      </c>
      <c r="T69" s="146">
        <f ca="1">IF(OFFSET(Scenarios!$A$62,0,$C$1)="Yes",0,IF(T$1="Proj Yr1",OFFSET(Scenarios!$A$31,0,$C$1),S$69*(1+IF(OFFSET(Scenarios!$A$35,0,$C$1)="GDP",T$212,IF(OFFSET(Scenarios!$A$35,0,$C$1)="CPI",T$215,0)))))</f>
        <v>1.8452229259528483</v>
      </c>
    </row>
    <row r="70" spans="1:20" x14ac:dyDescent="0.2">
      <c r="A70" s="47" t="s">
        <v>389</v>
      </c>
      <c r="B70" s="103"/>
      <c r="C70"/>
      <c r="D70" s="281">
        <f>Data!C$31</f>
        <v>0</v>
      </c>
      <c r="E70" s="281">
        <f>Data!D$31</f>
        <v>0</v>
      </c>
      <c r="F70" s="253">
        <f>Data!E$31</f>
        <v>0.17199999999999999</v>
      </c>
      <c r="G70" s="253">
        <f>Data!F$31</f>
        <v>1.5940000000000001</v>
      </c>
      <c r="H70" s="253">
        <f>Data!G$31</f>
        <v>3.41</v>
      </c>
      <c r="I70" s="253">
        <f>Data!H$31</f>
        <v>5.1930000000000005</v>
      </c>
      <c r="J70" s="253">
        <f>Data!I$31</f>
        <v>7.048</v>
      </c>
      <c r="K70" s="136">
        <f ca="1">J$70+IF(K$1="Proj Yr1",OFFSET(Scenarios!$A$31,0,$C$1),(J$70-I$70)*(1+IF(OFFSET(Scenarios!$A$35,0,$C$1)="GDP",K$212,IF(OFFSET(Scenarios!$A$35,0,$C$1)="CPI",K$215,0))))</f>
        <v>8.5920000000000005</v>
      </c>
      <c r="L70" s="136">
        <f ca="1">K$70+IF(L$1="Proj Yr1",OFFSET(Scenarios!$A$31,0,$C$1),(K$70-J$70)*(1+IF(OFFSET(Scenarios!$A$35,0,$C$1)="GDP",L$212,IF(OFFSET(Scenarios!$A$35,0,$C$1)="CPI",L$215,0))))</f>
        <v>10.166880000000001</v>
      </c>
      <c r="M70" s="136">
        <f ca="1">L$70+IF(M$1="Proj Yr1",OFFSET(Scenarios!$A$31,0,$C$1),(L$70-K$70)*(1+IF(OFFSET(Scenarios!$A$35,0,$C$1)="GDP",M$212,IF(OFFSET(Scenarios!$A$35,0,$C$1)="CPI",M$215,0))))</f>
        <v>11.773257600000001</v>
      </c>
      <c r="N70" s="136">
        <f ca="1">M$70+IF(N$1="Proj Yr1",OFFSET(Scenarios!$A$31,0,$C$1),(M$70-L$70)*(1+IF(OFFSET(Scenarios!$A$35,0,$C$1)="GDP",N$212,IF(OFFSET(Scenarios!$A$35,0,$C$1)="CPI",N$215,0))))</f>
        <v>13.411762752000001</v>
      </c>
      <c r="O70" s="136">
        <f ca="1">N$70+IF(O$1="Proj Yr1",OFFSET(Scenarios!$A$31,0,$C$1),(N$70-M$70)*(1+IF(OFFSET(Scenarios!$A$35,0,$C$1)="GDP",O$212,IF(OFFSET(Scenarios!$A$35,0,$C$1)="CPI",O$215,0))))</f>
        <v>15.083038007040003</v>
      </c>
      <c r="P70" s="136">
        <f ca="1">O$70+IF(P$1="Proj Yr1",OFFSET(Scenarios!$A$31,0,$C$1),(O$70-N$70)*(1+IF(OFFSET(Scenarios!$A$35,0,$C$1)="GDP",P$212,IF(OFFSET(Scenarios!$A$35,0,$C$1)="CPI",P$215,0))))</f>
        <v>16.787738767180805</v>
      </c>
      <c r="Q70" s="136">
        <f ca="1">P$70+IF(Q$1="Proj Yr1",OFFSET(Scenarios!$A$31,0,$C$1),(P$70-O$70)*(1+IF(OFFSET(Scenarios!$A$35,0,$C$1)="GDP",Q$212,IF(OFFSET(Scenarios!$A$35,0,$C$1)="CPI",Q$215,0))))</f>
        <v>18.526533542524422</v>
      </c>
      <c r="R70" s="136">
        <f ca="1">Q$70+IF(R$1="Proj Yr1",OFFSET(Scenarios!$A$31,0,$C$1),(Q$70-P$70)*(1+IF(OFFSET(Scenarios!$A$35,0,$C$1)="GDP",R$212,IF(OFFSET(Scenarios!$A$35,0,$C$1)="CPI",R$215,0))))</f>
        <v>20.300104213374912</v>
      </c>
      <c r="S70" s="136">
        <f ca="1">R$70+IF(S$1="Proj Yr1",OFFSET(Scenarios!$A$31,0,$C$1),(R$70-Q$70)*(1+IF(OFFSET(Scenarios!$A$35,0,$C$1)="GDP",S$212,IF(OFFSET(Scenarios!$A$35,0,$C$1)="CPI",S$215,0))))</f>
        <v>22.109146297642411</v>
      </c>
      <c r="T70" s="136">
        <f ca="1">S$70+IF(T$1="Proj Yr1",OFFSET(Scenarios!$A$31,0,$C$1),(S$70-R$70)*(1+IF(OFFSET(Scenarios!$A$35,0,$C$1)="GDP",T$212,IF(OFFSET(Scenarios!$A$35,0,$C$1)="CPI",T$215,0))))</f>
        <v>23.954369223595261</v>
      </c>
    </row>
    <row r="71" spans="1:20" x14ac:dyDescent="0.2">
      <c r="A71" s="46"/>
      <c r="C71" s="98"/>
      <c r="D71" s="98"/>
      <c r="E71" s="98"/>
      <c r="F71" s="190"/>
      <c r="G71" s="190"/>
      <c r="H71" s="190"/>
      <c r="I71" s="190"/>
      <c r="J71" s="190"/>
      <c r="K71" s="106"/>
      <c r="L71" s="106"/>
      <c r="M71" s="106"/>
      <c r="N71" s="106"/>
      <c r="O71" s="106"/>
      <c r="P71" s="106"/>
      <c r="Q71" s="106"/>
      <c r="R71" s="106"/>
      <c r="S71" s="106"/>
      <c r="T71" s="106"/>
    </row>
    <row r="72" spans="1:20" x14ac:dyDescent="0.2">
      <c r="A72" s="147" t="s">
        <v>654</v>
      </c>
      <c r="C72" s="99"/>
      <c r="D72" s="94"/>
      <c r="E72" s="94"/>
      <c r="F72" s="99"/>
      <c r="G72" s="99"/>
      <c r="H72" s="99"/>
      <c r="I72" s="99"/>
      <c r="J72" s="99"/>
      <c r="T72" s="99"/>
    </row>
    <row r="73" spans="1:20" x14ac:dyDescent="0.2">
      <c r="A73" s="47" t="s">
        <v>352</v>
      </c>
      <c r="B73" s="54"/>
      <c r="C73" s="99"/>
      <c r="D73" s="94">
        <f>Data!C$140</f>
        <v>6.81</v>
      </c>
      <c r="E73" s="94">
        <f>Data!D$140</f>
        <v>7.3479999999999999</v>
      </c>
      <c r="F73" s="180">
        <f>Data!E$140</f>
        <v>7.7519999999999998</v>
      </c>
      <c r="G73" s="180">
        <f>Data!F$140</f>
        <v>8.3070000000000004</v>
      </c>
      <c r="H73" s="180">
        <f>Data!G$140</f>
        <v>8.9150000000000009</v>
      </c>
      <c r="I73" s="180">
        <f>Data!H$140</f>
        <v>9.625</v>
      </c>
      <c r="J73" s="180">
        <f>Data!I$140</f>
        <v>10.257</v>
      </c>
      <c r="K73" s="99">
        <f ca="1">J$73*(K$84/J$84)*(1+Popn!K$201)</f>
        <v>10.957309270394893</v>
      </c>
      <c r="L73" s="99">
        <f ca="1">K$73*(L$84/K$84)*(1+Popn!L$201)</f>
        <v>11.700032661689965</v>
      </c>
      <c r="M73" s="99">
        <f ca="1">L$73*(M$84/L$84)*(1+Popn!M$201)</f>
        <v>12.464613543211835</v>
      </c>
      <c r="N73" s="99">
        <f ca="1">M$73*(N$84/M$84)*(1+Popn!N$201)</f>
        <v>13.271933074652106</v>
      </c>
      <c r="O73" s="99">
        <f ca="1">N$73*(O$84/N$84)*(1+Popn!O$201)</f>
        <v>14.117602655751611</v>
      </c>
      <c r="P73" s="99">
        <f ca="1">O$73*(P$84/O$84)*(1+Popn!P$201)</f>
        <v>15.023903649369961</v>
      </c>
      <c r="Q73" s="99">
        <f ca="1">P$73*(Q$84/P$84)*(1+Popn!Q$201)</f>
        <v>15.987327883484665</v>
      </c>
      <c r="R73" s="99">
        <f ca="1">Q$73*(R$84/Q$84)*(1+Popn!R$201)</f>
        <v>17.084917689143182</v>
      </c>
      <c r="S73" s="99">
        <f ca="1">R$73*(S$84/R$84)*(1+Popn!S$201)</f>
        <v>18.250467410895027</v>
      </c>
      <c r="T73" s="99">
        <f ca="1">S$73*(T$84/S$84)*(1+Popn!T$201)</f>
        <v>19.480601782291384</v>
      </c>
    </row>
    <row r="74" spans="1:20" x14ac:dyDescent="0.2">
      <c r="A74" s="47" t="s">
        <v>313</v>
      </c>
      <c r="B74" s="54"/>
      <c r="C74" s="99"/>
      <c r="D74" s="94">
        <f>Data!C$143</f>
        <v>0.61299999999999999</v>
      </c>
      <c r="E74" s="94">
        <f>Data!D$143</f>
        <v>0.45800000000000002</v>
      </c>
      <c r="F74" s="180">
        <f>Data!E$143</f>
        <v>0.54400000000000004</v>
      </c>
      <c r="G74" s="180">
        <f>Data!F$143</f>
        <v>0.7669999999999999</v>
      </c>
      <c r="H74" s="180">
        <f>Data!G$143</f>
        <v>0.82499999999999996</v>
      </c>
      <c r="I74" s="180">
        <f>Data!H$143</f>
        <v>0.77100000000000002</v>
      </c>
      <c r="J74" s="180">
        <f>Data!I$143</f>
        <v>0.68100000000000005</v>
      </c>
      <c r="K74" s="99">
        <f ca="1">J$74*(K$86/J$86)*(1+K$215)</f>
        <v>0.6860922838975928</v>
      </c>
      <c r="L74" s="99">
        <f t="shared" ref="L74:T74" ca="1" si="37">K$74*(L$86/K$86)*(1+L$215)</f>
        <v>0.69101649667280196</v>
      </c>
      <c r="M74" s="99">
        <f t="shared" ca="1" si="37"/>
        <v>0.69545192846230541</v>
      </c>
      <c r="N74" s="99">
        <f t="shared" ca="1" si="37"/>
        <v>0.70053610231747065</v>
      </c>
      <c r="O74" s="99">
        <f t="shared" ca="1" si="37"/>
        <v>0.71938650036823137</v>
      </c>
      <c r="P74" s="99">
        <f t="shared" ca="1" si="37"/>
        <v>0.73853135492722843</v>
      </c>
      <c r="Q74" s="99">
        <f t="shared" ca="1" si="37"/>
        <v>0.7580108030335867</v>
      </c>
      <c r="R74" s="99">
        <f t="shared" ca="1" si="37"/>
        <v>0.77776299294966778</v>
      </c>
      <c r="S74" s="99">
        <f t="shared" ca="1" si="37"/>
        <v>0.79800466818381599</v>
      </c>
      <c r="T74" s="99">
        <f t="shared" ca="1" si="37"/>
        <v>0.81839225046270836</v>
      </c>
    </row>
    <row r="75" spans="1:20" x14ac:dyDescent="0.2">
      <c r="A75" s="47" t="s">
        <v>344</v>
      </c>
      <c r="B75" s="54"/>
      <c r="C75" s="99"/>
      <c r="D75" s="94">
        <f>SUM(Data!C$141,Data!C$144,Data!C$145)</f>
        <v>3.1729999999999996</v>
      </c>
      <c r="E75" s="94">
        <f>SUM(Data!D$141,Data!D$144,Data!D$145)</f>
        <v>3.2759999999999998</v>
      </c>
      <c r="F75" s="180">
        <f>SUM(Data!E$141,Data!E$144,Data!E$145)</f>
        <v>3.3679999999999999</v>
      </c>
      <c r="G75" s="180">
        <f>SUM(Data!F$141,Data!F$144,Data!F$145)</f>
        <v>3.4669999999999996</v>
      </c>
      <c r="H75" s="180">
        <f>SUM(Data!G$141,Data!G$144,Data!G$145)</f>
        <v>3.5350000000000001</v>
      </c>
      <c r="I75" s="180">
        <f>SUM(Data!H$141,Data!H$144,Data!H$145)</f>
        <v>3.6109999999999998</v>
      </c>
      <c r="J75" s="180">
        <f>SUM(Data!I$141,Data!I$144,Data!I$145)</f>
        <v>3.6639999999999997</v>
      </c>
      <c r="K75" s="99">
        <f ca="1">J$75*(1+K$215)*(1+SUMPRODUCT(Popn!K$204:K$214,Tracks!$H$91:$H$101)+SUMPRODUCT(Popn!K$215:K$225,Tracks!$I$91:$I$101))</f>
        <v>3.7551765824540979</v>
      </c>
      <c r="L75" s="99">
        <f ca="1">K$75*(1+L$215)*(1+SUMPRODUCT(Popn!L$204:L$214,Tracks!$H$91:$H$101)+SUMPRODUCT(Popn!L$215:L$225,Tracks!$I$91:$I$101))</f>
        <v>3.8478410573361446</v>
      </c>
      <c r="M75" s="99">
        <f ca="1">L$75*(1+M$215)*(1+SUMPRODUCT(Popn!M$204:M$214,Tracks!$H$91:$H$101)+SUMPRODUCT(Popn!M$215:M$225,Tracks!$I$91:$I$101))</f>
        <v>3.9431754481611119</v>
      </c>
      <c r="N75" s="99">
        <f ca="1">M$75*(1+N$215)*(1+SUMPRODUCT(Popn!N$204:N$214,Tracks!$H$91:$H$101)+SUMPRODUCT(Popn!N$215:N$225,Tracks!$I$91:$I$101))</f>
        <v>4.0374177762179295</v>
      </c>
      <c r="O75" s="99">
        <f ca="1">N$75*(1+O$215)*(1+SUMPRODUCT(Popn!O$204:O$214,Tracks!$H$91:$H$101)+SUMPRODUCT(Popn!O$215:O$225,Tracks!$I$91:$I$101))</f>
        <v>4.1363983686095436</v>
      </c>
      <c r="P75" s="99">
        <f ca="1">O$75*(1+P$215)*(1+SUMPRODUCT(Popn!P$204:P$214,Tracks!$H$91:$H$101)+SUMPRODUCT(Popn!P$215:P$225,Tracks!$I$91:$I$101))</f>
        <v>4.2344100036564738</v>
      </c>
      <c r="Q75" s="99">
        <f ca="1">P$75*(1+Q$215)*(1+SUMPRODUCT(Popn!Q$204:Q$214,Tracks!$H$91:$H$101)+SUMPRODUCT(Popn!Q$215:Q$225,Tracks!$I$91:$I$101))</f>
        <v>4.3332001633225312</v>
      </c>
      <c r="R75" s="99">
        <f ca="1">Q$75*(1+R$215)*(1+SUMPRODUCT(Popn!R$204:R$214,Tracks!$H$91:$H$101)+SUMPRODUCT(Popn!R$215:R$225,Tracks!$I$91:$I$101))</f>
        <v>4.4324194348157091</v>
      </c>
      <c r="S75" s="99">
        <f ca="1">R$75*(1+S$215)*(1+SUMPRODUCT(Popn!S$204:S$214,Tracks!$H$91:$H$101)+SUMPRODUCT(Popn!S$215:S$225,Tracks!$I$91:$I$101))</f>
        <v>4.5328677553697929</v>
      </c>
      <c r="T75" s="99">
        <f ca="1">S$75*(1+T$215)*(1+SUMPRODUCT(Popn!T$204:T$214,Tracks!$H$91:$H$101)+SUMPRODUCT(Popn!T$215:T$225,Tracks!$I$91:$I$101))</f>
        <v>4.6345991447585222</v>
      </c>
    </row>
    <row r="76" spans="1:20" x14ac:dyDescent="0.2">
      <c r="A76" s="258" t="s">
        <v>346</v>
      </c>
      <c r="B76" s="54"/>
      <c r="C76" s="99"/>
      <c r="D76" s="280">
        <f>Data!C$40-SUM(D$73:D$75)</f>
        <v>6.1720000000000006</v>
      </c>
      <c r="E76" s="280">
        <f>Data!D$40-SUM(E$73:E$75)</f>
        <v>6.7949999999999982</v>
      </c>
      <c r="F76" s="186">
        <f>Data!E$40-SUM(F$73:F$75)</f>
        <v>7.5489999999999977</v>
      </c>
      <c r="G76" s="186">
        <f>Data!F$40-SUM(G$73:G$75)</f>
        <v>7.7689999999999984</v>
      </c>
      <c r="H76" s="186">
        <f>Data!G$40-SUM(H$73:H$75)</f>
        <v>7.9210000000000012</v>
      </c>
      <c r="I76" s="186">
        <f>Data!H$40-SUM(I$73:I$75)</f>
        <v>8.0859999999999985</v>
      </c>
      <c r="J76" s="186">
        <f>Data!I$40-SUM(J$73:J$75)</f>
        <v>8.2910000000000021</v>
      </c>
      <c r="K76" s="107">
        <f ca="1">J$76*(1+K$215)*(1+AVERAGE(Popn!K$197,Popn!K$202))</f>
        <v>8.4938029033537319</v>
      </c>
      <c r="L76" s="107">
        <f ca="1">K$76*(1+L$215)*(1+AVERAGE(Popn!L$197,Popn!L$202))</f>
        <v>8.6997711864672276</v>
      </c>
      <c r="M76" s="107">
        <f ca="1">L$76*(1+M$215)*(1+AVERAGE(Popn!M$197,Popn!M$202))</f>
        <v>8.9130303308407566</v>
      </c>
      <c r="N76" s="107">
        <f ca="1">M$76*(1+N$215)*(1+AVERAGE(Popn!N$197,Popn!N$202))</f>
        <v>9.1364034669429053</v>
      </c>
      <c r="O76" s="107">
        <f ca="1">N$76*(1+O$215)*(1+AVERAGE(Popn!O$197,Popn!O$202))</f>
        <v>9.3634834900883064</v>
      </c>
      <c r="P76" s="107">
        <f ca="1">O$76*(1+P$215)*(1+AVERAGE(Popn!P$197,Popn!P$202))</f>
        <v>9.5989148223534588</v>
      </c>
      <c r="Q76" s="107">
        <f ca="1">P$76*(1+Q$215)*(1+AVERAGE(Popn!Q$197,Popn!Q$202))</f>
        <v>9.8320522263478516</v>
      </c>
      <c r="R76" s="107">
        <f ca="1">Q$76*(1+R$215)*(1+AVERAGE(Popn!R$197,Popn!R$202))</f>
        <v>10.073835206507214</v>
      </c>
      <c r="S76" s="107">
        <f ca="1">R$76*(1+S$215)*(1+AVERAGE(Popn!S$197,Popn!S$202))</f>
        <v>10.329629591262954</v>
      </c>
      <c r="T76" s="107">
        <f ca="1">S$76*(1+T$215)*(1+AVERAGE(Popn!T$197,Popn!T$202))</f>
        <v>10.588592065839711</v>
      </c>
    </row>
    <row r="77" spans="1:20" x14ac:dyDescent="0.2">
      <c r="A77" s="43" t="s">
        <v>689</v>
      </c>
      <c r="B77" s="54"/>
      <c r="C77" s="99"/>
      <c r="D77" s="96">
        <f t="shared" ref="D77:T77" si="38">SUM(D$73:D$76)</f>
        <v>16.768000000000001</v>
      </c>
      <c r="E77" s="96">
        <f t="shared" si="38"/>
        <v>17.876999999999999</v>
      </c>
      <c r="F77" s="187">
        <f t="shared" si="38"/>
        <v>19.212999999999997</v>
      </c>
      <c r="G77" s="187">
        <f t="shared" si="38"/>
        <v>20.309999999999999</v>
      </c>
      <c r="H77" s="187">
        <f t="shared" si="38"/>
        <v>21.196000000000002</v>
      </c>
      <c r="I77" s="187">
        <f t="shared" si="38"/>
        <v>22.093</v>
      </c>
      <c r="J77" s="187">
        <f t="shared" si="38"/>
        <v>22.893000000000001</v>
      </c>
      <c r="K77" s="101">
        <f t="shared" ca="1" si="38"/>
        <v>23.892381040100314</v>
      </c>
      <c r="L77" s="101">
        <f t="shared" ca="1" si="38"/>
        <v>24.93866140216614</v>
      </c>
      <c r="M77" s="101">
        <f t="shared" ca="1" si="38"/>
        <v>26.016271250676006</v>
      </c>
      <c r="N77" s="101">
        <f t="shared" ca="1" si="38"/>
        <v>27.146290420130413</v>
      </c>
      <c r="O77" s="101">
        <f t="shared" ca="1" si="38"/>
        <v>28.336871014817692</v>
      </c>
      <c r="P77" s="101">
        <f t="shared" ca="1" si="38"/>
        <v>29.595759830307124</v>
      </c>
      <c r="Q77" s="101">
        <f t="shared" ca="1" si="38"/>
        <v>30.910591076188634</v>
      </c>
      <c r="R77" s="101">
        <f t="shared" ca="1" si="38"/>
        <v>32.368935323415776</v>
      </c>
      <c r="S77" s="101">
        <f t="shared" ca="1" si="38"/>
        <v>33.910969425711585</v>
      </c>
      <c r="T77" s="101">
        <f t="shared" ca="1" si="38"/>
        <v>35.522185243352325</v>
      </c>
    </row>
    <row r="78" spans="1:20" x14ac:dyDescent="0.2">
      <c r="A78" s="47" t="s">
        <v>347</v>
      </c>
      <c r="B78" s="135"/>
      <c r="C78" s="99"/>
      <c r="D78" s="94">
        <f>Data!C$112</f>
        <v>3.665</v>
      </c>
      <c r="E78" s="94">
        <f>Data!D$112</f>
        <v>4.3070000000000004</v>
      </c>
      <c r="F78" s="142">
        <f>Data!E$112</f>
        <v>4.9420000000000002</v>
      </c>
      <c r="G78" s="142">
        <f>Data!F$112</f>
        <v>5.1340000000000003</v>
      </c>
      <c r="H78" s="142">
        <f>Data!G$112</f>
        <v>5.4729999999999999</v>
      </c>
      <c r="I78" s="142">
        <f>Data!H$112</f>
        <v>5.8490000000000002</v>
      </c>
      <c r="J78" s="142">
        <f>Data!I$112</f>
        <v>6.218</v>
      </c>
      <c r="K78" s="99" t="e">
        <f t="shared" ref="K78:T78" ca="1" si="39">J$78+SUM(K$125-J$125,K$130,K$131)-SUM(J$125-I$125,J$130,J$131)</f>
        <v>#REF!</v>
      </c>
      <c r="L78" s="99" t="e">
        <f t="shared" ca="1" si="39"/>
        <v>#REF!</v>
      </c>
      <c r="M78" s="99" t="e">
        <f t="shared" ca="1" si="39"/>
        <v>#REF!</v>
      </c>
      <c r="N78" s="99" t="e">
        <f t="shared" ca="1" si="39"/>
        <v>#REF!</v>
      </c>
      <c r="O78" s="99" t="e">
        <f t="shared" ca="1" si="39"/>
        <v>#REF!</v>
      </c>
      <c r="P78" s="99" t="e">
        <f t="shared" ca="1" si="39"/>
        <v>#REF!</v>
      </c>
      <c r="Q78" s="99" t="e">
        <f t="shared" ca="1" si="39"/>
        <v>#REF!</v>
      </c>
      <c r="R78" s="99" t="e">
        <f t="shared" ca="1" si="39"/>
        <v>#REF!</v>
      </c>
      <c r="S78" s="99" t="e">
        <f t="shared" ca="1" si="39"/>
        <v>#REF!</v>
      </c>
      <c r="T78" s="99" t="e">
        <f t="shared" ca="1" si="39"/>
        <v>#REF!</v>
      </c>
    </row>
    <row r="79" spans="1:20" x14ac:dyDescent="0.2">
      <c r="A79" s="259" t="s">
        <v>850</v>
      </c>
      <c r="B79" s="135"/>
      <c r="C79" s="99"/>
      <c r="D79" s="280">
        <f>Data!C$113</f>
        <v>0.60399999999999998</v>
      </c>
      <c r="E79" s="280">
        <f>Data!D$113</f>
        <v>0.67500000000000004</v>
      </c>
      <c r="F79" s="186">
        <f>Data!E$113</f>
        <v>0.71599999999999997</v>
      </c>
      <c r="G79" s="186">
        <f>Data!F$113</f>
        <v>0.74099999999999999</v>
      </c>
      <c r="H79" s="186">
        <f>Data!G$113</f>
        <v>0.78</v>
      </c>
      <c r="I79" s="186">
        <f>Data!H$113</f>
        <v>0.82199999999999995</v>
      </c>
      <c r="J79" s="186">
        <f>Data!I$113</f>
        <v>0.86099999999999999</v>
      </c>
      <c r="K79" s="107" t="e">
        <f ca="1">J$79*K$78/J$78</f>
        <v>#REF!</v>
      </c>
      <c r="L79" s="107" t="e">
        <f t="shared" ref="L79:T79" ca="1" si="40">K$79*L$78/K$78</f>
        <v>#REF!</v>
      </c>
      <c r="M79" s="107" t="e">
        <f t="shared" ca="1" si="40"/>
        <v>#REF!</v>
      </c>
      <c r="N79" s="107" t="e">
        <f t="shared" ca="1" si="40"/>
        <v>#REF!</v>
      </c>
      <c r="O79" s="107" t="e">
        <f t="shared" ca="1" si="40"/>
        <v>#REF!</v>
      </c>
      <c r="P79" s="107" t="e">
        <f t="shared" ca="1" si="40"/>
        <v>#REF!</v>
      </c>
      <c r="Q79" s="107" t="e">
        <f t="shared" ca="1" si="40"/>
        <v>#REF!</v>
      </c>
      <c r="R79" s="107" t="e">
        <f t="shared" ca="1" si="40"/>
        <v>#REF!</v>
      </c>
      <c r="S79" s="107" t="e">
        <f t="shared" ca="1" si="40"/>
        <v>#REF!</v>
      </c>
      <c r="T79" s="107" t="e">
        <f t="shared" ca="1" si="40"/>
        <v>#REF!</v>
      </c>
    </row>
    <row r="80" spans="1:20" x14ac:dyDescent="0.2">
      <c r="A80" s="43" t="s">
        <v>646</v>
      </c>
      <c r="B80" s="54"/>
      <c r="C80" s="99"/>
      <c r="D80" s="96">
        <f t="shared" ref="D80:T80" si="41">SUM(D$77,D$78,-D$79)</f>
        <v>19.829000000000001</v>
      </c>
      <c r="E80" s="96">
        <f t="shared" si="41"/>
        <v>21.508999999999997</v>
      </c>
      <c r="F80" s="187">
        <f t="shared" si="41"/>
        <v>23.438999999999997</v>
      </c>
      <c r="G80" s="187">
        <f t="shared" si="41"/>
        <v>24.702999999999999</v>
      </c>
      <c r="H80" s="187">
        <f t="shared" si="41"/>
        <v>25.888999999999999</v>
      </c>
      <c r="I80" s="187">
        <f t="shared" si="41"/>
        <v>27.12</v>
      </c>
      <c r="J80" s="187">
        <f t="shared" si="41"/>
        <v>28.25</v>
      </c>
      <c r="K80" s="101" t="e">
        <f t="shared" ca="1" si="41"/>
        <v>#REF!</v>
      </c>
      <c r="L80" s="101" t="e">
        <f t="shared" ca="1" si="41"/>
        <v>#REF!</v>
      </c>
      <c r="M80" s="101" t="e">
        <f t="shared" ca="1" si="41"/>
        <v>#REF!</v>
      </c>
      <c r="N80" s="101" t="e">
        <f t="shared" ca="1" si="41"/>
        <v>#REF!</v>
      </c>
      <c r="O80" s="101" t="e">
        <f t="shared" ca="1" si="41"/>
        <v>#REF!</v>
      </c>
      <c r="P80" s="101" t="e">
        <f t="shared" ca="1" si="41"/>
        <v>#REF!</v>
      </c>
      <c r="Q80" s="101" t="e">
        <f t="shared" ca="1" si="41"/>
        <v>#REF!</v>
      </c>
      <c r="R80" s="101" t="e">
        <f t="shared" ca="1" si="41"/>
        <v>#REF!</v>
      </c>
      <c r="S80" s="101" t="e">
        <f t="shared" ca="1" si="41"/>
        <v>#REF!</v>
      </c>
      <c r="T80" s="101" t="e">
        <f t="shared" ca="1" si="41"/>
        <v>#REF!</v>
      </c>
    </row>
    <row r="81" spans="1:20" x14ac:dyDescent="0.2">
      <c r="A81" s="147" t="s">
        <v>655</v>
      </c>
      <c r="C81" s="99"/>
      <c r="D81" s="94"/>
      <c r="E81" s="94"/>
      <c r="F81" s="180"/>
      <c r="G81" s="180"/>
      <c r="H81" s="180"/>
      <c r="I81" s="180"/>
      <c r="J81" s="180"/>
      <c r="T81" s="99"/>
    </row>
    <row r="82" spans="1:20" x14ac:dyDescent="0.2">
      <c r="A82" s="47" t="s">
        <v>235</v>
      </c>
      <c r="C82" s="99"/>
      <c r="D82" s="282">
        <f>Data!C$212</f>
        <v>832.54</v>
      </c>
      <c r="E82" s="282">
        <f>Data!D$212</f>
        <v>861.55</v>
      </c>
      <c r="F82" s="275">
        <f>Data!E$212</f>
        <v>906.02</v>
      </c>
      <c r="G82" s="275">
        <f>Data!F$212</f>
        <v>944</v>
      </c>
      <c r="H82" s="275">
        <f>Data!G$212</f>
        <v>978.23</v>
      </c>
      <c r="I82" s="275">
        <f>Data!H$212</f>
        <v>1007.55</v>
      </c>
      <c r="J82" s="275">
        <f>Data!I$212</f>
        <v>1037.4100000000001</v>
      </c>
      <c r="K82" s="276">
        <f ca="1">J$82*(1+K$228)*(1+K$215)</f>
        <v>1074.030573</v>
      </c>
      <c r="L82" s="276">
        <f t="shared" ref="L82:T82" ca="1" si="42">K$82*(1+L$228)*(1+L$215)</f>
        <v>1111.9438522268999</v>
      </c>
      <c r="M82" s="276">
        <f t="shared" ca="1" si="42"/>
        <v>1151.1954702105093</v>
      </c>
      <c r="N82" s="276">
        <f t="shared" ca="1" si="42"/>
        <v>1191.8326703089401</v>
      </c>
      <c r="O82" s="276">
        <f t="shared" ca="1" si="42"/>
        <v>1233.9043635708456</v>
      </c>
      <c r="P82" s="276">
        <f t="shared" ca="1" si="42"/>
        <v>1277.4611876048964</v>
      </c>
      <c r="Q82" s="276">
        <f t="shared" ca="1" si="42"/>
        <v>1322.5555675273492</v>
      </c>
      <c r="R82" s="276">
        <f t="shared" ca="1" si="42"/>
        <v>1369.2417790610646</v>
      </c>
      <c r="S82" s="276">
        <f t="shared" ca="1" si="42"/>
        <v>1417.57601386192</v>
      </c>
      <c r="T82" s="276">
        <f t="shared" ca="1" si="42"/>
        <v>1467.6164471512457</v>
      </c>
    </row>
    <row r="83" spans="1:20" x14ac:dyDescent="0.2">
      <c r="A83" s="47" t="s">
        <v>236</v>
      </c>
      <c r="C83" s="99"/>
      <c r="D83" s="282">
        <f>Data!C$212-Data!C$185</f>
        <v>186.71999999999991</v>
      </c>
      <c r="E83" s="282">
        <f>Data!D$212-Data!D$185</f>
        <v>197.52999999999997</v>
      </c>
      <c r="F83" s="275">
        <f>Data!E$212-Data!E$185</f>
        <v>180.05999999999995</v>
      </c>
      <c r="G83" s="275">
        <f>Data!F$212-Data!F$185</f>
        <v>188.57000000000005</v>
      </c>
      <c r="H83" s="275">
        <f>Data!G$212-Data!G$185</f>
        <v>191.24</v>
      </c>
      <c r="I83" s="275">
        <f>Data!H$212-Data!H$185</f>
        <v>201.21999999999991</v>
      </c>
      <c r="J83" s="275">
        <f>Data!I$212-Data!I$185</f>
        <v>211.54000000000008</v>
      </c>
      <c r="K83" s="276">
        <f ca="1">J$83*(1+IF(AND(OFFSET(Scenarios!$A$24,0,$C$1)="YES",MID(OFFSET(Scenarios!$A$26,0,$C$1),6,2)&gt;=MID(K$3,4,2)),IF(OFFSET(Scenarios!$A$29,0,$C$1)="Inflation",1,OFFSET(Scenarios!$A$25,0,$C$1)),1)*K$228)*(1+IF(AND(OFFSET(Scenarios!$A$24,0,$C$1)="YES",MID(OFFSET(Scenarios!$A$26,0,$C$1),6,2)&gt;=MID(K$3,4,2)),IF(OFFSET(Scenarios!$A$29,0,$C$1)="Wage",1,OFFSET(Scenarios!$A$25,0,$C$1)),1)*K$215)</f>
        <v>221.65092449500008</v>
      </c>
      <c r="L83" s="276">
        <f ca="1">K$83*(1+IF(AND(OFFSET(Scenarios!$A$24,0,$C$1)="YES",MID(OFFSET(Scenarios!$A$26,0,$C$1),6,2)&gt;=MID(L$3,4,2)),IF(OFFSET(Scenarios!$A$29,0,$C$1)="Inflation",1,OFFSET(Scenarios!$A$25,0,$C$1)),1)*L$228)*(1+IF(AND(OFFSET(Scenarios!$A$24,0,$C$1)="YES",MID(OFFSET(Scenarios!$A$26,0,$C$1),6,2)&gt;=MID(L$3,4,2)),IF(OFFSET(Scenarios!$A$29,0,$C$1)="Wage",1,OFFSET(Scenarios!$A$25,0,$C$1)),1)*L$215)</f>
        <v>232.24511832035648</v>
      </c>
      <c r="M83" s="276">
        <f ca="1">L$83*(1+IF(AND(OFFSET(Scenarios!$A$24,0,$C$1)="YES",MID(OFFSET(Scenarios!$A$26,0,$C$1),6,2)&gt;=MID(M$3,4,2)),IF(OFFSET(Scenarios!$A$29,0,$C$1)="Inflation",1,OFFSET(Scenarios!$A$25,0,$C$1)),1)*M$228)*(1+IF(AND(OFFSET(Scenarios!$A$24,0,$C$1)="YES",MID(OFFSET(Scenarios!$A$26,0,$C$1),6,2)&gt;=MID(M$3,4,2)),IF(OFFSET(Scenarios!$A$29,0,$C$1)="Wage",1,OFFSET(Scenarios!$A$25,0,$C$1)),1)*M$215)</f>
        <v>243.34568017943499</v>
      </c>
      <c r="N83" s="276">
        <f ca="1">M$83*(1+IF(AND(OFFSET(Scenarios!$A$24,0,$C$1)="YES",MID(OFFSET(Scenarios!$A$26,0,$C$1),6,2)&gt;=MID(N$3,4,2)),IF(OFFSET(Scenarios!$A$29,0,$C$1)="Inflation",1,OFFSET(Scenarios!$A$25,0,$C$1)),1)*N$228)*(1+IF(AND(OFFSET(Scenarios!$A$24,0,$C$1)="YES",MID(OFFSET(Scenarios!$A$26,0,$C$1),6,2)&gt;=MID(N$3,4,2)),IF(OFFSET(Scenarios!$A$29,0,$C$1)="Wage",1,OFFSET(Scenarios!$A$25,0,$C$1)),1)*N$215)</f>
        <v>254.97681281855142</v>
      </c>
      <c r="O83" s="276">
        <f ca="1">N$83*(1+IF(AND(OFFSET(Scenarios!$A$24,0,$C$1)="YES",MID(OFFSET(Scenarios!$A$26,0,$C$1),6,2)&gt;=MID(O$3,4,2)),IF(OFFSET(Scenarios!$A$29,0,$C$1)="Inflation",1,OFFSET(Scenarios!$A$25,0,$C$1)),1)*O$228)*(1+IF(AND(OFFSET(Scenarios!$A$24,0,$C$1)="YES",MID(OFFSET(Scenarios!$A$26,0,$C$1),6,2)&gt;=MID(O$3,4,2)),IF(OFFSET(Scenarios!$A$29,0,$C$1)="Wage",1,OFFSET(Scenarios!$A$25,0,$C$1)),1)*O$215)</f>
        <v>267.16387579663649</v>
      </c>
      <c r="P83" s="276">
        <f ca="1">O$83*(1+IF(AND(OFFSET(Scenarios!$A$24,0,$C$1)="YES",MID(OFFSET(Scenarios!$A$26,0,$C$1),6,2)&gt;=MID(P$3,4,2)),IF(OFFSET(Scenarios!$A$29,0,$C$1)="Inflation",1,OFFSET(Scenarios!$A$25,0,$C$1)),1)*P$228)*(1+IF(AND(OFFSET(Scenarios!$A$24,0,$C$1)="YES",MID(OFFSET(Scenarios!$A$26,0,$C$1),6,2)&gt;=MID(P$3,4,2)),IF(OFFSET(Scenarios!$A$29,0,$C$1)="Wage",1,OFFSET(Scenarios!$A$25,0,$C$1)),1)*P$215)</f>
        <v>279.93344077711936</v>
      </c>
      <c r="Q83" s="276">
        <f ca="1">P$83*(1+IF(AND(OFFSET(Scenarios!$A$24,0,$C$1)="YES",MID(OFFSET(Scenarios!$A$26,0,$C$1),6,2)&gt;=MID(Q$3,4,2)),IF(OFFSET(Scenarios!$A$29,0,$C$1)="Inflation",1,OFFSET(Scenarios!$A$25,0,$C$1)),1)*Q$228)*(1+IF(AND(OFFSET(Scenarios!$A$24,0,$C$1)="YES",MID(OFFSET(Scenarios!$A$26,0,$C$1),6,2)&gt;=MID(Q$3,4,2)),IF(OFFSET(Scenarios!$A$29,0,$C$1)="Wage",1,OFFSET(Scenarios!$A$25,0,$C$1)),1)*Q$215)</f>
        <v>293.31334946258312</v>
      </c>
      <c r="R83" s="276">
        <f ca="1">Q$83*(1+IF(AND(OFFSET(Scenarios!$A$24,0,$C$1)="YES",MID(OFFSET(Scenarios!$A$26,0,$C$1),6,2)&gt;=MID(R$3,4,2)),IF(OFFSET(Scenarios!$A$29,0,$C$1)="Inflation",1,OFFSET(Scenarios!$A$25,0,$C$1)),1)*R$228)*(1+IF(AND(OFFSET(Scenarios!$A$24,0,$C$1)="YES",MID(OFFSET(Scenarios!$A$26,0,$C$1),6,2)&gt;=MID(R$3,4,2)),IF(OFFSET(Scenarios!$A$29,0,$C$1)="Wage",1,OFFSET(Scenarios!$A$25,0,$C$1)),1)*R$215)</f>
        <v>303.66731069861225</v>
      </c>
      <c r="S83" s="276">
        <f ca="1">R$83*(1+IF(AND(OFFSET(Scenarios!$A$24,0,$C$1)="YES",MID(OFFSET(Scenarios!$A$26,0,$C$1),6,2)&gt;=MID(S$3,4,2)),IF(OFFSET(Scenarios!$A$29,0,$C$1)="Inflation",1,OFFSET(Scenarios!$A$25,0,$C$1)),1)*S$228)*(1+IF(AND(OFFSET(Scenarios!$A$24,0,$C$1)="YES",MID(OFFSET(Scenarios!$A$26,0,$C$1),6,2)&gt;=MID(S$3,4,2)),IF(OFFSET(Scenarios!$A$29,0,$C$1)="Wage",1,OFFSET(Scenarios!$A$25,0,$C$1)),1)*S$215)</f>
        <v>314.38676676627324</v>
      </c>
      <c r="T83" s="276">
        <f ca="1">S$83*(1+IF(AND(OFFSET(Scenarios!$A$24,0,$C$1)="YES",MID(OFFSET(Scenarios!$A$26,0,$C$1),6,2)&gt;=MID(T$3,4,2)),IF(OFFSET(Scenarios!$A$29,0,$C$1)="Inflation",1,OFFSET(Scenarios!$A$25,0,$C$1)),1)*T$228)*(1+IF(AND(OFFSET(Scenarios!$A$24,0,$C$1)="YES",MID(OFFSET(Scenarios!$A$26,0,$C$1),6,2)&gt;=MID(T$3,4,2)),IF(OFFSET(Scenarios!$A$29,0,$C$1)="Wage",1,OFFSET(Scenarios!$A$25,0,$C$1)),1)*T$215)</f>
        <v>325.48461963312263</v>
      </c>
    </row>
    <row r="84" spans="1:20" x14ac:dyDescent="0.2">
      <c r="A84" s="47" t="s">
        <v>166</v>
      </c>
      <c r="B84" s="62"/>
      <c r="C84" s="99"/>
      <c r="D84" s="282">
        <f>Data!C$186</f>
        <v>213.12</v>
      </c>
      <c r="E84" s="282">
        <f>Data!D$186</f>
        <v>219.9</v>
      </c>
      <c r="F84" s="275">
        <f>Data!E$186</f>
        <v>239.75</v>
      </c>
      <c r="G84" s="275">
        <f>Data!F$186</f>
        <v>249.29</v>
      </c>
      <c r="H84" s="275">
        <f>Data!G$186</f>
        <v>259.70999999999998</v>
      </c>
      <c r="I84" s="275">
        <f>Data!H$186</f>
        <v>266.08999999999997</v>
      </c>
      <c r="J84" s="275">
        <f>Data!I$186</f>
        <v>272.54000000000002</v>
      </c>
      <c r="K84" s="276">
        <f ca="1">IF(OFFSET(Scenarios!$A$40,0,$C$1)="Yes", IF((2*J$84*(1+K$215))/(K$82-K$83) &gt; OFFSET(Scenarios!$A$41,0,$C$1), J$84*(1+K$215), 0.5*(K$82-K$83)*OFFSET(Scenarios!$A$41,0,$C$1)), J$84*(1+K$215))</f>
        <v>281.28528400664999</v>
      </c>
      <c r="L84" s="276">
        <f ca="1">IF(OFFSET(Scenarios!$A$40,0,$C$1)="Yes", IF((2*K$84*(1+L$215))/(L$82-L$83) &gt; OFFSET(Scenarios!$A$41,0,$C$1), K$84*(1+L$215), 0.5*(L$82-L$83)*OFFSET(Scenarios!$A$41,0,$C$1)), K$84*(1+L$215))</f>
        <v>290.30058218915934</v>
      </c>
      <c r="M84" s="276">
        <f ca="1">IF(OFFSET(Scenarios!$A$40,0,$C$1)="Yes", IF((2*L$84*(1+M$215))/(M$82-M$83) &gt; OFFSET(Scenarios!$A$41,0,$C$1), L$84*(1+M$215), 0.5*(M$82-M$83)*OFFSET(Scenarios!$A$41,0,$C$1)), L$84*(1+M$215))</f>
        <v>299.59043071025451</v>
      </c>
      <c r="N84" s="276">
        <f ca="1">IF(OFFSET(Scenarios!$A$40,0,$C$1)="Yes", IF((2*M$84*(1+N$215))/(N$82-N$83) &gt; OFFSET(Scenarios!$A$41,0,$C$1), M$84*(1+N$215), 0.5*(N$82-N$83)*OFFSET(Scenarios!$A$41,0,$C$1)), M$84*(1+N$215))</f>
        <v>309.16243297182825</v>
      </c>
      <c r="O84" s="276">
        <f ca="1">IF(OFFSET(Scenarios!$A$40,0,$C$1)="Yes", IF((2*N$84*(1+O$215))/(O$82-O$83) &gt; OFFSET(Scenarios!$A$41,0,$C$1), N$84*(1+O$215), 0.5*(O$82-O$83)*OFFSET(Scenarios!$A$41,0,$C$1)), N$84*(1+O$215))</f>
        <v>319.024360965489</v>
      </c>
      <c r="P84" s="276">
        <f ca="1">IF(OFFSET(Scenarios!$A$40,0,$C$1)="Yes", IF((2*O$84*(1+P$215))/(P$82-P$83) &gt; OFFSET(Scenarios!$A$41,0,$C$1), O$84*(1+P$215), 0.5*(P$82-P$83)*OFFSET(Scenarios!$A$41,0,$C$1)), O$84*(1+P$215))</f>
        <v>329.18415645316645</v>
      </c>
      <c r="Q84" s="276">
        <f ca="1">IF(OFFSET(Scenarios!$A$40,0,$C$1)="Yes", IF((2*P$84*(1+Q$215))/(Q$82-Q$83) &gt; OFFSET(Scenarios!$A$41,0,$C$1), P$84*(1+Q$215), 0.5*(Q$82-Q$83)*OFFSET(Scenarios!$A$41,0,$C$1)), P$84*(1+Q$215))</f>
        <v>339.64993196137283</v>
      </c>
      <c r="R84" s="276">
        <f ca="1">IF(OFFSET(Scenarios!$A$40,0,$C$1)="Yes", IF((2*Q$84*(1+R$215))/(R$82-R$83) &gt; OFFSET(Scenarios!$A$41,0,$C$1), Q$84*(1+R$215), 0.5*(R$82-R$83)*OFFSET(Scenarios!$A$41,0,$C$1)), Q$84*(1+R$215))</f>
        <v>351.63957455960929</v>
      </c>
      <c r="S84" s="276">
        <f ca="1">IF(OFFSET(Scenarios!$A$40,0,$C$1)="Yes", IF((2*R$84*(1+S$215))/(S$82-S$83) &gt; OFFSET(Scenarios!$A$41,0,$C$1), R$84*(1+S$215), 0.5*(S$82-S$83)*OFFSET(Scenarios!$A$41,0,$C$1)), R$84*(1+S$215))</f>
        <v>364.05245154156347</v>
      </c>
      <c r="T84" s="276">
        <f ca="1">IF(OFFSET(Scenarios!$A$40,0,$C$1)="Yes", IF((2*S$84*(1+T$215))/(T$82-T$83) &gt; OFFSET(Scenarios!$A$41,0,$C$1), S$84*(1+T$215), 0.5*(T$82-T$83)*OFFSET(Scenarios!$A$41,0,$C$1)), S$84*(1+T$215))</f>
        <v>376.90350308098056</v>
      </c>
    </row>
    <row r="85" spans="1:20" x14ac:dyDescent="0.2">
      <c r="A85" s="47" t="s">
        <v>260</v>
      </c>
      <c r="B85" s="62"/>
      <c r="C85" s="99"/>
      <c r="D85" s="94">
        <f>Data!C$187</f>
        <v>1.268</v>
      </c>
      <c r="E85" s="94">
        <f>Data!D$187</f>
        <v>1.3819999999999999</v>
      </c>
      <c r="F85" s="180">
        <f>Data!E$187</f>
        <v>1.292</v>
      </c>
      <c r="G85" s="180">
        <f>Data!F$187</f>
        <v>1.3420000000000001</v>
      </c>
      <c r="H85" s="180">
        <f>Data!G$187</f>
        <v>1.4590000000000001</v>
      </c>
      <c r="I85" s="180">
        <f>Data!H$187</f>
        <v>1.5840000000000001</v>
      </c>
      <c r="J85" s="180">
        <f>Data!I$187</f>
        <v>1.7</v>
      </c>
      <c r="K85" s="99">
        <f ca="1">J$85*K$73/J$73</f>
        <v>1.8160695875666686</v>
      </c>
      <c r="L85" s="99">
        <f t="shared" ref="L85:T85" ca="1" si="43">K$85*L$73/K$73</f>
        <v>1.9391689114627029</v>
      </c>
      <c r="M85" s="99">
        <f t="shared" ca="1" si="43"/>
        <v>2.0658909060602633</v>
      </c>
      <c r="N85" s="99">
        <f t="shared" ca="1" si="43"/>
        <v>2.1996964245791735</v>
      </c>
      <c r="O85" s="99">
        <f t="shared" ca="1" si="43"/>
        <v>2.3398580983501747</v>
      </c>
      <c r="P85" s="99">
        <f t="shared" ca="1" si="43"/>
        <v>2.4900688509241435</v>
      </c>
      <c r="Q85" s="99">
        <f t="shared" ca="1" si="43"/>
        <v>2.6497472362215011</v>
      </c>
      <c r="R85" s="99">
        <f t="shared" ca="1" si="43"/>
        <v>2.8316622863940153</v>
      </c>
      <c r="S85" s="99">
        <f t="shared" ca="1" si="43"/>
        <v>3.0248410449957639</v>
      </c>
      <c r="T85" s="99">
        <f t="shared" ca="1" si="43"/>
        <v>3.2287240937794053</v>
      </c>
    </row>
    <row r="86" spans="1:20" x14ac:dyDescent="0.2">
      <c r="A86" s="147" t="s">
        <v>656</v>
      </c>
      <c r="B86" s="54"/>
      <c r="C86" s="99"/>
      <c r="D86" s="94">
        <f>Data!C$184</f>
        <v>52</v>
      </c>
      <c r="E86" s="94">
        <f>Data!D$184</f>
        <v>37</v>
      </c>
      <c r="F86" s="180">
        <f>Data!E$184</f>
        <v>44</v>
      </c>
      <c r="G86" s="180">
        <f>Data!F$184</f>
        <v>60</v>
      </c>
      <c r="H86" s="180">
        <f>Data!G$184</f>
        <v>63</v>
      </c>
      <c r="I86" s="180">
        <f>Data!H$184</f>
        <v>57</v>
      </c>
      <c r="J86" s="180">
        <f>Data!I$184</f>
        <v>50</v>
      </c>
      <c r="K86" s="99">
        <f ca="1">J$86*(K$220*K$223)/(J$220*J$223)</f>
        <v>49.386159619474874</v>
      </c>
      <c r="L86" s="99">
        <f t="shared" ref="L86:T86" ca="1" si="44">K$86*(L$220*L$223)/(K$220*K$223)</f>
        <v>48.765307189599071</v>
      </c>
      <c r="M86" s="99">
        <f t="shared" ca="1" si="44"/>
        <v>48.115997415113348</v>
      </c>
      <c r="N86" s="99">
        <f t="shared" ca="1" si="44"/>
        <v>47.517406306346359</v>
      </c>
      <c r="O86" s="99">
        <f t="shared" ca="1" si="44"/>
        <v>47.839245048401409</v>
      </c>
      <c r="P86" s="99">
        <f t="shared" ca="1" si="44"/>
        <v>48.149391191084597</v>
      </c>
      <c r="Q86" s="99">
        <f t="shared" ca="1" si="44"/>
        <v>48.450368581512151</v>
      </c>
      <c r="R86" s="99">
        <f t="shared" ca="1" si="44"/>
        <v>48.738122287117768</v>
      </c>
      <c r="S86" s="99">
        <f t="shared" ca="1" si="44"/>
        <v>49.026035851231377</v>
      </c>
      <c r="T86" s="99">
        <f t="shared" ca="1" si="44"/>
        <v>49.29270861219419</v>
      </c>
    </row>
    <row r="87" spans="1:20" x14ac:dyDescent="0.2">
      <c r="A87" s="44"/>
      <c r="B87" s="58"/>
      <c r="C87" s="99"/>
      <c r="D87" s="94"/>
      <c r="E87" s="9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</row>
    <row r="88" spans="1:20" x14ac:dyDescent="0.2">
      <c r="A88" s="147" t="s">
        <v>657</v>
      </c>
      <c r="B88" s="103"/>
      <c r="C88" s="99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</row>
    <row r="89" spans="1:20" x14ac:dyDescent="0.2">
      <c r="A89" s="43" t="s">
        <v>175</v>
      </c>
      <c r="B89" s="103"/>
      <c r="C89" s="99"/>
      <c r="D89" s="96">
        <f ca="1">Data!C$42+IF(OFFSET(Scenarios!$A$62,0,$C$1)="Yes",OFFSET(Scenarios!$A$63,0,$C$1)*D$70,0)</f>
        <v>10.355</v>
      </c>
      <c r="E89" s="96">
        <f ca="1">Data!D$42+IF(OFFSET(Scenarios!$A$62,0,$C$1)="Yes",OFFSET(Scenarios!$A$63,0,$C$1)*E$70,0)</f>
        <v>11.297000000000001</v>
      </c>
      <c r="F89" s="187">
        <f ca="1">Data!E$42+IF(OFFSET(Scenarios!$A$62,0,$C$1)="Yes",OFFSET(Scenarios!$A$63,0,$C$1)*F$70,0)</f>
        <v>12.674000000000001</v>
      </c>
      <c r="G89" s="187">
        <f ca="1">Data!F$42+IF(OFFSET(Scenarios!$A$62,0,$C$1)="Yes",OFFSET(Scenarios!$A$63,0,$C$1)*G$70,0)</f>
        <v>12.744</v>
      </c>
      <c r="H89" s="187">
        <f ca="1">Data!G$42+IF(OFFSET(Scenarios!$A$62,0,$C$1)="Yes",OFFSET(Scenarios!$A$63,0,$C$1)*H$70,0)</f>
        <v>12.717000000000001</v>
      </c>
      <c r="I89" s="187">
        <f ca="1">Data!H$42+IF(OFFSET(Scenarios!$A$62,0,$C$1)="Yes",OFFSET(Scenarios!$A$63,0,$C$1)*I$70,0)</f>
        <v>12.712</v>
      </c>
      <c r="J89" s="187">
        <f ca="1">Data!I$42+IF(OFFSET(Scenarios!$A$62,0,$C$1)="Yes",OFFSET(Scenarios!$A$63,0,$C$1)*J$70,0)</f>
        <v>12.766999999999999</v>
      </c>
      <c r="K89" s="101">
        <f ca="1">J$89*SUM(K$91,K$92)/SUM(J$91,J$92)+IF(OFFSET(Scenarios!$A$62,0,$C$1)="Yes",(K$70-J$70*SUM(K$91,K$92)/SUM(J$91,J$92))*OFFSET(Scenarios!$A$63,0,$C$1),0)</f>
        <v>12.973794841627337</v>
      </c>
      <c r="L89" s="101">
        <f ca="1">K$89*SUM(L$91,L$92)/SUM(K$91,K$92)+IF(OFFSET(Scenarios!$A$62,0,$C$1)="Yes",(L$70-K$70*SUM(L$91,L$92)/SUM(K$91,K$92))*OFFSET(Scenarios!$A$63,0,$C$1),0)</f>
        <v>13.190356478792619</v>
      </c>
      <c r="M89" s="101">
        <f ca="1">L$89*SUM(M$91,M$92)/SUM(L$91,L$92)+IF(OFFSET(Scenarios!$A$62,0,$C$1)="Yes",(M$70-L$70*SUM(M$91,M$92)/SUM(L$91,L$92))*OFFSET(Scenarios!$A$63,0,$C$1),0)</f>
        <v>13.415823962632103</v>
      </c>
      <c r="N89" s="101">
        <f ca="1">M$89*SUM(N$91,N$92)/SUM(M$91,M$92)+IF(OFFSET(Scenarios!$A$62,0,$C$1)="Yes",(N$70-M$70*SUM(N$91,N$92)/SUM(M$91,M$92))*OFFSET(Scenarios!$A$63,0,$C$1),0)</f>
        <v>13.649692698515917</v>
      </c>
      <c r="O89" s="101">
        <f ca="1">N$89*SUM(O$91,O$92)/SUM(N$91,N$92)+IF(OFFSET(Scenarios!$A$62,0,$C$1)="Yes",(O$70-N$70*SUM(O$91,O$92)/SUM(N$91,N$92))*OFFSET(Scenarios!$A$63,0,$C$1),0)</f>
        <v>13.875169204323477</v>
      </c>
      <c r="P89" s="101">
        <f ca="1">O$89*SUM(P$91,P$92)/SUM(O$91,O$92)+IF(OFFSET(Scenarios!$A$62,0,$C$1)="Yes",(P$70-O$70*SUM(P$91,P$92)/SUM(O$91,O$92))*OFFSET(Scenarios!$A$63,0,$C$1),0)</f>
        <v>14.107508747008351</v>
      </c>
      <c r="Q89" s="101">
        <f ca="1">P$89*SUM(Q$91,Q$92)/SUM(P$91,P$92)+IF(OFFSET(Scenarios!$A$62,0,$C$1)="Yes",(Q$70-P$70*SUM(Q$91,Q$92)/SUM(P$91,P$92))*OFFSET(Scenarios!$A$63,0,$C$1),0)</f>
        <v>14.348714634110888</v>
      </c>
      <c r="R89" s="101">
        <f ca="1">Q$89*SUM(R$91,R$92)/SUM(Q$91,Q$92)+IF(OFFSET(Scenarios!$A$62,0,$C$1)="Yes",(R$70-Q$70*SUM(R$91,R$92)/SUM(Q$91,Q$92))*OFFSET(Scenarios!$A$63,0,$C$1),0)</f>
        <v>14.602612194667568</v>
      </c>
      <c r="S89" s="101">
        <f ca="1">R$89*SUM(S$91,S$92)/SUM(R$91,R$92)+IF(OFFSET(Scenarios!$A$62,0,$C$1)="Yes",(S$70-R$70*SUM(S$91,S$92)/SUM(R$91,R$92))*OFFSET(Scenarios!$A$63,0,$C$1),0)</f>
        <v>14.872224673984233</v>
      </c>
      <c r="T89" s="101">
        <f ca="1">S$89*SUM(T$91,T$92)/SUM(S$91,S$92)+IF(OFFSET(Scenarios!$A$62,0,$C$1)="Yes",(T$70-S$70*SUM(T$91,T$92)/SUM(S$91,S$92))*OFFSET(Scenarios!$A$63,0,$C$1),0)</f>
        <v>15.127621069035266</v>
      </c>
    </row>
    <row r="90" spans="1:20" x14ac:dyDescent="0.2">
      <c r="A90" s="43" t="s">
        <v>176</v>
      </c>
      <c r="B90" s="103"/>
      <c r="C90" s="99"/>
      <c r="D90" s="96">
        <f ca="1">Data!C$16-Data!C$42+D$89</f>
        <v>10.661</v>
      </c>
      <c r="E90" s="96">
        <f ca="1">Data!D$16-Data!D$42+E$89</f>
        <v>10.808999999999999</v>
      </c>
      <c r="F90" s="187">
        <f ca="1">Data!E$16-Data!E$42+F$89</f>
        <v>11.884</v>
      </c>
      <c r="G90" s="187">
        <f ca="1">Data!F$16-Data!F$42+G$89</f>
        <v>11.874000000000001</v>
      </c>
      <c r="H90" s="187">
        <f ca="1">Data!G$16-Data!G$42+H$89</f>
        <v>11.864000000000001</v>
      </c>
      <c r="I90" s="187">
        <f ca="1">Data!H$16-Data!H$42+I$89</f>
        <v>11.861000000000001</v>
      </c>
      <c r="J90" s="187">
        <f ca="1">Data!I$16-Data!I$42+J$89</f>
        <v>11.917</v>
      </c>
      <c r="K90" s="101">
        <f ca="1">(J$90-J$89)*SUM(K$91,K$92)/SUM(J$91,J$92)+K$89</f>
        <v>12.110026876139498</v>
      </c>
      <c r="L90" s="101">
        <f t="shared" ref="L90:T90" ca="1" si="45">(K$90-K$89)*SUM(L$91,L$92)/SUM(K$91,K$92)+L$89</f>
        <v>12.312170295118012</v>
      </c>
      <c r="M90" s="101">
        <f t="shared" ca="1" si="45"/>
        <v>12.522626628235827</v>
      </c>
      <c r="N90" s="101">
        <f t="shared" ca="1" si="45"/>
        <v>12.740924875711929</v>
      </c>
      <c r="O90" s="101">
        <f t="shared" ca="1" si="45"/>
        <v>12.951389630134166</v>
      </c>
      <c r="P90" s="101">
        <f t="shared" ca="1" si="45"/>
        <v>13.168260494877304</v>
      </c>
      <c r="Q90" s="101">
        <f t="shared" ca="1" si="45"/>
        <v>13.393407401480337</v>
      </c>
      <c r="R90" s="101">
        <f t="shared" ca="1" si="45"/>
        <v>13.630400996620461</v>
      </c>
      <c r="S90" s="101">
        <f t="shared" ca="1" si="45"/>
        <v>13.882063244291542</v>
      </c>
      <c r="T90" s="101">
        <f t="shared" ca="1" si="45"/>
        <v>14.120455884678725</v>
      </c>
    </row>
    <row r="91" spans="1:20" x14ac:dyDescent="0.2">
      <c r="A91" s="147" t="s">
        <v>102</v>
      </c>
      <c r="B91" s="103"/>
      <c r="C91" s="99"/>
      <c r="D91" s="94">
        <f>SUM(SUM(Popn!D$9:D$13)*Tracks!$M$50,SUM(Popn!D$14:D$18)*Tracks!$M$51,SUM(Popn!D$19:D$23)*Tracks!$M$52,SUM(Popn!D$24:D$28)*Tracks!$M$53,SUM(Popn!D$29:D$33)*Tracks!$M$54,SUM(Popn!D$34:D$38)*Tracks!$M$55,SUM(Popn!D$39:D$43)*Tracks!$M$56,SUM(Popn!D$44:D$48)*Tracks!$M$57,SUM(Popn!D$49:D$53)*Tracks!$M$58,SUM(Popn!D$54:D$58)*Tracks!$M$59,SUM(Popn!D$59:D$63)*Tracks!$M$60,SUM(Popn!D$64:D$68)*Tracks!$M$61,SUM(Popn!D$69:D$73)*Tracks!$M$62,SUM(Popn!D$74:D$78)*Tracks!$M$63,SUM(Popn!D$79:D$83)*Tracks!$M$64,SUM(Popn!D$84:D$88)*Tracks!$M$65,SUM(Popn!D$89:D$93)*Tracks!$M$66,SUM(Popn!D$94:D$99)*Tracks!$M$67)/1000000000</f>
        <v>4.3046136455913269</v>
      </c>
      <c r="E91" s="94">
        <f>SUM(SUM(Popn!E$9:E$13)*Tracks!$M$50,SUM(Popn!E$14:E$18)*Tracks!$M$51,SUM(Popn!E$19:E$23)*Tracks!$M$52,SUM(Popn!E$24:E$28)*Tracks!$M$53,SUM(Popn!E$29:E$33)*Tracks!$M$54,SUM(Popn!E$34:E$38)*Tracks!$M$55,SUM(Popn!E$39:E$43)*Tracks!$M$56,SUM(Popn!E$44:E$48)*Tracks!$M$57,SUM(Popn!E$49:E$53)*Tracks!$M$58,SUM(Popn!E$54:E$58)*Tracks!$M$59,SUM(Popn!E$59:E$63)*Tracks!$M$60,SUM(Popn!E$64:E$68)*Tracks!$M$61,SUM(Popn!E$69:E$73)*Tracks!$M$62,SUM(Popn!E$74:E$78)*Tracks!$M$63,SUM(Popn!E$79:E$83)*Tracks!$M$64,SUM(Popn!E$84:E$88)*Tracks!$M$65,SUM(Popn!E$89:E$93)*Tracks!$M$66,SUM(Popn!E$94:E$99)*Tracks!$M$67)/1000000000</f>
        <v>4.3896674057440048</v>
      </c>
      <c r="F91" s="180">
        <f>SUM(SUM(Popn!F$9:F$13)*Tracks!$M$50,SUM(Popn!F$14:F$18)*Tracks!$M$51,SUM(Popn!F$19:F$23)*Tracks!$M$52,SUM(Popn!F$24:F$28)*Tracks!$M$53,SUM(Popn!F$29:F$33)*Tracks!$M$54,SUM(Popn!F$34:F$38)*Tracks!$M$55,SUM(Popn!F$39:F$43)*Tracks!$M$56,SUM(Popn!F$44:F$48)*Tracks!$M$57,SUM(Popn!F$49:F$53)*Tracks!$M$58,SUM(Popn!F$54:F$58)*Tracks!$M$59,SUM(Popn!F$59:F$63)*Tracks!$M$60,SUM(Popn!F$64:F$68)*Tracks!$M$61,SUM(Popn!F$69:F$73)*Tracks!$M$62,SUM(Popn!F$74:F$78)*Tracks!$M$63,SUM(Popn!F$79:F$83)*Tracks!$M$64,SUM(Popn!F$84:F$88)*Tracks!$M$65,SUM(Popn!F$89:F$93)*Tracks!$M$66,SUM(Popn!F$94:F$99)*Tracks!$M$67)/1000000000</f>
        <v>4.4743556837192511</v>
      </c>
      <c r="G91" s="180">
        <f>SUM(SUM(Popn!G$9:G$13)*Tracks!$M$50,SUM(Popn!G$14:G$18)*Tracks!$M$51,SUM(Popn!G$19:G$23)*Tracks!$M$52,SUM(Popn!G$24:G$28)*Tracks!$M$53,SUM(Popn!G$29:G$33)*Tracks!$M$54,SUM(Popn!G$34:G$38)*Tracks!$M$55,SUM(Popn!G$39:G$43)*Tracks!$M$56,SUM(Popn!G$44:G$48)*Tracks!$M$57,SUM(Popn!G$49:G$53)*Tracks!$M$58,SUM(Popn!G$54:G$58)*Tracks!$M$59,SUM(Popn!G$59:G$63)*Tracks!$M$60,SUM(Popn!G$64:G$68)*Tracks!$M$61,SUM(Popn!G$69:G$73)*Tracks!$M$62,SUM(Popn!G$74:G$78)*Tracks!$M$63,SUM(Popn!G$79:G$83)*Tracks!$M$64,SUM(Popn!G$84:G$88)*Tracks!$M$65,SUM(Popn!G$89:G$93)*Tracks!$M$66,SUM(Popn!G$94:G$99)*Tracks!$M$67)/1000000000</f>
        <v>4.5619841972691129</v>
      </c>
      <c r="H91" s="180">
        <f>SUM(SUM(Popn!H$9:H$13)*Tracks!$M$50,SUM(Popn!H$14:H$18)*Tracks!$M$51,SUM(Popn!H$19:H$23)*Tracks!$M$52,SUM(Popn!H$24:H$28)*Tracks!$M$53,SUM(Popn!H$29:H$33)*Tracks!$M$54,SUM(Popn!H$34:H$38)*Tracks!$M$55,SUM(Popn!H$39:H$43)*Tracks!$M$56,SUM(Popn!H$44:H$48)*Tracks!$M$57,SUM(Popn!H$49:H$53)*Tracks!$M$58,SUM(Popn!H$54:H$58)*Tracks!$M$59,SUM(Popn!H$59:H$63)*Tracks!$M$60,SUM(Popn!H$64:H$68)*Tracks!$M$61,SUM(Popn!H$69:H$73)*Tracks!$M$62,SUM(Popn!H$74:H$78)*Tracks!$M$63,SUM(Popn!H$79:H$83)*Tracks!$M$64,SUM(Popn!H$84:H$88)*Tracks!$M$65,SUM(Popn!H$89:H$93)*Tracks!$M$66,SUM(Popn!H$94:H$99)*Tracks!$M$67)/1000000000</f>
        <v>4.6501545240352264</v>
      </c>
      <c r="I91" s="180">
        <f>SUM(SUM(Popn!I$9:I$13)*Tracks!$M$50,SUM(Popn!I$14:I$18)*Tracks!$M$51,SUM(Popn!I$19:I$23)*Tracks!$M$52,SUM(Popn!I$24:I$28)*Tracks!$M$53,SUM(Popn!I$29:I$33)*Tracks!$M$54,SUM(Popn!I$34:I$38)*Tracks!$M$55,SUM(Popn!I$39:I$43)*Tracks!$M$56,SUM(Popn!I$44:I$48)*Tracks!$M$57,SUM(Popn!I$49:I$53)*Tracks!$M$58,SUM(Popn!I$54:I$58)*Tracks!$M$59,SUM(Popn!I$59:I$63)*Tracks!$M$60,SUM(Popn!I$64:I$68)*Tracks!$M$61,SUM(Popn!I$69:I$73)*Tracks!$M$62,SUM(Popn!I$74:I$78)*Tracks!$M$63,SUM(Popn!I$79:I$83)*Tracks!$M$64,SUM(Popn!I$84:I$88)*Tracks!$M$65,SUM(Popn!I$89:I$93)*Tracks!$M$66,SUM(Popn!I$94:I$99)*Tracks!$M$67)/1000000000</f>
        <v>4.7371239169524326</v>
      </c>
      <c r="J91" s="180">
        <f>SUM(SUM(Popn!J$9:J$13)*Tracks!$M$50,SUM(Popn!J$14:J$18)*Tracks!$M$51,SUM(Popn!J$19:J$23)*Tracks!$M$52,SUM(Popn!J$24:J$28)*Tracks!$M$53,SUM(Popn!J$29:J$33)*Tracks!$M$54,SUM(Popn!J$34:J$38)*Tracks!$M$55,SUM(Popn!J$39:J$43)*Tracks!$M$56,SUM(Popn!J$44:J$48)*Tracks!$M$57,SUM(Popn!J$49:J$53)*Tracks!$M$58,SUM(Popn!J$54:J$58)*Tracks!$M$59,SUM(Popn!J$59:J$63)*Tracks!$M$60,SUM(Popn!J$64:J$68)*Tracks!$M$61,SUM(Popn!J$69:J$73)*Tracks!$M$62,SUM(Popn!J$74:J$78)*Tracks!$M$63,SUM(Popn!J$79:J$83)*Tracks!$M$64,SUM(Popn!J$84:J$88)*Tracks!$M$65,SUM(Popn!J$89:J$93)*Tracks!$M$66,SUM(Popn!J$94:J$99)*Tracks!$M$67)/1000000000</f>
        <v>4.8196656302436729</v>
      </c>
      <c r="K91" s="99">
        <f>SUM(SUM(Popn!K$9:K$13)*Tracks!$M$50,SUM(Popn!K$14:K$18)*Tracks!$M$51,SUM(Popn!K$19:K$23)*Tracks!$M$52,SUM(Popn!K$24:K$28)*Tracks!$M$53,SUM(Popn!K$29:K$33)*Tracks!$M$54,SUM(Popn!K$34:K$38)*Tracks!$M$55,SUM(Popn!K$39:K$43)*Tracks!$M$56,SUM(Popn!K$44:K$48)*Tracks!$M$57,SUM(Popn!K$49:K$53)*Tracks!$M$58,SUM(Popn!K$54:K$58)*Tracks!$M$59,SUM(Popn!K$59:K$63)*Tracks!$M$60,SUM(Popn!K$64:K$68)*Tracks!$M$61,SUM(Popn!K$69:K$73)*Tracks!$M$62,SUM(Popn!K$74:K$78)*Tracks!$M$63,SUM(Popn!K$79:K$83)*Tracks!$M$64,SUM(Popn!K$84:K$88)*Tracks!$M$65,SUM(Popn!K$89:K$93)*Tracks!$M$66,SUM(Popn!K$94:K$99)*Tracks!$M$67)/1000000000</f>
        <v>4.9043321606753372</v>
      </c>
      <c r="L91" s="99">
        <f>SUM(SUM(Popn!L$9:L$13)*Tracks!$M$50,SUM(Popn!L$14:L$18)*Tracks!$M$51,SUM(Popn!L$19:L$23)*Tracks!$M$52,SUM(Popn!L$24:L$28)*Tracks!$M$53,SUM(Popn!L$29:L$33)*Tracks!$M$54,SUM(Popn!L$34:L$38)*Tracks!$M$55,SUM(Popn!L$39:L$43)*Tracks!$M$56,SUM(Popn!L$44:L$48)*Tracks!$M$57,SUM(Popn!L$49:L$53)*Tracks!$M$58,SUM(Popn!L$54:L$58)*Tracks!$M$59,SUM(Popn!L$59:L$63)*Tracks!$M$60,SUM(Popn!L$64:L$68)*Tracks!$M$61,SUM(Popn!L$69:L$73)*Tracks!$M$62,SUM(Popn!L$74:L$78)*Tracks!$M$63,SUM(Popn!L$79:L$83)*Tracks!$M$64,SUM(Popn!L$84:L$88)*Tracks!$M$65,SUM(Popn!L$89:L$93)*Tracks!$M$66,SUM(Popn!L$94:L$99)*Tracks!$M$67)/1000000000</f>
        <v>4.9916146107634818</v>
      </c>
      <c r="M91" s="99">
        <f>SUM(SUM(Popn!M$9:M$13)*Tracks!$M$50,SUM(Popn!M$14:M$18)*Tracks!$M$51,SUM(Popn!M$19:M$23)*Tracks!$M$52,SUM(Popn!M$24:M$28)*Tracks!$M$53,SUM(Popn!M$29:M$33)*Tracks!$M$54,SUM(Popn!M$34:M$38)*Tracks!$M$55,SUM(Popn!M$39:M$43)*Tracks!$M$56,SUM(Popn!M$44:M$48)*Tracks!$M$57,SUM(Popn!M$49:M$53)*Tracks!$M$58,SUM(Popn!M$54:M$58)*Tracks!$M$59,SUM(Popn!M$59:M$63)*Tracks!$M$60,SUM(Popn!M$64:M$68)*Tracks!$M$61,SUM(Popn!M$69:M$73)*Tracks!$M$62,SUM(Popn!M$74:M$78)*Tracks!$M$63,SUM(Popn!M$79:M$83)*Tracks!$M$64,SUM(Popn!M$84:M$88)*Tracks!$M$65,SUM(Popn!M$89:M$93)*Tracks!$M$66,SUM(Popn!M$94:M$99)*Tracks!$M$67)/1000000000</f>
        <v>5.0818345229101674</v>
      </c>
      <c r="N91" s="99">
        <f>SUM(SUM(Popn!N$9:N$13)*Tracks!$M$50,SUM(Popn!N$14:N$18)*Tracks!$M$51,SUM(Popn!N$19:N$23)*Tracks!$M$52,SUM(Popn!N$24:N$28)*Tracks!$M$53,SUM(Popn!N$29:N$33)*Tracks!$M$54,SUM(Popn!N$34:N$38)*Tracks!$M$55,SUM(Popn!N$39:N$43)*Tracks!$M$56,SUM(Popn!N$44:N$48)*Tracks!$M$57,SUM(Popn!N$49:N$53)*Tracks!$M$58,SUM(Popn!N$54:N$58)*Tracks!$M$59,SUM(Popn!N$59:N$63)*Tracks!$M$60,SUM(Popn!N$64:N$68)*Tracks!$M$61,SUM(Popn!N$69:N$73)*Tracks!$M$62,SUM(Popn!N$74:N$78)*Tracks!$M$63,SUM(Popn!N$79:N$83)*Tracks!$M$64,SUM(Popn!N$84:N$88)*Tracks!$M$65,SUM(Popn!N$89:N$93)*Tracks!$M$66,SUM(Popn!N$94:N$99)*Tracks!$M$67)/1000000000</f>
        <v>5.1761882493434852</v>
      </c>
      <c r="O91" s="99">
        <f>SUM(SUM(Popn!O$9:O$13)*Tracks!$M$50,SUM(Popn!O$14:O$18)*Tracks!$M$51,SUM(Popn!O$19:O$23)*Tracks!$M$52,SUM(Popn!O$24:O$28)*Tracks!$M$53,SUM(Popn!O$29:O$33)*Tracks!$M$54,SUM(Popn!O$34:O$38)*Tracks!$M$55,SUM(Popn!O$39:O$43)*Tracks!$M$56,SUM(Popn!O$44:O$48)*Tracks!$M$57,SUM(Popn!O$49:O$53)*Tracks!$M$58,SUM(Popn!O$54:O$58)*Tracks!$M$59,SUM(Popn!O$59:O$63)*Tracks!$M$60,SUM(Popn!O$64:O$68)*Tracks!$M$61,SUM(Popn!O$69:O$73)*Tracks!$M$62,SUM(Popn!O$74:O$78)*Tracks!$M$63,SUM(Popn!O$79:O$83)*Tracks!$M$64,SUM(Popn!O$84:O$88)*Tracks!$M$65,SUM(Popn!O$89:O$93)*Tracks!$M$66,SUM(Popn!O$94:O$99)*Tracks!$M$67)/1000000000</f>
        <v>5.2660622383500924</v>
      </c>
      <c r="P91" s="99">
        <f>SUM(SUM(Popn!P$9:P$13)*Tracks!$M$50,SUM(Popn!P$14:P$18)*Tracks!$M$51,SUM(Popn!P$19:P$23)*Tracks!$M$52,SUM(Popn!P$24:P$28)*Tracks!$M$53,SUM(Popn!P$29:P$33)*Tracks!$M$54,SUM(Popn!P$34:P$38)*Tracks!$M$55,SUM(Popn!P$39:P$43)*Tracks!$M$56,SUM(Popn!P$44:P$48)*Tracks!$M$57,SUM(Popn!P$49:P$53)*Tracks!$M$58,SUM(Popn!P$54:P$58)*Tracks!$M$59,SUM(Popn!P$59:P$63)*Tracks!$M$60,SUM(Popn!P$64:P$68)*Tracks!$M$61,SUM(Popn!P$69:P$73)*Tracks!$M$62,SUM(Popn!P$74:P$78)*Tracks!$M$63,SUM(Popn!P$79:P$83)*Tracks!$M$64,SUM(Popn!P$84:P$88)*Tracks!$M$65,SUM(Popn!P$89:P$93)*Tracks!$M$66,SUM(Popn!P$94:P$99)*Tracks!$M$67)/1000000000</f>
        <v>5.3585246853833546</v>
      </c>
      <c r="Q91" s="99">
        <f>SUM(SUM(Popn!Q$9:Q$13)*Tracks!$M$50,SUM(Popn!Q$14:Q$18)*Tracks!$M$51,SUM(Popn!Q$19:Q$23)*Tracks!$M$52,SUM(Popn!Q$24:Q$28)*Tracks!$M$53,SUM(Popn!Q$29:Q$33)*Tracks!$M$54,SUM(Popn!Q$34:Q$38)*Tracks!$M$55,SUM(Popn!Q$39:Q$43)*Tracks!$M$56,SUM(Popn!Q$44:Q$48)*Tracks!$M$57,SUM(Popn!Q$49:Q$53)*Tracks!$M$58,SUM(Popn!Q$54:Q$58)*Tracks!$M$59,SUM(Popn!Q$59:Q$63)*Tracks!$M$60,SUM(Popn!Q$64:Q$68)*Tracks!$M$61,SUM(Popn!Q$69:Q$73)*Tracks!$M$62,SUM(Popn!Q$74:Q$78)*Tracks!$M$63,SUM(Popn!Q$79:Q$83)*Tracks!$M$64,SUM(Popn!Q$84:Q$88)*Tracks!$M$65,SUM(Popn!Q$89:Q$93)*Tracks!$M$66,SUM(Popn!Q$94:Q$99)*Tracks!$M$67)/1000000000</f>
        <v>5.4539179263044248</v>
      </c>
      <c r="R91" s="99">
        <f>SUM(SUM(Popn!R$9:R$13)*Tracks!$M$50,SUM(Popn!R$14:R$18)*Tracks!$M$51,SUM(Popn!R$19:R$23)*Tracks!$M$52,SUM(Popn!R$24:R$28)*Tracks!$M$53,SUM(Popn!R$29:R$33)*Tracks!$M$54,SUM(Popn!R$34:R$38)*Tracks!$M$55,SUM(Popn!R$39:R$43)*Tracks!$M$56,SUM(Popn!R$44:R$48)*Tracks!$M$57,SUM(Popn!R$49:R$53)*Tracks!$M$58,SUM(Popn!R$54:R$58)*Tracks!$M$59,SUM(Popn!R$59:R$63)*Tracks!$M$60,SUM(Popn!R$64:R$68)*Tracks!$M$61,SUM(Popn!R$69:R$73)*Tracks!$M$62,SUM(Popn!R$74:R$78)*Tracks!$M$63,SUM(Popn!R$79:R$83)*Tracks!$M$64,SUM(Popn!R$84:R$88)*Tracks!$M$65,SUM(Popn!R$89:R$93)*Tracks!$M$66,SUM(Popn!R$94:R$99)*Tracks!$M$67)/1000000000</f>
        <v>5.5521705558361987</v>
      </c>
      <c r="S91" s="99">
        <f>SUM(SUM(Popn!S$9:S$13)*Tracks!$M$50,SUM(Popn!S$14:S$18)*Tracks!$M$51,SUM(Popn!S$19:S$23)*Tracks!$M$52,SUM(Popn!S$24:S$28)*Tracks!$M$53,SUM(Popn!S$29:S$33)*Tracks!$M$54,SUM(Popn!S$34:S$38)*Tracks!$M$55,SUM(Popn!S$39:S$43)*Tracks!$M$56,SUM(Popn!S$44:S$48)*Tracks!$M$57,SUM(Popn!S$49:S$53)*Tracks!$M$58,SUM(Popn!S$54:S$58)*Tracks!$M$59,SUM(Popn!S$59:S$63)*Tracks!$M$60,SUM(Popn!S$64:S$68)*Tracks!$M$61,SUM(Popn!S$69:S$73)*Tracks!$M$62,SUM(Popn!S$74:S$78)*Tracks!$M$63,SUM(Popn!S$79:S$83)*Tracks!$M$64,SUM(Popn!S$84:S$88)*Tracks!$M$65,SUM(Popn!S$89:S$93)*Tracks!$M$66,SUM(Popn!S$94:S$99)*Tracks!$M$67)/1000000000</f>
        <v>5.6557683088026698</v>
      </c>
      <c r="T91" s="99">
        <f>SUM(SUM(Popn!T$9:T$13)*Tracks!$M$50,SUM(Popn!T$14:T$18)*Tracks!$M$51,SUM(Popn!T$19:T$23)*Tracks!$M$52,SUM(Popn!T$24:T$28)*Tracks!$M$53,SUM(Popn!T$29:T$33)*Tracks!$M$54,SUM(Popn!T$34:T$38)*Tracks!$M$55,SUM(Popn!T$39:T$43)*Tracks!$M$56,SUM(Popn!T$44:T$48)*Tracks!$M$57,SUM(Popn!T$49:T$53)*Tracks!$M$58,SUM(Popn!T$54:T$58)*Tracks!$M$59,SUM(Popn!T$59:T$63)*Tracks!$M$60,SUM(Popn!T$64:T$68)*Tracks!$M$61,SUM(Popn!T$69:T$73)*Tracks!$M$62,SUM(Popn!T$74:T$78)*Tracks!$M$63,SUM(Popn!T$79:T$83)*Tracks!$M$64,SUM(Popn!T$84:T$88)*Tracks!$M$65,SUM(Popn!T$89:T$93)*Tracks!$M$66,SUM(Popn!T$94:T$99)*Tracks!$M$67)/1000000000</f>
        <v>5.7537636017446907</v>
      </c>
    </row>
    <row r="92" spans="1:20" x14ac:dyDescent="0.2">
      <c r="A92" s="147" t="s">
        <v>103</v>
      </c>
      <c r="B92" s="103"/>
      <c r="C92" s="99"/>
      <c r="D92" s="117">
        <f>SUM(SUM(Popn!D$103:D$107)*Tracks!$L$50,SUM(Popn!D$108:D$112)*Tracks!$L$51,SUM(Popn!D$113:D$117)*Tracks!$L$52,SUM(Popn!D$118:D$122)*Tracks!$L$53,SUM(Popn!D$123:D$127)*Tracks!$L$54,SUM(Popn!D$128:D$132)*Tracks!$L$55,SUM(Popn!D$133:D$137)*Tracks!$L$56,SUM(Popn!D$138:D$142)*Tracks!$L$57,SUM(Popn!D$143:D$147)*Tracks!$L$58,SUM(Popn!D$148:D$152)*Tracks!$L$59,SUM(Popn!D$153:D$157)*Tracks!$L$60,SUM(Popn!D$158:D$162)*Tracks!$L$61,SUM(Popn!D$163:D$167)*Tracks!$L$62,SUM(Popn!D$168:D$172)*Tracks!$L$63,SUM(Popn!D$173:D$177)*Tracks!$L$64,SUM(Popn!D$178:D$182)*Tracks!$L$65,SUM(Popn!D$183:D$187)*Tracks!$L$66,SUM(Popn!D$188:D$193)*Tracks!$L$67)/1000000000</f>
        <v>5.0262368690498418</v>
      </c>
      <c r="E92" s="117">
        <f>SUM(SUM(Popn!E$103:E$107)*Tracks!$L$50,SUM(Popn!E$108:E$112)*Tracks!$L$51,SUM(Popn!E$113:E$117)*Tracks!$L$52,SUM(Popn!E$118:E$122)*Tracks!$L$53,SUM(Popn!E$123:E$127)*Tracks!$L$54,SUM(Popn!E$128:E$132)*Tracks!$L$55,SUM(Popn!E$133:E$137)*Tracks!$L$56,SUM(Popn!E$138:E$142)*Tracks!$L$57,SUM(Popn!E$143:E$147)*Tracks!$L$58,SUM(Popn!E$148:E$152)*Tracks!$L$59,SUM(Popn!E$153:E$157)*Tracks!$L$60,SUM(Popn!E$158:E$162)*Tracks!$L$61,SUM(Popn!E$163:E$167)*Tracks!$L$62,SUM(Popn!E$168:E$172)*Tracks!$L$63,SUM(Popn!E$173:E$177)*Tracks!$L$64,SUM(Popn!E$178:E$182)*Tracks!$L$65,SUM(Popn!E$183:E$187)*Tracks!$L$66,SUM(Popn!E$188:E$193)*Tracks!$L$67)/1000000000</f>
        <v>5.1015756866571271</v>
      </c>
      <c r="F92" s="185">
        <f>SUM(SUM(Popn!F$103:F$107)*Tracks!$L$50,SUM(Popn!F$108:F$112)*Tracks!$L$51,SUM(Popn!F$113:F$117)*Tracks!$L$52,SUM(Popn!F$118:F$122)*Tracks!$L$53,SUM(Popn!F$123:F$127)*Tracks!$L$54,SUM(Popn!F$128:F$132)*Tracks!$L$55,SUM(Popn!F$133:F$137)*Tracks!$L$56,SUM(Popn!F$138:F$142)*Tracks!$L$57,SUM(Popn!F$143:F$147)*Tracks!$L$58,SUM(Popn!F$148:F$152)*Tracks!$L$59,SUM(Popn!F$153:F$157)*Tracks!$L$60,SUM(Popn!F$158:F$162)*Tracks!$L$61,SUM(Popn!F$163:F$167)*Tracks!$L$62,SUM(Popn!F$168:F$172)*Tracks!$L$63,SUM(Popn!F$173:F$177)*Tracks!$L$64,SUM(Popn!F$178:F$182)*Tracks!$L$65,SUM(Popn!F$183:F$187)*Tracks!$L$66,SUM(Popn!F$188:F$193)*Tracks!$L$67)/1000000000</f>
        <v>5.1793406947113052</v>
      </c>
      <c r="G92" s="185">
        <f>SUM(SUM(Popn!G$103:G$107)*Tracks!$L$50,SUM(Popn!G$108:G$112)*Tracks!$L$51,SUM(Popn!G$113:G$117)*Tracks!$L$52,SUM(Popn!G$118:G$122)*Tracks!$L$53,SUM(Popn!G$123:G$127)*Tracks!$L$54,SUM(Popn!G$128:G$132)*Tracks!$L$55,SUM(Popn!G$133:G$137)*Tracks!$L$56,SUM(Popn!G$138:G$142)*Tracks!$L$57,SUM(Popn!G$143:G$147)*Tracks!$L$58,SUM(Popn!G$148:G$152)*Tracks!$L$59,SUM(Popn!G$153:G$157)*Tracks!$L$60,SUM(Popn!G$158:G$162)*Tracks!$L$61,SUM(Popn!G$163:G$167)*Tracks!$L$62,SUM(Popn!G$168:G$172)*Tracks!$L$63,SUM(Popn!G$173:G$177)*Tracks!$L$64,SUM(Popn!G$178:G$182)*Tracks!$L$65,SUM(Popn!G$183:G$187)*Tracks!$L$66,SUM(Popn!G$188:G$193)*Tracks!$L$67)/1000000000</f>
        <v>5.2627540184003436</v>
      </c>
      <c r="H92" s="185">
        <f>SUM(SUM(Popn!H$103:H$107)*Tracks!$L$50,SUM(Popn!H$108:H$112)*Tracks!$L$51,SUM(Popn!H$113:H$117)*Tracks!$L$52,SUM(Popn!H$118:H$122)*Tracks!$L$53,SUM(Popn!H$123:H$127)*Tracks!$L$54,SUM(Popn!H$128:H$132)*Tracks!$L$55,SUM(Popn!H$133:H$137)*Tracks!$L$56,SUM(Popn!H$138:H$142)*Tracks!$L$57,SUM(Popn!H$143:H$147)*Tracks!$L$58,SUM(Popn!H$148:H$152)*Tracks!$L$59,SUM(Popn!H$153:H$157)*Tracks!$L$60,SUM(Popn!H$158:H$162)*Tracks!$L$61,SUM(Popn!H$163:H$167)*Tracks!$L$62,SUM(Popn!H$168:H$172)*Tracks!$L$63,SUM(Popn!H$173:H$177)*Tracks!$L$64,SUM(Popn!H$178:H$182)*Tracks!$L$65,SUM(Popn!H$183:H$187)*Tracks!$L$66,SUM(Popn!H$188:H$193)*Tracks!$L$67)/1000000000</f>
        <v>5.346709763980142</v>
      </c>
      <c r="I92" s="185">
        <f>SUM(SUM(Popn!I$103:I$107)*Tracks!$L$50,SUM(Popn!I$108:I$112)*Tracks!$L$51,SUM(Popn!I$113:I$117)*Tracks!$L$52,SUM(Popn!I$118:I$122)*Tracks!$L$53,SUM(Popn!I$123:I$127)*Tracks!$L$54,SUM(Popn!I$128:I$132)*Tracks!$L$55,SUM(Popn!I$133:I$137)*Tracks!$L$56,SUM(Popn!I$138:I$142)*Tracks!$L$57,SUM(Popn!I$143:I$147)*Tracks!$L$58,SUM(Popn!I$148:I$152)*Tracks!$L$59,SUM(Popn!I$153:I$157)*Tracks!$L$60,SUM(Popn!I$158:I$162)*Tracks!$L$61,SUM(Popn!I$163:I$167)*Tracks!$L$62,SUM(Popn!I$168:I$172)*Tracks!$L$63,SUM(Popn!I$173:I$177)*Tracks!$L$64,SUM(Popn!I$178:I$182)*Tracks!$L$65,SUM(Popn!I$183:I$187)*Tracks!$L$66,SUM(Popn!I$188:I$193)*Tracks!$L$67)/1000000000</f>
        <v>5.4294250339880312</v>
      </c>
      <c r="J92" s="185">
        <f>SUM(SUM(Popn!J$103:J$107)*Tracks!$L$50,SUM(Popn!J$108:J$112)*Tracks!$L$51,SUM(Popn!J$113:J$117)*Tracks!$L$52,SUM(Popn!J$118:J$122)*Tracks!$L$53,SUM(Popn!J$123:J$127)*Tracks!$L$54,SUM(Popn!J$128:J$132)*Tracks!$L$55,SUM(Popn!J$133:J$137)*Tracks!$L$56,SUM(Popn!J$138:J$142)*Tracks!$L$57,SUM(Popn!J$143:J$147)*Tracks!$L$58,SUM(Popn!J$148:J$152)*Tracks!$L$59,SUM(Popn!J$153:J$157)*Tracks!$L$60,SUM(Popn!J$158:J$162)*Tracks!$L$61,SUM(Popn!J$163:J$167)*Tracks!$L$62,SUM(Popn!J$168:J$172)*Tracks!$L$63,SUM(Popn!J$173:J$177)*Tracks!$L$64,SUM(Popn!J$178:J$182)*Tracks!$L$65,SUM(Popn!J$183:J$187)*Tracks!$L$66,SUM(Popn!J$188:J$193)*Tracks!$L$67)/1000000000</f>
        <v>5.5107833300205069</v>
      </c>
      <c r="K92" s="136">
        <f>SUM(SUM(Popn!K$103:K$107)*Tracks!$L$50,SUM(Popn!K$108:K$112)*Tracks!$L$51,SUM(Popn!K$113:K$117)*Tracks!$L$52,SUM(Popn!K$118:K$122)*Tracks!$L$53,SUM(Popn!K$123:K$127)*Tracks!$L$54,SUM(Popn!K$128:K$132)*Tracks!$L$55,SUM(Popn!K$133:K$137)*Tracks!$L$56,SUM(Popn!K$138:K$142)*Tracks!$L$57,SUM(Popn!K$143:K$147)*Tracks!$L$58,SUM(Popn!K$148:K$152)*Tracks!$L$59,SUM(Popn!K$153:K$157)*Tracks!$L$60,SUM(Popn!K$158:K$162)*Tracks!$L$61,SUM(Popn!K$163:K$167)*Tracks!$L$62,SUM(Popn!K$168:K$172)*Tracks!$L$63,SUM(Popn!K$173:K$177)*Tracks!$L$64,SUM(Popn!K$178:K$182)*Tracks!$L$65,SUM(Popn!K$183:K$187)*Tracks!$L$66,SUM(Popn!K$188:K$193)*Tracks!$L$67)/1000000000</f>
        <v>5.5934453463638976</v>
      </c>
      <c r="L92" s="136">
        <f>SUM(SUM(Popn!L$103:L$107)*Tracks!$L$50,SUM(Popn!L$108:L$112)*Tracks!$L$51,SUM(Popn!L$113:L$117)*Tracks!$L$52,SUM(Popn!L$118:L$122)*Tracks!$L$53,SUM(Popn!L$123:L$127)*Tracks!$L$54,SUM(Popn!L$128:L$132)*Tracks!$L$55,SUM(Popn!L$133:L$137)*Tracks!$L$56,SUM(Popn!L$138:L$142)*Tracks!$L$57,SUM(Popn!L$143:L$147)*Tracks!$L$58,SUM(Popn!L$148:L$152)*Tracks!$L$59,SUM(Popn!L$153:L$157)*Tracks!$L$60,SUM(Popn!L$158:L$162)*Tracks!$L$61,SUM(Popn!L$163:L$167)*Tracks!$L$62,SUM(Popn!L$168:L$172)*Tracks!$L$63,SUM(Popn!L$173:L$177)*Tracks!$L$64,SUM(Popn!L$178:L$182)*Tracks!$L$65,SUM(Popn!L$183:L$187)*Tracks!$L$66,SUM(Popn!L$188:L$193)*Tracks!$L$67)/1000000000</f>
        <v>5.6813942693067858</v>
      </c>
      <c r="M92" s="136">
        <f>SUM(SUM(Popn!M$103:M$107)*Tracks!$L$50,SUM(Popn!M$108:M$112)*Tracks!$L$51,SUM(Popn!M$113:M$117)*Tracks!$L$52,SUM(Popn!M$118:M$122)*Tracks!$L$53,SUM(Popn!M$123:M$127)*Tracks!$L$54,SUM(Popn!M$128:M$132)*Tracks!$L$55,SUM(Popn!M$133:M$137)*Tracks!$L$56,SUM(Popn!M$138:M$142)*Tracks!$L$57,SUM(Popn!M$143:M$147)*Tracks!$L$58,SUM(Popn!M$148:M$152)*Tracks!$L$59,SUM(Popn!M$153:M$157)*Tracks!$L$60,SUM(Popn!M$158:M$162)*Tracks!$L$61,SUM(Popn!M$163:M$167)*Tracks!$L$62,SUM(Popn!M$168:M$172)*Tracks!$L$63,SUM(Popn!M$173:M$177)*Tracks!$L$64,SUM(Popn!M$178:M$182)*Tracks!$L$65,SUM(Popn!M$183:M$187)*Tracks!$L$66,SUM(Popn!M$188:M$193)*Tracks!$L$67)/1000000000</f>
        <v>5.7736119175895642</v>
      </c>
      <c r="N92" s="136">
        <f>SUM(SUM(Popn!N$103:N$107)*Tracks!$L$50,SUM(Popn!N$108:N$112)*Tracks!$L$51,SUM(Popn!N$113:N$117)*Tracks!$L$52,SUM(Popn!N$118:N$122)*Tracks!$L$53,SUM(Popn!N$123:N$127)*Tracks!$L$54,SUM(Popn!N$128:N$132)*Tracks!$L$55,SUM(Popn!N$133:N$137)*Tracks!$L$56,SUM(Popn!N$138:N$142)*Tracks!$L$57,SUM(Popn!N$143:N$147)*Tracks!$L$58,SUM(Popn!N$148:N$152)*Tracks!$L$59,SUM(Popn!N$153:N$157)*Tracks!$L$60,SUM(Popn!N$158:N$162)*Tracks!$L$61,SUM(Popn!N$163:N$167)*Tracks!$L$62,SUM(Popn!N$168:N$172)*Tracks!$L$63,SUM(Popn!N$173:N$177)*Tracks!$L$64,SUM(Popn!N$178:N$182)*Tracks!$L$65,SUM(Popn!N$183:N$187)*Tracks!$L$66,SUM(Popn!N$188:N$193)*Tracks!$L$67)/1000000000</f>
        <v>5.8684936450177059</v>
      </c>
      <c r="O92" s="136">
        <f>SUM(SUM(Popn!O$103:O$107)*Tracks!$L$50,SUM(Popn!O$108:O$112)*Tracks!$L$51,SUM(Popn!O$113:O$117)*Tracks!$L$52,SUM(Popn!O$118:O$122)*Tracks!$L$53,SUM(Popn!O$123:O$127)*Tracks!$L$54,SUM(Popn!O$128:O$132)*Tracks!$L$55,SUM(Popn!O$133:O$137)*Tracks!$L$56,SUM(Popn!O$138:O$142)*Tracks!$L$57,SUM(Popn!O$143:O$147)*Tracks!$L$58,SUM(Popn!O$148:O$152)*Tracks!$L$59,SUM(Popn!O$153:O$157)*Tracks!$L$60,SUM(Popn!O$158:O$162)*Tracks!$L$61,SUM(Popn!O$163:O$167)*Tracks!$L$62,SUM(Popn!O$168:O$172)*Tracks!$L$63,SUM(Popn!O$173:O$177)*Tracks!$L$64,SUM(Popn!O$178:O$182)*Tracks!$L$65,SUM(Popn!O$183:O$187)*Tracks!$L$66,SUM(Popn!O$188:O$193)*Tracks!$L$67)/1000000000</f>
        <v>5.9610645165878751</v>
      </c>
      <c r="P92" s="136">
        <f>SUM(SUM(Popn!P$103:P$107)*Tracks!$L$50,SUM(Popn!P$108:P$112)*Tracks!$L$51,SUM(Popn!P$113:P$117)*Tracks!$L$52,SUM(Popn!P$118:P$122)*Tracks!$L$53,SUM(Popn!P$123:P$127)*Tracks!$L$54,SUM(Popn!P$128:P$132)*Tracks!$L$55,SUM(Popn!P$133:P$137)*Tracks!$L$56,SUM(Popn!P$138:P$142)*Tracks!$L$57,SUM(Popn!P$143:P$147)*Tracks!$L$58,SUM(Popn!P$148:P$152)*Tracks!$L$59,SUM(Popn!P$153:P$157)*Tracks!$L$60,SUM(Popn!P$158:P$162)*Tracks!$L$61,SUM(Popn!P$163:P$167)*Tracks!$L$62,SUM(Popn!P$168:P$172)*Tracks!$L$63,SUM(Popn!P$173:P$177)*Tracks!$L$64,SUM(Popn!P$178:P$182)*Tracks!$L$65,SUM(Popn!P$183:P$187)*Tracks!$L$66,SUM(Popn!P$188:P$193)*Tracks!$L$67)/1000000000</f>
        <v>6.0566001730368084</v>
      </c>
      <c r="Q92" s="136">
        <f>SUM(SUM(Popn!Q$103:Q$107)*Tracks!$L$50,SUM(Popn!Q$108:Q$112)*Tracks!$L$51,SUM(Popn!Q$113:Q$117)*Tracks!$L$52,SUM(Popn!Q$118:Q$122)*Tracks!$L$53,SUM(Popn!Q$123:Q$127)*Tracks!$L$54,SUM(Popn!Q$128:Q$132)*Tracks!$L$55,SUM(Popn!Q$133:Q$137)*Tracks!$L$56,SUM(Popn!Q$138:Q$142)*Tracks!$L$57,SUM(Popn!Q$143:Q$147)*Tracks!$L$58,SUM(Popn!Q$148:Q$152)*Tracks!$L$59,SUM(Popn!Q$153:Q$157)*Tracks!$L$60,SUM(Popn!Q$158:Q$162)*Tracks!$L$61,SUM(Popn!Q$163:Q$167)*Tracks!$L$62,SUM(Popn!Q$168:Q$172)*Tracks!$L$63,SUM(Popn!Q$173:Q$177)*Tracks!$L$64,SUM(Popn!Q$178:Q$182)*Tracks!$L$65,SUM(Popn!Q$183:Q$187)*Tracks!$L$66,SUM(Popn!Q$188:Q$193)*Tracks!$L$67)/1000000000</f>
        <v>6.1563792596498486</v>
      </c>
      <c r="R92" s="136">
        <f>SUM(SUM(Popn!R$103:R$107)*Tracks!$L$50,SUM(Popn!R$108:R$112)*Tracks!$L$51,SUM(Popn!R$113:R$117)*Tracks!$L$52,SUM(Popn!R$118:R$122)*Tracks!$L$53,SUM(Popn!R$123:R$127)*Tracks!$L$54,SUM(Popn!R$128:R$132)*Tracks!$L$55,SUM(Popn!R$133:R$137)*Tracks!$L$56,SUM(Popn!R$138:R$142)*Tracks!$L$57,SUM(Popn!R$143:R$147)*Tracks!$L$58,SUM(Popn!R$148:R$152)*Tracks!$L$59,SUM(Popn!R$153:R$157)*Tracks!$L$60,SUM(Popn!R$158:R$162)*Tracks!$L$61,SUM(Popn!R$163:R$167)*Tracks!$L$62,SUM(Popn!R$168:R$172)*Tracks!$L$63,SUM(Popn!R$173:R$177)*Tracks!$L$64,SUM(Popn!R$178:R$182)*Tracks!$L$65,SUM(Popn!R$183:R$187)*Tracks!$L$66,SUM(Popn!R$188:R$193)*Tracks!$L$67)/1000000000</f>
        <v>6.2635684559554967</v>
      </c>
      <c r="S92" s="136">
        <f>SUM(SUM(Popn!S$103:S$107)*Tracks!$L$50,SUM(Popn!S$108:S$112)*Tracks!$L$51,SUM(Popn!S$113:S$117)*Tracks!$L$52,SUM(Popn!S$118:S$122)*Tracks!$L$53,SUM(Popn!S$123:S$127)*Tracks!$L$54,SUM(Popn!S$128:S$132)*Tracks!$L$55,SUM(Popn!S$133:S$137)*Tracks!$L$56,SUM(Popn!S$138:S$142)*Tracks!$L$57,SUM(Popn!S$143:S$147)*Tracks!$L$58,SUM(Popn!S$148:S$152)*Tracks!$L$59,SUM(Popn!S$153:S$157)*Tracks!$L$60,SUM(Popn!S$158:S$162)*Tracks!$L$61,SUM(Popn!S$163:S$167)*Tracks!$L$62,SUM(Popn!S$168:S$172)*Tracks!$L$63,SUM(Popn!S$173:S$177)*Tracks!$L$64,SUM(Popn!S$178:S$182)*Tracks!$L$65,SUM(Popn!S$183:S$187)*Tracks!$L$66,SUM(Popn!S$188:S$193)*Tracks!$L$67)/1000000000</f>
        <v>6.3781282933885795</v>
      </c>
      <c r="T92" s="136">
        <f>SUM(SUM(Popn!T$103:T$107)*Tracks!$L$50,SUM(Popn!T$108:T$112)*Tracks!$L$51,SUM(Popn!T$113:T$117)*Tracks!$L$52,SUM(Popn!T$118:T$122)*Tracks!$L$53,SUM(Popn!T$123:T$127)*Tracks!$L$54,SUM(Popn!T$128:T$132)*Tracks!$L$55,SUM(Popn!T$133:T$137)*Tracks!$L$56,SUM(Popn!T$138:T$142)*Tracks!$L$57,SUM(Popn!T$143:T$147)*Tracks!$L$58,SUM(Popn!T$148:T$152)*Tracks!$L$59,SUM(Popn!T$153:T$157)*Tracks!$L$60,SUM(Popn!T$158:T$162)*Tracks!$L$61,SUM(Popn!T$163:T$167)*Tracks!$L$62,SUM(Popn!T$168:T$172)*Tracks!$L$63,SUM(Popn!T$173:T$177)*Tracks!$L$64,SUM(Popn!T$178:T$182)*Tracks!$L$65,SUM(Popn!T$183:T$187)*Tracks!$L$66,SUM(Popn!T$188:T$193)*Tracks!$L$67)/1000000000</f>
        <v>6.4867876118439236</v>
      </c>
    </row>
    <row r="93" spans="1:20" x14ac:dyDescent="0.2">
      <c r="A93" s="147"/>
      <c r="B93" s="103"/>
      <c r="C93" s="99"/>
      <c r="D93" s="94"/>
      <c r="E93" s="94"/>
      <c r="F93" s="99"/>
      <c r="G93" s="99"/>
      <c r="H93" s="99"/>
      <c r="I93" s="99"/>
      <c r="J93" s="99"/>
      <c r="T93" s="99"/>
    </row>
    <row r="94" spans="1:20" x14ac:dyDescent="0.2">
      <c r="A94" s="147" t="s">
        <v>658</v>
      </c>
      <c r="B94" s="103"/>
      <c r="C94" s="99"/>
      <c r="D94" s="94"/>
      <c r="E94" s="94"/>
      <c r="F94" s="99"/>
      <c r="G94" s="99"/>
      <c r="H94" s="99"/>
      <c r="I94" s="99"/>
      <c r="J94" s="99"/>
      <c r="T94" s="99"/>
    </row>
    <row r="95" spans="1:20" x14ac:dyDescent="0.2">
      <c r="A95" s="43" t="s">
        <v>177</v>
      </c>
      <c r="B95" s="103"/>
      <c r="C95" s="99"/>
      <c r="D95" s="96">
        <f ca="1">Data!C$43+IF(OFFSET(Scenarios!$A$62,0,$C$1)="Yes",OFFSET(Scenarios!$A$64,0,$C$1)*D$70,0)</f>
        <v>9.2690000000000001</v>
      </c>
      <c r="E95" s="96">
        <f ca="1">Data!D$43+IF(OFFSET(Scenarios!$A$62,0,$C$1)="Yes",OFFSET(Scenarios!$A$64,0,$C$1)*E$70,0)</f>
        <v>9.5510000000000002</v>
      </c>
      <c r="F95" s="187">
        <f ca="1">Data!E$43+IF(OFFSET(Scenarios!$A$62,0,$C$1)="Yes",OFFSET(Scenarios!$A$64,0,$C$1)*F$70,0)</f>
        <v>10.739000000000001</v>
      </c>
      <c r="G95" s="187">
        <f ca="1">Data!F$43+IF(OFFSET(Scenarios!$A$62,0,$C$1)="Yes",OFFSET(Scenarios!$A$64,0,$C$1)*G$70,0)</f>
        <v>11.117000000000001</v>
      </c>
      <c r="H95" s="187">
        <f ca="1">Data!G$43+IF(OFFSET(Scenarios!$A$62,0,$C$1)="Yes",OFFSET(Scenarios!$A$64,0,$C$1)*H$70,0)</f>
        <v>11.302</v>
      </c>
      <c r="I95" s="187">
        <f ca="1">Data!H$43+IF(OFFSET(Scenarios!$A$62,0,$C$1)="Yes",OFFSET(Scenarios!$A$64,0,$C$1)*I$70,0)</f>
        <v>11.419</v>
      </c>
      <c r="J95" s="187">
        <f ca="1">Data!I$43+IF(OFFSET(Scenarios!$A$62,0,$C$1)="Yes",OFFSET(Scenarios!$A$64,0,$C$1)*J$70,0)</f>
        <v>11.488</v>
      </c>
      <c r="K95" s="101">
        <f ca="1">J$95*(1+AVERAGE(Popn!K$198:K$200))+IF(OFFSET(Scenarios!$A$62,0,$C$1)="Yes",(K$70-J$70*(1+AVERAGE(Popn!K$198:K$200)))*OFFSET(Scenarios!$A$64,0,$C$1),0)</f>
        <v>11.471767549586461</v>
      </c>
      <c r="L95" s="101">
        <f ca="1">K$95*(1+AVERAGE(Popn!L$198:L$200))+IF(OFFSET(Scenarios!$A$62,0,$C$1)="Yes",(L$70-K$70*(1+AVERAGE(Popn!L$198:L$200)))*OFFSET(Scenarios!$A$64,0,$C$1),0)</f>
        <v>11.43196244402291</v>
      </c>
      <c r="M95" s="101">
        <f ca="1">L$95*(1+AVERAGE(Popn!M$198:M$200))+IF(OFFSET(Scenarios!$A$62,0,$C$1)="Yes",(M$70-L$70*(1+AVERAGE(Popn!M$198:M$200)))*OFFSET(Scenarios!$A$64,0,$C$1),0)</f>
        <v>11.382420291373462</v>
      </c>
      <c r="N95" s="101">
        <f ca="1">M$95*(1+AVERAGE(Popn!N$198:N$200))+IF(OFFSET(Scenarios!$A$62,0,$C$1)="Yes",(N$70-M$70*(1+AVERAGE(Popn!N$198:N$200)))*OFFSET(Scenarios!$A$64,0,$C$1),0)</f>
        <v>11.344864902189894</v>
      </c>
      <c r="O95" s="101">
        <f ca="1">N$95*(1+AVERAGE(Popn!O$198:O$200))+IF(OFFSET(Scenarios!$A$62,0,$C$1)="Yes",(O$70-N$70*(1+AVERAGE(Popn!O$198:O$200)))*OFFSET(Scenarios!$A$64,0,$C$1),0)</f>
        <v>11.319317955497072</v>
      </c>
      <c r="P95" s="101">
        <f ca="1">O$95*(1+AVERAGE(Popn!P$198:P$200))+IF(OFFSET(Scenarios!$A$62,0,$C$1)="Yes",(P$70-O$70*(1+AVERAGE(Popn!P$198:P$200)))*OFFSET(Scenarios!$A$64,0,$C$1),0)</f>
        <v>11.303750741248301</v>
      </c>
      <c r="Q95" s="101">
        <f ca="1">P$95*(1+AVERAGE(Popn!Q$198:Q$200))+IF(OFFSET(Scenarios!$A$62,0,$C$1)="Yes",(Q$70-P$70*(1+AVERAGE(Popn!Q$198:Q$200)))*OFFSET(Scenarios!$A$64,0,$C$1),0)</f>
        <v>11.280645690988926</v>
      </c>
      <c r="R95" s="101">
        <f ca="1">Q$95*(1+AVERAGE(Popn!R$198:R$200))+IF(OFFSET(Scenarios!$A$62,0,$C$1)="Yes",(R$70-Q$70*(1+AVERAGE(Popn!R$198:R$200)))*OFFSET(Scenarios!$A$64,0,$C$1),0)</f>
        <v>11.269142774650531</v>
      </c>
      <c r="S95" s="101">
        <f ca="1">R$95*(1+AVERAGE(Popn!S$198:S$200))+IF(OFFSET(Scenarios!$A$62,0,$C$1)="Yes",(S$70-R$70*(1+AVERAGE(Popn!S$198:S$200)))*OFFSET(Scenarios!$A$64,0,$C$1),0)</f>
        <v>11.279817015832647</v>
      </c>
      <c r="T95" s="101">
        <f ca="1">S$95*(1+AVERAGE(Popn!T$198:T$200))+IF(OFFSET(Scenarios!$A$62,0,$C$1)="Yes",(T$70-S$70*(1+AVERAGE(Popn!T$198:T$200)))*OFFSET(Scenarios!$A$64,0,$C$1),0)</f>
        <v>11.288567320229438</v>
      </c>
    </row>
    <row r="96" spans="1:20" x14ac:dyDescent="0.2">
      <c r="A96" s="43" t="s">
        <v>178</v>
      </c>
      <c r="B96" s="103"/>
      <c r="C96" s="99"/>
      <c r="D96" s="96">
        <f ca="1">Data!C$17-Data!C$43+D$95</f>
        <v>9.8529999999999998</v>
      </c>
      <c r="E96" s="96">
        <f ca="1">Data!D$17-Data!D$43+E$95</f>
        <v>10.397</v>
      </c>
      <c r="F96" s="187">
        <f ca="1">Data!E$17-Data!E$43+F$95</f>
        <v>11.643000000000001</v>
      </c>
      <c r="G96" s="187">
        <f ca="1">Data!F$17-Data!F$43+G$95</f>
        <v>11.946999999999999</v>
      </c>
      <c r="H96" s="187">
        <f ca="1">Data!G$17-Data!G$43+H$95</f>
        <v>12.167</v>
      </c>
      <c r="I96" s="187">
        <f ca="1">Data!H$17-Data!H$43+I$95</f>
        <v>12.452999999999999</v>
      </c>
      <c r="J96" s="187">
        <f ca="1">Data!I$17-Data!I$43+J$95</f>
        <v>12.657999999999999</v>
      </c>
      <c r="K96" s="101">
        <f ca="1">(J$96-J$95)*(1+AVERAGE(Popn!K$198:K$200))+K$95</f>
        <v>12.640114349117813</v>
      </c>
      <c r="L96" s="101">
        <f ca="1">(K$96-K$95)*(1+AVERAGE(Popn!L$198:L$200))+L$95</f>
        <v>12.59625527650087</v>
      </c>
      <c r="M96" s="101">
        <f ca="1">(L$96-L$95)*(1+AVERAGE(Popn!M$198:M$200))+M$95</f>
        <v>12.541667483304778</v>
      </c>
      <c r="N96" s="101">
        <f ca="1">(M$96-M$95)*(1+AVERAGE(Popn!N$198:N$200))+N$95</f>
        <v>12.500287250341199</v>
      </c>
      <c r="O96" s="101">
        <f ca="1">(N$96-N$95)*(1+AVERAGE(Popn!O$198:O$200))+O$95</f>
        <v>12.472138464544042</v>
      </c>
      <c r="P96" s="101">
        <f ca="1">(O$96-O$95)*(1+AVERAGE(Popn!P$198:P$200))+P$95</f>
        <v>12.454985801072512</v>
      </c>
      <c r="Q96" s="101">
        <f ca="1">(P$96-P$95)*(1+AVERAGE(Popn!Q$198:Q$200))+Q$95</f>
        <v>12.429527607637349</v>
      </c>
      <c r="R96" s="101">
        <f ca="1">(Q$96-Q$95)*(1+AVERAGE(Popn!R$198:R$200))+R$95</f>
        <v>12.416853172138445</v>
      </c>
      <c r="S96" s="101">
        <f ca="1">(R$96-R$95)*(1+AVERAGE(Popn!S$198:S$200))+S$95</f>
        <v>12.428614535725076</v>
      </c>
      <c r="T96" s="101">
        <f ca="1">(S$96-S$95)*(1+AVERAGE(Popn!T$198:T$200))+T$95</f>
        <v>12.438256018407404</v>
      </c>
    </row>
    <row r="97" spans="1:20" x14ac:dyDescent="0.2">
      <c r="A97" s="43"/>
      <c r="B97" s="138"/>
      <c r="C97" s="143"/>
      <c r="D97" s="137"/>
      <c r="E97" s="137"/>
      <c r="F97" s="143"/>
      <c r="G97" s="143"/>
      <c r="H97" s="143"/>
      <c r="I97" s="143"/>
      <c r="J97" s="143"/>
      <c r="K97" s="145"/>
      <c r="L97" s="145"/>
      <c r="M97" s="145"/>
      <c r="N97" s="145"/>
      <c r="O97" s="145"/>
      <c r="P97" s="145"/>
      <c r="Q97" s="145"/>
      <c r="R97" s="145"/>
      <c r="S97" s="145"/>
      <c r="T97" s="145"/>
    </row>
    <row r="98" spans="1:20" x14ac:dyDescent="0.2">
      <c r="A98" s="147" t="s">
        <v>392</v>
      </c>
      <c r="C98" s="94"/>
      <c r="D98" s="94"/>
      <c r="E98" s="94"/>
      <c r="F98" s="94"/>
      <c r="G98" s="94"/>
      <c r="H98" s="94"/>
      <c r="I98" s="94"/>
      <c r="J98" s="94"/>
      <c r="T98" s="99"/>
    </row>
    <row r="99" spans="1:20" x14ac:dyDescent="0.2">
      <c r="A99" s="47" t="s">
        <v>533</v>
      </c>
      <c r="B99" s="54"/>
      <c r="C99" s="94"/>
      <c r="D99" s="94">
        <f>Data!C$41</f>
        <v>0.64500000000000002</v>
      </c>
      <c r="E99" s="94">
        <f>Data!D$41</f>
        <v>0.69</v>
      </c>
      <c r="F99" s="180">
        <f>Data!E$41</f>
        <v>0.65400000000000003</v>
      </c>
      <c r="G99" s="180">
        <f>Data!F$41</f>
        <v>0.55500000000000005</v>
      </c>
      <c r="H99" s="180">
        <f>Data!G$41</f>
        <v>0.54500000000000004</v>
      </c>
      <c r="I99" s="180">
        <f>Data!H$41</f>
        <v>0.54800000000000004</v>
      </c>
      <c r="J99" s="180">
        <f>Data!I$41</f>
        <v>0.54900000000000004</v>
      </c>
      <c r="K99" s="99">
        <f>J$99*Tracks!N$15/Tracks!M$15</f>
        <v>0.54919879948618766</v>
      </c>
      <c r="L99" s="99">
        <f>K$99*Tracks!O$15/Tracks!N$15</f>
        <v>0.55186840178859653</v>
      </c>
      <c r="M99" s="99">
        <f>L$99*Tracks!P$15/Tracks!O$15</f>
        <v>0.55641457728701771</v>
      </c>
      <c r="N99" s="99">
        <f>M$99*Tracks!Q$15/Tracks!P$15</f>
        <v>0.5607143390001228</v>
      </c>
      <c r="O99" s="99">
        <f>N$99*Tracks!R$15/Tracks!Q$15</f>
        <v>0.56359995486873737</v>
      </c>
      <c r="P99" s="99">
        <f>O$99*Tracks!S$15/Tracks!R$15</f>
        <v>0.56679317987123268</v>
      </c>
      <c r="Q99" s="99">
        <f>P$99*Tracks!T$15/Tracks!S$15</f>
        <v>0.56882603860873904</v>
      </c>
      <c r="R99" s="99">
        <f>Q$99*Tracks!U$15/Tracks!T$15</f>
        <v>0.56882150549949051</v>
      </c>
      <c r="S99" s="99">
        <f>R$99*Tracks!V$15/Tracks!U$15</f>
        <v>0.56719075174178057</v>
      </c>
      <c r="T99" s="99">
        <f>S$99*Tracks!W$15/Tracks!V$15</f>
        <v>0.5646221252562027</v>
      </c>
    </row>
    <row r="100" spans="1:20" x14ac:dyDescent="0.2">
      <c r="A100" s="47" t="s">
        <v>218</v>
      </c>
      <c r="B100" s="54"/>
      <c r="C100" s="94"/>
      <c r="D100" s="94">
        <f>Data!C$49</f>
        <v>0</v>
      </c>
      <c r="E100" s="94">
        <f>Data!D$49</f>
        <v>1.101</v>
      </c>
      <c r="F100" s="180">
        <f>Data!E$49</f>
        <v>1.3484</v>
      </c>
      <c r="G100" s="180">
        <f>Data!F$49</f>
        <v>0.88178999999999996</v>
      </c>
      <c r="H100" s="180">
        <f>Data!G$49</f>
        <v>0.90664000000000011</v>
      </c>
      <c r="I100" s="180">
        <f>Data!H$49</f>
        <v>0.91719000000000006</v>
      </c>
      <c r="J100" s="180">
        <f>Data!I$49</f>
        <v>0.94981999999999989</v>
      </c>
      <c r="K100" s="99">
        <f>Tracks!H$107/1000</f>
        <v>0.96916329163779924</v>
      </c>
      <c r="L100" s="99">
        <f>Tracks!I$107/1000</f>
        <v>0.98151486803044119</v>
      </c>
      <c r="M100" s="99">
        <f>Tracks!J$107/1000</f>
        <v>0.99677589228536034</v>
      </c>
      <c r="N100" s="99">
        <f>Tracks!K$107/1000</f>
        <v>1.0170199601204142</v>
      </c>
      <c r="O100" s="99">
        <f>Tracks!L$107/1000</f>
        <v>1.0367822031177616</v>
      </c>
      <c r="P100" s="99">
        <f>Tracks!M$107/1000</f>
        <v>1.0559440976578072</v>
      </c>
      <c r="Q100" s="382">
        <f>P$100*(1+Popn!Q$197)</f>
        <v>1.0640242764374679</v>
      </c>
      <c r="R100" s="99">
        <f>Q$100*(1+Popn!R$197)</f>
        <v>1.0719965996605594</v>
      </c>
      <c r="S100" s="99">
        <f>R$100*(1+Popn!S$197)</f>
        <v>1.0798430914009864</v>
      </c>
      <c r="T100" s="99">
        <f>S$100*(1+Popn!T$197)</f>
        <v>1.0875615046679874</v>
      </c>
    </row>
    <row r="101" spans="1:20" x14ac:dyDescent="0.2">
      <c r="A101" s="47" t="s">
        <v>154</v>
      </c>
      <c r="B101" s="54"/>
      <c r="C101" s="94"/>
      <c r="D101" s="94">
        <f ca="1">SUM(Data!C$44:C$48,Data!C$50:C$51,Data!C$53:C$54,Data!C$58)+IF(OFFSET(Scenarios!$A$62,0,$C$1)="Yes",(1-SUM(OFFSET(Scenarios!$A$63,0,$C$1),OFFSET(Scenarios!$A$64,0,$C$1)))*D$70,0)</f>
        <v>14.637</v>
      </c>
      <c r="E101" s="94">
        <f ca="1">SUM(Data!D$44:D$48,Data!D$50:D$51,Data!D$53:D$54,Data!D$58)+IF(OFFSET(Scenarios!$A$62,0,$C$1)="Yes",(1-SUM(OFFSET(Scenarios!$A$63,0,$C$1),OFFSET(Scenarios!$A$64,0,$C$1)))*E$70,0)</f>
        <v>14.021000000000001</v>
      </c>
      <c r="F101" s="180">
        <f ca="1">SUM(Data!E$44:E$48,Data!E$50:E$51,Data!E$53:E$54,Data!E$58)+IF(OFFSET(Scenarios!$A$62,0,$C$1)="Yes",(1-SUM(OFFSET(Scenarios!$A$63,0,$C$1),OFFSET(Scenarios!$A$64,0,$C$1)))*F$70,0)</f>
        <v>15.0486</v>
      </c>
      <c r="G101" s="180">
        <f ca="1">SUM(Data!F$44:F$48,Data!F$50:F$51,Data!F$53:F$54,Data!F$58)+IF(OFFSET(Scenarios!$A$62,0,$C$1)="Yes",(1-SUM(OFFSET(Scenarios!$A$63,0,$C$1),OFFSET(Scenarios!$A$64,0,$C$1)))*G$70,0)</f>
        <v>14.786210000000002</v>
      </c>
      <c r="H101" s="180">
        <f ca="1">SUM(Data!G$44:G$48,Data!G$50:G$51,Data!G$53:G$54,Data!G$58)+IF(OFFSET(Scenarios!$A$62,0,$C$1)="Yes",(1-SUM(OFFSET(Scenarios!$A$63,0,$C$1),OFFSET(Scenarios!$A$64,0,$C$1)))*H$70,0)</f>
        <v>14.833359999999999</v>
      </c>
      <c r="I101" s="180">
        <f ca="1">SUM(Data!H$44:H$48,Data!H$50:H$51,Data!H$53:H$54,Data!H$58)+IF(OFFSET(Scenarios!$A$62,0,$C$1)="Yes",(1-SUM(OFFSET(Scenarios!$A$63,0,$C$1),OFFSET(Scenarios!$A$64,0,$C$1)))*I$70,0)</f>
        <v>14.871810000000002</v>
      </c>
      <c r="J101" s="180">
        <f ca="1">SUM(Data!I$44:I$48,Data!I$50:I$51,Data!I$53:I$54,Data!I$58)+IF(OFFSET(Scenarios!$A$62,0,$C$1)="Yes",(1-SUM(OFFSET(Scenarios!$A$63,0,$C$1),OFFSET(Scenarios!$A$64,0,$C$1)))*J$70,0)</f>
        <v>15.07118</v>
      </c>
      <c r="K101" s="99">
        <f ca="1">J$101+IF(OFFSET(Scenarios!$A$62,0,$C$1)="Yes",(K$70-J$70)*(1-SUM(OFFSET(Scenarios!$A$63,0,$C$1),OFFSET(Scenarios!$A$64,0,$C$1))),0)</f>
        <v>15.07118</v>
      </c>
      <c r="L101" s="99">
        <f ca="1">K$101+IF(OFFSET(Scenarios!$A$62,0,$C$1)="Yes",(L$70-K$70)*(1-SUM(OFFSET(Scenarios!$A$63,0,$C$1),OFFSET(Scenarios!$A$64,0,$C$1))),0)</f>
        <v>15.07118</v>
      </c>
      <c r="M101" s="99">
        <f ca="1">L$101+IF(OFFSET(Scenarios!$A$62,0,$C$1)="Yes",(M$70-L$70)*(1-SUM(OFFSET(Scenarios!$A$63,0,$C$1),OFFSET(Scenarios!$A$64,0,$C$1))),0)</f>
        <v>15.07118</v>
      </c>
      <c r="N101" s="99">
        <f ca="1">M$101+IF(OFFSET(Scenarios!$A$62,0,$C$1)="Yes",(N$70-M$70)*(1-SUM(OFFSET(Scenarios!$A$63,0,$C$1),OFFSET(Scenarios!$A$64,0,$C$1))),0)</f>
        <v>15.07118</v>
      </c>
      <c r="O101" s="99">
        <f ca="1">N$101+IF(OFFSET(Scenarios!$A$62,0,$C$1)="Yes",(O$70-N$70)*(1-SUM(OFFSET(Scenarios!$A$63,0,$C$1),OFFSET(Scenarios!$A$64,0,$C$1))),0)</f>
        <v>15.07118</v>
      </c>
      <c r="P101" s="99">
        <f ca="1">O$101+IF(OFFSET(Scenarios!$A$62,0,$C$1)="Yes",(P$70-O$70)*(1-SUM(OFFSET(Scenarios!$A$63,0,$C$1),OFFSET(Scenarios!$A$64,0,$C$1))),0)</f>
        <v>15.07118</v>
      </c>
      <c r="Q101" s="99">
        <f ca="1">P$101+IF(OFFSET(Scenarios!$A$62,0,$C$1)="Yes",(Q$70-P$70)*(1-SUM(OFFSET(Scenarios!$A$63,0,$C$1),OFFSET(Scenarios!$A$64,0,$C$1))),0)</f>
        <v>15.07118</v>
      </c>
      <c r="R101" s="99">
        <f ca="1">Q$101+IF(OFFSET(Scenarios!$A$62,0,$C$1)="Yes",(R$70-Q$70)*(1-SUM(OFFSET(Scenarios!$A$63,0,$C$1),OFFSET(Scenarios!$A$64,0,$C$1))),0)</f>
        <v>15.07118</v>
      </c>
      <c r="S101" s="99">
        <f ca="1">R$101+IF(OFFSET(Scenarios!$A$62,0,$C$1)="Yes",(S$70-R$70)*(1-SUM(OFFSET(Scenarios!$A$63,0,$C$1),OFFSET(Scenarios!$A$64,0,$C$1))),0)</f>
        <v>15.07118</v>
      </c>
      <c r="T101" s="99">
        <f ca="1">S$101+IF(OFFSET(Scenarios!$A$62,0,$C$1)="Yes",(T$70-S$70)*(1-SUM(OFFSET(Scenarios!$A$63,0,$C$1),OFFSET(Scenarios!$A$64,0,$C$1))),0)</f>
        <v>15.07118</v>
      </c>
    </row>
    <row r="102" spans="1:20" x14ac:dyDescent="0.2">
      <c r="A102" s="258" t="s">
        <v>130</v>
      </c>
      <c r="B102" s="54"/>
      <c r="C102" s="94"/>
      <c r="D102" s="280">
        <f>Data!C$52</f>
        <v>0</v>
      </c>
      <c r="E102" s="280">
        <f>Data!D$52</f>
        <v>0</v>
      </c>
      <c r="F102" s="186">
        <f>Data!E$52</f>
        <v>0.32700000000000001</v>
      </c>
      <c r="G102" s="186">
        <f>Data!F$52</f>
        <v>0.95599999999999996</v>
      </c>
      <c r="H102" s="186">
        <f>Data!G$52</f>
        <v>0.629</v>
      </c>
      <c r="I102" s="186">
        <f>Data!H$52</f>
        <v>0.64200000000000002</v>
      </c>
      <c r="J102" s="186">
        <f>Data!I$52</f>
        <v>1.07</v>
      </c>
      <c r="K102" s="107">
        <f>Tracks!H$115</f>
        <v>1.35</v>
      </c>
      <c r="L102" s="107">
        <f>Tracks!I$115</f>
        <v>1.35</v>
      </c>
      <c r="M102" s="107">
        <f>Tracks!J$115</f>
        <v>1.35</v>
      </c>
      <c r="N102" s="107">
        <f>Tracks!K$115</f>
        <v>1.35</v>
      </c>
      <c r="O102" s="107">
        <f>Tracks!L$115</f>
        <v>1.35</v>
      </c>
      <c r="P102" s="107">
        <f>Tracks!M$115</f>
        <v>1.2479166666666666</v>
      </c>
      <c r="Q102" s="107">
        <f>Tracks!N$115</f>
        <v>1.1458333333333335</v>
      </c>
      <c r="R102" s="107">
        <f>Tracks!O$115</f>
        <v>1.04375</v>
      </c>
      <c r="S102" s="107">
        <f>Tracks!P$115</f>
        <v>0.94166666666666665</v>
      </c>
      <c r="T102" s="107">
        <f>Tracks!Q$115</f>
        <v>0.83958333333333335</v>
      </c>
    </row>
    <row r="103" spans="1:20" x14ac:dyDescent="0.2">
      <c r="A103" s="43" t="s">
        <v>180</v>
      </c>
      <c r="B103" s="54"/>
      <c r="C103" s="94"/>
      <c r="D103" s="96">
        <f t="shared" ref="D103:T103" ca="1" si="46">SUM(D$99:D$102)</f>
        <v>15.282</v>
      </c>
      <c r="E103" s="96">
        <f t="shared" ca="1" si="46"/>
        <v>15.812000000000001</v>
      </c>
      <c r="F103" s="187">
        <f t="shared" ca="1" si="46"/>
        <v>17.378000000000004</v>
      </c>
      <c r="G103" s="187">
        <f t="shared" ca="1" si="46"/>
        <v>17.179000000000002</v>
      </c>
      <c r="H103" s="187">
        <f t="shared" ca="1" si="46"/>
        <v>16.914000000000001</v>
      </c>
      <c r="I103" s="187">
        <f t="shared" ca="1" si="46"/>
        <v>16.979000000000003</v>
      </c>
      <c r="J103" s="187">
        <f t="shared" ca="1" si="46"/>
        <v>17.64</v>
      </c>
      <c r="K103" s="101">
        <f t="shared" ca="1" si="46"/>
        <v>17.93954209112399</v>
      </c>
      <c r="L103" s="101">
        <f t="shared" ca="1" si="46"/>
        <v>17.95456326981904</v>
      </c>
      <c r="M103" s="101">
        <f t="shared" ca="1" si="46"/>
        <v>17.974370469572378</v>
      </c>
      <c r="N103" s="101">
        <f t="shared" ca="1" si="46"/>
        <v>17.998914299120539</v>
      </c>
      <c r="O103" s="101">
        <f t="shared" ca="1" si="46"/>
        <v>18.021562157986502</v>
      </c>
      <c r="P103" s="101">
        <f t="shared" ca="1" si="46"/>
        <v>17.941833944195704</v>
      </c>
      <c r="Q103" s="101">
        <f t="shared" ca="1" si="46"/>
        <v>17.849863648379539</v>
      </c>
      <c r="R103" s="101">
        <f t="shared" ca="1" si="46"/>
        <v>17.755748105160048</v>
      </c>
      <c r="S103" s="101">
        <f t="shared" ca="1" si="46"/>
        <v>17.659880509809433</v>
      </c>
      <c r="T103" s="101">
        <f t="shared" ca="1" si="46"/>
        <v>17.562946963257524</v>
      </c>
    </row>
    <row r="104" spans="1:20" x14ac:dyDescent="0.2">
      <c r="A104" s="43" t="s">
        <v>723</v>
      </c>
      <c r="B104" s="138"/>
      <c r="C104" s="94"/>
      <c r="D104" s="96">
        <f ca="1">SUM(Data!C$18:C$28)-SUM(Data!C$44:C$54)+D$103</f>
        <v>25.501000000000001</v>
      </c>
      <c r="E104" s="96">
        <f ca="1">SUM(Data!D$18:D$28)-SUM(Data!D$44:D$54)+E$103</f>
        <v>30.026</v>
      </c>
      <c r="F104" s="187">
        <f ca="1">SUM(Data!E$18:E$28)-SUM(Data!E$44:E$54)+F$103</f>
        <v>31.644000000000005</v>
      </c>
      <c r="G104" s="187">
        <f ca="1">SUM(Data!F$18:F$28)-SUM(Data!F$44:F$54)+G$103</f>
        <v>32.215999999999994</v>
      </c>
      <c r="H104" s="187">
        <f ca="1">SUM(Data!G$18:G$28)-SUM(Data!G$44:G$54)+H$103</f>
        <v>33.191000000000003</v>
      </c>
      <c r="I104" s="187">
        <f ca="1">SUM(Data!H$18:H$28)-SUM(Data!H$44:H$54)+I$103</f>
        <v>33.509</v>
      </c>
      <c r="J104" s="187">
        <f ca="1">SUM(Data!I$18:I$28)-SUM(Data!I$44:I$54)+J$103</f>
        <v>34.634</v>
      </c>
      <c r="K104" s="146" t="e">
        <f t="shared" ref="K104:T104" ca="1" si="47">(J$104-J$103)*(1+K$212)+K$103</f>
        <v>#REF!</v>
      </c>
      <c r="L104" s="146" t="e">
        <f t="shared" ca="1" si="47"/>
        <v>#REF!</v>
      </c>
      <c r="M104" s="146" t="e">
        <f t="shared" ca="1" si="47"/>
        <v>#REF!</v>
      </c>
      <c r="N104" s="146" t="e">
        <f t="shared" ca="1" si="47"/>
        <v>#REF!</v>
      </c>
      <c r="O104" s="146" t="e">
        <f t="shared" ca="1" si="47"/>
        <v>#REF!</v>
      </c>
      <c r="P104" s="146" t="e">
        <f t="shared" ca="1" si="47"/>
        <v>#REF!</v>
      </c>
      <c r="Q104" s="146" t="e">
        <f t="shared" ca="1" si="47"/>
        <v>#REF!</v>
      </c>
      <c r="R104" s="146" t="e">
        <f t="shared" ca="1" si="47"/>
        <v>#REF!</v>
      </c>
      <c r="S104" s="146" t="e">
        <f t="shared" ca="1" si="47"/>
        <v>#REF!</v>
      </c>
      <c r="T104" s="146" t="e">
        <f t="shared" ca="1" si="47"/>
        <v>#REF!</v>
      </c>
    </row>
    <row r="105" spans="1:20" x14ac:dyDescent="0.2">
      <c r="A105" s="43"/>
      <c r="B105" s="138"/>
      <c r="C105" s="94"/>
      <c r="D105" s="96"/>
      <c r="E105" s="96"/>
      <c r="F105" s="187"/>
      <c r="G105" s="187"/>
      <c r="H105" s="187"/>
      <c r="I105" s="187"/>
      <c r="J105" s="187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</row>
    <row r="106" spans="1:20" x14ac:dyDescent="0.2">
      <c r="A106" s="147" t="s">
        <v>659</v>
      </c>
      <c r="B106" s="138"/>
      <c r="C106" s="94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</row>
    <row r="107" spans="1:20" x14ac:dyDescent="0.2">
      <c r="A107" s="43" t="s">
        <v>741</v>
      </c>
      <c r="B107" s="138"/>
      <c r="C107" s="94"/>
      <c r="D107" s="96">
        <f>SUM(Data!C$55:C$56)</f>
        <v>2.3290000000000002</v>
      </c>
      <c r="E107" s="96">
        <f>SUM(Data!D$55:D$56)</f>
        <v>2.46</v>
      </c>
      <c r="F107" s="187">
        <f>SUM(Data!E$55:E$56)</f>
        <v>2.5649999999999999</v>
      </c>
      <c r="G107" s="187">
        <f>SUM(Data!F$55:F$56)</f>
        <v>2.484</v>
      </c>
      <c r="H107" s="187">
        <f>SUM(Data!G$55:G$56)</f>
        <v>2.9849999999999999</v>
      </c>
      <c r="I107" s="187">
        <f>SUM(Data!H$55:H$56)</f>
        <v>3.5569999999999999</v>
      </c>
      <c r="J107" s="187">
        <f>SUM(Data!I$55:I$56)</f>
        <v>4.3220000000000001</v>
      </c>
      <c r="K107" s="60">
        <f ca="1">J$201*K$216</f>
        <v>4.6073399999999998</v>
      </c>
      <c r="L107" s="60" t="e">
        <f t="shared" ref="L107:T107" ca="1" si="48">K$201*L$216</f>
        <v>#REF!</v>
      </c>
      <c r="M107" s="60" t="e">
        <f t="shared" ca="1" si="48"/>
        <v>#REF!</v>
      </c>
      <c r="N107" s="60" t="e">
        <f t="shared" ca="1" si="48"/>
        <v>#REF!</v>
      </c>
      <c r="O107" s="60" t="e">
        <f t="shared" ca="1" si="48"/>
        <v>#REF!</v>
      </c>
      <c r="P107" s="60" t="e">
        <f t="shared" ca="1" si="48"/>
        <v>#REF!</v>
      </c>
      <c r="Q107" s="60" t="e">
        <f t="shared" ca="1" si="48"/>
        <v>#REF!</v>
      </c>
      <c r="R107" s="60" t="e">
        <f t="shared" ca="1" si="48"/>
        <v>#REF!</v>
      </c>
      <c r="S107" s="60" t="e">
        <f t="shared" ca="1" si="48"/>
        <v>#REF!</v>
      </c>
      <c r="T107" s="60" t="e">
        <f t="shared" ca="1" si="48"/>
        <v>#REF!</v>
      </c>
    </row>
    <row r="108" spans="1:20" x14ac:dyDescent="0.2">
      <c r="A108" s="43" t="s">
        <v>757</v>
      </c>
      <c r="B108" s="138"/>
      <c r="C108" s="94"/>
      <c r="D108" s="96">
        <f>SUM(Data!C$29:C$30)</f>
        <v>2.8849999999999998</v>
      </c>
      <c r="E108" s="96">
        <f>SUM(Data!D$29:D$30)</f>
        <v>3.101</v>
      </c>
      <c r="F108" s="187">
        <f>SUM(Data!E$29:E$30)</f>
        <v>3.2189999999999999</v>
      </c>
      <c r="G108" s="187">
        <f>SUM(Data!F$29:F$30)</f>
        <v>3.3149999999999999</v>
      </c>
      <c r="H108" s="187">
        <f>SUM(Data!G$29:G$30)</f>
        <v>3.9330000000000003</v>
      </c>
      <c r="I108" s="187">
        <f>SUM(Data!H$29:H$30)</f>
        <v>4.5360000000000005</v>
      </c>
      <c r="J108" s="187">
        <f>SUM(Data!I$29:I$30)</f>
        <v>5.3800000000000008</v>
      </c>
      <c r="K108" s="101">
        <f ca="1">SUM(J$199,J$196)*K$216</f>
        <v>5.6603999999999992</v>
      </c>
      <c r="L108" s="101" t="e">
        <f t="shared" ref="L108:T108" ca="1" si="49">SUM(K$199,K$196)*L$216</f>
        <v>#REF!</v>
      </c>
      <c r="M108" s="101" t="e">
        <f t="shared" ca="1" si="49"/>
        <v>#REF!</v>
      </c>
      <c r="N108" s="101" t="e">
        <f t="shared" ca="1" si="49"/>
        <v>#REF!</v>
      </c>
      <c r="O108" s="101" t="e">
        <f t="shared" ca="1" si="49"/>
        <v>#REF!</v>
      </c>
      <c r="P108" s="101" t="e">
        <f t="shared" ca="1" si="49"/>
        <v>#REF!</v>
      </c>
      <c r="Q108" s="101" t="e">
        <f t="shared" ca="1" si="49"/>
        <v>#REF!</v>
      </c>
      <c r="R108" s="101" t="e">
        <f t="shared" ca="1" si="49"/>
        <v>#REF!</v>
      </c>
      <c r="S108" s="101" t="e">
        <f t="shared" ca="1" si="49"/>
        <v>#REF!</v>
      </c>
      <c r="T108" s="101" t="e">
        <f t="shared" ca="1" si="49"/>
        <v>#REF!</v>
      </c>
    </row>
    <row r="109" spans="1:20" x14ac:dyDescent="0.2">
      <c r="A109" s="43"/>
      <c r="B109" s="138"/>
      <c r="C109" s="94"/>
      <c r="D109" s="96"/>
      <c r="E109" s="96"/>
      <c r="F109" s="187"/>
      <c r="G109" s="187"/>
      <c r="H109" s="187"/>
      <c r="I109" s="187"/>
      <c r="J109" s="187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</row>
    <row r="110" spans="1:20" x14ac:dyDescent="0.2">
      <c r="A110" s="147" t="s">
        <v>660</v>
      </c>
      <c r="B110" s="60"/>
      <c r="C110" s="94"/>
      <c r="D110" s="94"/>
      <c r="E110" s="94"/>
      <c r="F110" s="180"/>
      <c r="G110" s="180"/>
      <c r="H110" s="180"/>
      <c r="I110" s="180"/>
      <c r="J110" s="180"/>
      <c r="K110" s="94"/>
      <c r="L110" s="94"/>
      <c r="M110" s="94"/>
      <c r="N110" s="94"/>
      <c r="O110" s="94"/>
      <c r="P110" s="94"/>
      <c r="Q110" s="94"/>
      <c r="R110" s="94"/>
      <c r="S110" s="94"/>
      <c r="T110" s="94"/>
    </row>
    <row r="111" spans="1:20" x14ac:dyDescent="0.2">
      <c r="A111" s="47" t="s">
        <v>169</v>
      </c>
      <c r="B111" s="54"/>
      <c r="C111" s="94"/>
      <c r="D111" s="181">
        <f>Data!C$86</f>
        <v>9.8550000000000004</v>
      </c>
      <c r="E111" s="94">
        <f t="shared" ref="E111:K111" si="50">D$117</f>
        <v>12.973000000000001</v>
      </c>
      <c r="F111" s="142">
        <f t="shared" si="50"/>
        <v>14.212000000000002</v>
      </c>
      <c r="G111" s="142">
        <f t="shared" si="50"/>
        <v>14.335000000000003</v>
      </c>
      <c r="H111" s="142">
        <f t="shared" si="50"/>
        <v>17.787000000000003</v>
      </c>
      <c r="I111" s="142">
        <f t="shared" si="50"/>
        <v>21.486000000000001</v>
      </c>
      <c r="J111" s="142">
        <f t="shared" si="50"/>
        <v>25.466999999999999</v>
      </c>
      <c r="K111" s="99">
        <f t="shared" si="50"/>
        <v>29.804000000000002</v>
      </c>
      <c r="L111" s="99">
        <f t="shared" ref="L111:T111" si="51">K$117</f>
        <v>34.223940150441813</v>
      </c>
      <c r="M111" s="99">
        <f t="shared" si="51"/>
        <v>38.904630229601949</v>
      </c>
      <c r="N111" s="99">
        <f t="shared" si="51"/>
        <v>43.872807989701251</v>
      </c>
      <c r="O111" s="99">
        <f t="shared" si="51"/>
        <v>49.131233585882313</v>
      </c>
      <c r="P111" s="99">
        <f t="shared" si="51"/>
        <v>54.678501411835057</v>
      </c>
      <c r="Q111" s="99">
        <f t="shared" si="51"/>
        <v>60.510012911569675</v>
      </c>
      <c r="R111" s="99">
        <f t="shared" si="51"/>
        <v>66.625408164445261</v>
      </c>
      <c r="S111" s="99">
        <f t="shared" si="51"/>
        <v>72.949928333775361</v>
      </c>
      <c r="T111" s="99">
        <f t="shared" si="51"/>
        <v>79.472941753894119</v>
      </c>
    </row>
    <row r="112" spans="1:20" x14ac:dyDescent="0.2">
      <c r="A112" s="251" t="s">
        <v>495</v>
      </c>
      <c r="B112" s="54"/>
      <c r="C112" s="94"/>
      <c r="D112" s="94">
        <f>Data!C$87</f>
        <v>2.0489999999999999</v>
      </c>
      <c r="E112" s="94">
        <f>Data!D$87</f>
        <v>2.1040000000000001</v>
      </c>
      <c r="F112" s="142">
        <f>Data!E$87</f>
        <v>2.242</v>
      </c>
      <c r="G112" s="142">
        <f>Data!F$87</f>
        <v>2.2309999999999999</v>
      </c>
      <c r="H112" s="142">
        <f>Data!G$87</f>
        <v>2.258</v>
      </c>
      <c r="I112" s="142">
        <f>Data!H$87</f>
        <v>2.2989999999999999</v>
      </c>
      <c r="J112" s="142">
        <f>Data!I$87</f>
        <v>2.3980000000000001</v>
      </c>
      <c r="K112" s="99">
        <f>Tracks!O$6</f>
        <v>2.3863621594612159</v>
      </c>
      <c r="L112" s="99">
        <f>Tracks!P$6</f>
        <v>2.357448976691142</v>
      </c>
      <c r="M112" s="99">
        <f>Tracks!Q$6</f>
        <v>2.3378409886424087</v>
      </c>
      <c r="N112" s="99">
        <f>Tracks!R$6</f>
        <v>2.3025828987531316</v>
      </c>
      <c r="O112" s="99">
        <f>Tracks!S$6</f>
        <v>2.247459257415521</v>
      </c>
      <c r="P112" s="99">
        <f>Tracks!T$6</f>
        <v>2.1694634973066549</v>
      </c>
      <c r="Q112" s="99">
        <f>Tracks!U$6</f>
        <v>2.0729989264175632</v>
      </c>
      <c r="R112" s="99">
        <f>Tracks!V$6</f>
        <v>1.8859446104658986</v>
      </c>
      <c r="S112" s="99">
        <f>Tracks!W$6</f>
        <v>1.6752497027927458</v>
      </c>
      <c r="T112" s="99">
        <f>Tracks!X$6</f>
        <v>1.437031201784265</v>
      </c>
    </row>
    <row r="113" spans="1:20" x14ac:dyDescent="0.2">
      <c r="A113" s="251" t="s">
        <v>496</v>
      </c>
      <c r="B113" s="54"/>
      <c r="C113" s="94"/>
      <c r="D113" s="94">
        <f>Data!C$88</f>
        <v>0.436</v>
      </c>
      <c r="E113" s="94">
        <f>Data!D$88</f>
        <v>0.38500000000000001</v>
      </c>
      <c r="F113" s="142">
        <f>Data!E$88</f>
        <v>0.43099999999999999</v>
      </c>
      <c r="G113" s="142">
        <f>Data!F$88</f>
        <v>0.48699999999999999</v>
      </c>
      <c r="H113" s="142">
        <f>Data!G$88</f>
        <v>0.56200000000000006</v>
      </c>
      <c r="I113" s="142">
        <f>Data!H$88</f>
        <v>0.64200000000000002</v>
      </c>
      <c r="J113" s="142">
        <f>Data!I$88</f>
        <v>0.72499999999999998</v>
      </c>
      <c r="K113" s="99">
        <f>J$113*Tracks!O$7/Tracks!N$7-J$115*J$113/SUM(J$113,J$114)*(Tracks!O$7/Tracks!N$7-1)</f>
        <v>0.74587931418630149</v>
      </c>
      <c r="L113" s="99">
        <f>K$113*Tracks!P$7/Tracks!O$7-K$115*K$113/SUM(K$113,K$114)*(Tracks!P$7/Tracks!O$7-1)</f>
        <v>0.84321054452551125</v>
      </c>
      <c r="M113" s="99">
        <f>L$113*Tracks!Q$7/Tracks!P$7-L$115*L$113/SUM(L$113,L$114)*(Tracks!Q$7/Tracks!P$7-1)</f>
        <v>0.94639938048341732</v>
      </c>
      <c r="N113" s="99">
        <f>M$113*Tracks!R$7/Tracks!Q$7-M$115*M$113/SUM(M$113,M$114)*(Tracks!R$7/Tracks!Q$7-1)</f>
        <v>1.055774344021825</v>
      </c>
      <c r="O113" s="99">
        <f>N$113*Tracks!S$7/Tracks!R$7-N$115*N$113/SUM(N$113,N$114)*(Tracks!S$7/Tracks!R$7-1)</f>
        <v>1.1713521311198762</v>
      </c>
      <c r="P113" s="99">
        <f>O$113*Tracks!T$7/Tracks!S$7-O$115*O$113/SUM(O$113,O$114)*(Tracks!T$7/Tracks!S$7-1)</f>
        <v>1.2930701144585168</v>
      </c>
      <c r="Q113" s="99">
        <f>P$113*Tracks!U$7/Tracks!T$7-P$115*P$113/SUM(P$113,P$114)*(Tracks!U$7/Tracks!T$7-1)</f>
        <v>1.4208729615144635</v>
      </c>
      <c r="R113" s="99">
        <f>Q$113*Tracks!V$7/Tracks!U$7-Q$115*Q$113/SUM(Q$113,Q$114)*(Tracks!V$7/Tracks!U$7-1)</f>
        <v>1.5539952356169444</v>
      </c>
      <c r="S113" s="99">
        <f>R$113*Tracks!W$7/Tracks!V$7-R$115*R$113/SUM(R$113,R$114)*(Tracks!W$7/Tracks!V$7-1)</f>
        <v>1.6914887075978222</v>
      </c>
      <c r="T113" s="99">
        <f>S$113*Tracks!X$7/Tracks!W$7-S$115*S$113/SUM(S$113,S$114)*(Tracks!X$7/Tracks!W$7-1)</f>
        <v>1.8330777445800253</v>
      </c>
    </row>
    <row r="114" spans="1:20" x14ac:dyDescent="0.2">
      <c r="A114" s="251" t="s">
        <v>497</v>
      </c>
      <c r="B114" s="54"/>
      <c r="C114" s="94"/>
      <c r="D114" s="94">
        <f>Data!C$90</f>
        <v>1.3129999999999999</v>
      </c>
      <c r="E114" s="94">
        <f>Data!D$90</f>
        <v>-0.995</v>
      </c>
      <c r="F114" s="142">
        <f>Data!E$90</f>
        <v>-2.363</v>
      </c>
      <c r="G114" s="142">
        <f>Data!F$90</f>
        <v>1.321</v>
      </c>
      <c r="H114" s="142">
        <f>Data!G$90</f>
        <v>1.569</v>
      </c>
      <c r="I114" s="142">
        <f>Data!H$90</f>
        <v>1.8360000000000001</v>
      </c>
      <c r="J114" s="142">
        <f>Data!I$90</f>
        <v>2.1139999999999999</v>
      </c>
      <c r="K114" s="99">
        <f>J$114*Tracks!O$7/Tracks!N$7-J$115*J$114/SUM(J$113,J$114)*(Tracks!O$7/Tracks!N$7-1)</f>
        <v>2.1748812002618498</v>
      </c>
      <c r="L114" s="99">
        <f>K$114*Tracks!P$7/Tracks!O$7-K$115*K$114/SUM(K$113,K$114)*(Tracks!P$7/Tracks!O$7-1)</f>
        <v>2.4586856429336978</v>
      </c>
      <c r="M114" s="99">
        <f>L$114*Tracks!Q$7/Tracks!P$7-L$115*L$114/SUM(L$113,L$114)*(Tracks!Q$7/Tracks!P$7-1)</f>
        <v>2.7595700556440614</v>
      </c>
      <c r="N114" s="99">
        <f>M$114*Tracks!R$7/Tracks!Q$7-M$115*M$114/SUM(M$113,M$114)*(Tracks!R$7/Tracks!Q$7-1)</f>
        <v>3.0784923631201906</v>
      </c>
      <c r="O114" s="99">
        <f>N$114*Tracks!S$7/Tracks!R$7-N$115*N$114/SUM(N$113,N$114)*(Tracks!S$7/Tracks!R$7-1)</f>
        <v>3.4155012485343699</v>
      </c>
      <c r="P114" s="99">
        <f>O$114*Tracks!T$7/Tracks!S$7-O$115*O$114/SUM(O$113,O$114)*(Tracks!T$7/Tracks!S$7-1)</f>
        <v>3.7704140992624886</v>
      </c>
      <c r="Q114" s="99">
        <f>P$114*Tracks!U$7/Tracks!T$7-P$115*P$114/SUM(P$113,P$114)*(Tracks!U$7/Tracks!T$7-1)</f>
        <v>4.1430695732987246</v>
      </c>
      <c r="R114" s="99">
        <f>Q$114*Tracks!V$7/Tracks!U$7-Q$115*Q$114/SUM(Q$113,Q$114)*(Tracks!V$7/Tracks!U$7-1)</f>
        <v>4.5312357628885787</v>
      </c>
      <c r="S114" s="99">
        <f>R$114*Tracks!W$7/Tracks!V$7-R$115*R$114/SUM(R$113,R$114)*(Tracks!W$7/Tracks!V$7-1)</f>
        <v>4.9321477625679933</v>
      </c>
      <c r="T114" s="99">
        <f>S$114*Tracks!X$7/Tracks!W$7-S$115*S$114/SUM(S$113,S$114)*(Tracks!X$7/Tracks!W$7-1)</f>
        <v>5.3450018648857549</v>
      </c>
    </row>
    <row r="115" spans="1:20" x14ac:dyDescent="0.2">
      <c r="A115" s="259" t="s">
        <v>751</v>
      </c>
      <c r="B115" s="54"/>
      <c r="C115" s="94"/>
      <c r="D115" s="94">
        <f>Data!C$89</f>
        <v>-2.6999999999999996E-2</v>
      </c>
      <c r="E115" s="94">
        <f>Data!D$89</f>
        <v>1.8000000000000002E-2</v>
      </c>
      <c r="F115" s="142">
        <f>Data!E$89</f>
        <v>0.15599999999999992</v>
      </c>
      <c r="G115" s="142">
        <f>Data!F$89</f>
        <v>0.16800000000000001</v>
      </c>
      <c r="H115" s="142">
        <f>Data!G$89</f>
        <v>0.19599999999999995</v>
      </c>
      <c r="I115" s="142">
        <f>Data!H$89</f>
        <v>0.222</v>
      </c>
      <c r="J115" s="142">
        <f>Data!I$89</f>
        <v>0.245</v>
      </c>
      <c r="K115" s="99">
        <f>J$115</f>
        <v>0.245</v>
      </c>
      <c r="L115" s="99">
        <f t="shared" ref="L115:T115" si="52">K$115</f>
        <v>0.245</v>
      </c>
      <c r="M115" s="99">
        <f t="shared" si="52"/>
        <v>0.245</v>
      </c>
      <c r="N115" s="99">
        <f t="shared" si="52"/>
        <v>0.245</v>
      </c>
      <c r="O115" s="99">
        <f t="shared" si="52"/>
        <v>0.245</v>
      </c>
      <c r="P115" s="99">
        <f t="shared" si="52"/>
        <v>0.245</v>
      </c>
      <c r="Q115" s="99">
        <f t="shared" si="52"/>
        <v>0.245</v>
      </c>
      <c r="R115" s="99">
        <f t="shared" si="52"/>
        <v>0.245</v>
      </c>
      <c r="S115" s="99">
        <f t="shared" si="52"/>
        <v>0.245</v>
      </c>
      <c r="T115" s="99">
        <f t="shared" si="52"/>
        <v>0.245</v>
      </c>
    </row>
    <row r="116" spans="1:20" x14ac:dyDescent="0.2">
      <c r="A116" s="259" t="s">
        <v>662</v>
      </c>
      <c r="B116" s="54"/>
      <c r="C116" s="94"/>
      <c r="D116" s="280">
        <f>Data!C$91</f>
        <v>0.70699999999999996</v>
      </c>
      <c r="E116" s="280">
        <f>Data!D$91</f>
        <v>0.23699999999999999</v>
      </c>
      <c r="F116" s="186">
        <f>Data!E$91</f>
        <v>3.1000000000000028E-2</v>
      </c>
      <c r="G116" s="186">
        <f>Data!F$91</f>
        <v>0.41899999999999998</v>
      </c>
      <c r="H116" s="186">
        <f>Data!G$91</f>
        <v>0.49399999999999999</v>
      </c>
      <c r="I116" s="186">
        <f>Data!H$91</f>
        <v>0.57399999999999995</v>
      </c>
      <c r="J116" s="186">
        <f>Data!I$91</f>
        <v>0.65500000000000003</v>
      </c>
      <c r="K116" s="107">
        <f>Tracks!O$8</f>
        <v>0.64218252346755633</v>
      </c>
      <c r="L116" s="107">
        <f>Tracks!P$8</f>
        <v>0.73365508499021015</v>
      </c>
      <c r="M116" s="107">
        <f>Tracks!Q$8</f>
        <v>0.83063266467059493</v>
      </c>
      <c r="N116" s="107">
        <f>Tracks!R$8</f>
        <v>0.93342400971408379</v>
      </c>
      <c r="O116" s="107">
        <f>Tracks!S$8</f>
        <v>1.0420448111170191</v>
      </c>
      <c r="P116" s="107">
        <f>Tracks!T$8</f>
        <v>1.1564362112930413</v>
      </c>
      <c r="Q116" s="107">
        <f>Tracks!U$8</f>
        <v>1.2765462083551651</v>
      </c>
      <c r="R116" s="107">
        <f>Tracks!V$8</f>
        <v>1.4016554396413257</v>
      </c>
      <c r="S116" s="107">
        <f>Tracks!W$8</f>
        <v>1.5308727528397958</v>
      </c>
      <c r="T116" s="107">
        <f>Tracks!X$8</f>
        <v>1.6639391062717872</v>
      </c>
    </row>
    <row r="117" spans="1:20" x14ac:dyDescent="0.2">
      <c r="A117" s="43" t="s">
        <v>170</v>
      </c>
      <c r="B117" s="54"/>
      <c r="C117" s="94"/>
      <c r="D117" s="96">
        <f t="shared" ref="D117:T117" si="53">SUM(D$111:D$114)-SUM(D$115,D$116)</f>
        <v>12.973000000000001</v>
      </c>
      <c r="E117" s="96">
        <f t="shared" si="53"/>
        <v>14.212000000000002</v>
      </c>
      <c r="F117" s="187">
        <f t="shared" si="53"/>
        <v>14.335000000000003</v>
      </c>
      <c r="G117" s="187">
        <f t="shared" si="53"/>
        <v>17.787000000000003</v>
      </c>
      <c r="H117" s="187">
        <f t="shared" si="53"/>
        <v>21.486000000000001</v>
      </c>
      <c r="I117" s="187">
        <f t="shared" si="53"/>
        <v>25.466999999999999</v>
      </c>
      <c r="J117" s="187">
        <f t="shared" si="53"/>
        <v>29.804000000000002</v>
      </c>
      <c r="K117" s="101">
        <f t="shared" si="53"/>
        <v>34.223940150441813</v>
      </c>
      <c r="L117" s="101">
        <f t="shared" si="53"/>
        <v>38.904630229601949</v>
      </c>
      <c r="M117" s="101">
        <f t="shared" si="53"/>
        <v>43.872807989701251</v>
      </c>
      <c r="N117" s="101">
        <f t="shared" si="53"/>
        <v>49.131233585882313</v>
      </c>
      <c r="O117" s="101">
        <f t="shared" si="53"/>
        <v>54.678501411835057</v>
      </c>
      <c r="P117" s="101">
        <f t="shared" si="53"/>
        <v>60.510012911569675</v>
      </c>
      <c r="Q117" s="101">
        <f t="shared" si="53"/>
        <v>66.625408164445261</v>
      </c>
      <c r="R117" s="101">
        <f t="shared" si="53"/>
        <v>72.949928333775361</v>
      </c>
      <c r="S117" s="101">
        <f t="shared" si="53"/>
        <v>79.472941753894119</v>
      </c>
      <c r="T117" s="101">
        <f t="shared" si="53"/>
        <v>86.179113458872379</v>
      </c>
    </row>
    <row r="118" spans="1:20" x14ac:dyDescent="0.2">
      <c r="A118" s="147" t="s">
        <v>661</v>
      </c>
      <c r="B118" s="60"/>
      <c r="C118" s="94"/>
      <c r="D118" s="96"/>
      <c r="E118" s="96"/>
      <c r="F118" s="96"/>
      <c r="G118" s="96"/>
      <c r="H118" s="96"/>
      <c r="I118" s="96"/>
      <c r="J118" s="96"/>
      <c r="K118" s="60"/>
      <c r="L118" s="60"/>
      <c r="M118" s="60"/>
      <c r="N118" s="60"/>
      <c r="O118" s="60"/>
      <c r="P118" s="60"/>
      <c r="Q118" s="60"/>
      <c r="R118" s="60"/>
      <c r="S118" s="60"/>
      <c r="T118" s="60"/>
    </row>
    <row r="119" spans="1:20" x14ac:dyDescent="0.2">
      <c r="A119" s="47" t="s">
        <v>338</v>
      </c>
      <c r="B119" s="54"/>
      <c r="C119" s="94"/>
      <c r="D119" s="94">
        <f>Data!C$149</f>
        <v>11.663</v>
      </c>
      <c r="E119" s="94">
        <f>Data!D$149</f>
        <v>13.382</v>
      </c>
      <c r="F119" s="142">
        <f>Data!E$149</f>
        <v>12.873999999999999</v>
      </c>
      <c r="G119" s="142">
        <f>Data!F$149</f>
        <v>16.064999999999998</v>
      </c>
      <c r="H119" s="142">
        <f>Data!G$149</f>
        <v>19.515000000000001</v>
      </c>
      <c r="I119" s="142">
        <f>Data!H$149</f>
        <v>23.286999999999999</v>
      </c>
      <c r="J119" s="142">
        <f>Data!I$149</f>
        <v>27.440999999999999</v>
      </c>
      <c r="K119" s="99">
        <f>J$119*K$117/J$117</f>
        <v>31.510506699378393</v>
      </c>
      <c r="L119" s="99">
        <f t="shared" ref="L119:T119" si="54">K$119*L$117/K$117</f>
        <v>35.820089858089744</v>
      </c>
      <c r="M119" s="99">
        <f t="shared" si="54"/>
        <v>40.394367334766862</v>
      </c>
      <c r="N119" s="99">
        <f t="shared" si="54"/>
        <v>45.235880446590933</v>
      </c>
      <c r="O119" s="99">
        <f t="shared" si="54"/>
        <v>50.343335030269941</v>
      </c>
      <c r="P119" s="99">
        <f t="shared" si="54"/>
        <v>55.712497124761207</v>
      </c>
      <c r="Q119" s="99">
        <f t="shared" si="54"/>
        <v>61.34303534560938</v>
      </c>
      <c r="R119" s="99">
        <f t="shared" si="54"/>
        <v>67.166118085060035</v>
      </c>
      <c r="S119" s="99">
        <f t="shared" si="54"/>
        <v>73.171956605442489</v>
      </c>
      <c r="T119" s="99">
        <f t="shared" si="54"/>
        <v>79.346431768383994</v>
      </c>
    </row>
    <row r="120" spans="1:20" x14ac:dyDescent="0.2">
      <c r="A120" s="47" t="s">
        <v>844</v>
      </c>
      <c r="B120" s="54"/>
      <c r="C120" s="94"/>
      <c r="D120" s="94">
        <f>Data!C$156</f>
        <v>12.523</v>
      </c>
      <c r="E120" s="94">
        <f>Data!D$156</f>
        <v>13.611000000000001</v>
      </c>
      <c r="F120" s="142">
        <f>Data!E$156</f>
        <v>13.278000000000002</v>
      </c>
      <c r="G120" s="142">
        <f>Data!F$156</f>
        <v>16.577999999999999</v>
      </c>
      <c r="H120" s="142">
        <f>Data!G$156</f>
        <v>20.143000000000001</v>
      </c>
      <c r="I120" s="142">
        <f>Data!H$156</f>
        <v>24.055</v>
      </c>
      <c r="J120" s="142">
        <f>Data!I$156</f>
        <v>28.358000000000001</v>
      </c>
      <c r="K120" s="99">
        <f>J$120*K$117/J$117</f>
        <v>32.563498013227381</v>
      </c>
      <c r="L120" s="99">
        <f t="shared" ref="L120:T120" si="55">K$120*L$117/K$117</f>
        <v>37.017095156725674</v>
      </c>
      <c r="M120" s="99">
        <f t="shared" si="55"/>
        <v>41.744231947790496</v>
      </c>
      <c r="N120" s="99">
        <f t="shared" si="55"/>
        <v>46.747534627179249</v>
      </c>
      <c r="O120" s="99">
        <f t="shared" si="55"/>
        <v>52.025665784351702</v>
      </c>
      <c r="P120" s="99">
        <f t="shared" si="55"/>
        <v>57.574249971355933</v>
      </c>
      <c r="Q120" s="99">
        <f t="shared" si="55"/>
        <v>63.392944729812704</v>
      </c>
      <c r="R120" s="99">
        <f t="shared" si="55"/>
        <v>69.410618295839512</v>
      </c>
      <c r="S120" s="99">
        <f t="shared" si="55"/>
        <v>75.617154820055319</v>
      </c>
      <c r="T120" s="99">
        <f t="shared" si="55"/>
        <v>81.997963342729236</v>
      </c>
    </row>
    <row r="121" spans="1:20" x14ac:dyDescent="0.2">
      <c r="A121" s="47" t="s">
        <v>337</v>
      </c>
      <c r="B121" s="54"/>
      <c r="C121" s="94"/>
      <c r="D121" s="94">
        <f>Data!C$191</f>
        <v>1.7000000000000001E-2</v>
      </c>
      <c r="E121" s="94">
        <f>Data!D$191</f>
        <v>3.7999999999999999E-2</v>
      </c>
      <c r="F121" s="142">
        <f>Data!E$191</f>
        <v>3.5000000000000003E-2</v>
      </c>
      <c r="G121" s="142">
        <f>Data!F$191</f>
        <v>0.04</v>
      </c>
      <c r="H121" s="142">
        <f>Data!G$191</f>
        <v>4.3999999999999997E-2</v>
      </c>
      <c r="I121" s="142">
        <f>Data!H$191</f>
        <v>0.05</v>
      </c>
      <c r="J121" s="142">
        <f>Data!I$191</f>
        <v>5.8000000000000003E-2</v>
      </c>
      <c r="K121" s="99">
        <f>J$121*K$113/J$113</f>
        <v>5.9670345134904129E-2</v>
      </c>
      <c r="L121" s="99">
        <f t="shared" ref="L121:T121" si="56">K$121*L$113/K$113</f>
        <v>6.7456843562040916E-2</v>
      </c>
      <c r="M121" s="99">
        <f t="shared" si="56"/>
        <v>7.5711950438673389E-2</v>
      </c>
      <c r="N121" s="99">
        <f t="shared" si="56"/>
        <v>8.4461947521746017E-2</v>
      </c>
      <c r="O121" s="99">
        <f t="shared" si="56"/>
        <v>9.3708170489590112E-2</v>
      </c>
      <c r="P121" s="99">
        <f t="shared" si="56"/>
        <v>0.10344560915668137</v>
      </c>
      <c r="Q121" s="99">
        <f t="shared" si="56"/>
        <v>0.11366983692115711</v>
      </c>
      <c r="R121" s="99">
        <f t="shared" si="56"/>
        <v>0.12431961884935559</v>
      </c>
      <c r="S121" s="99">
        <f t="shared" si="56"/>
        <v>0.13531909660782582</v>
      </c>
      <c r="T121" s="99">
        <f t="shared" si="56"/>
        <v>0.14664621956640206</v>
      </c>
    </row>
    <row r="122" spans="1:20" x14ac:dyDescent="0.2">
      <c r="A122" s="47" t="s">
        <v>694</v>
      </c>
      <c r="B122" s="54"/>
      <c r="C122" s="94"/>
      <c r="D122" s="94">
        <f>Data!C$190</f>
        <v>0.11899999999999999</v>
      </c>
      <c r="E122" s="94">
        <f>Data!D$190</f>
        <v>9.7000000000000003E-2</v>
      </c>
      <c r="F122" s="142">
        <f>Data!E$190</f>
        <v>0.13800000000000001</v>
      </c>
      <c r="G122" s="142">
        <f>Data!F$190</f>
        <v>0.151</v>
      </c>
      <c r="H122" s="142">
        <f>Data!G$190</f>
        <v>0.17299999999999999</v>
      </c>
      <c r="I122" s="142">
        <f>Data!H$190</f>
        <v>0.19800000000000001</v>
      </c>
      <c r="J122" s="142">
        <f>Data!I$190</f>
        <v>0.22</v>
      </c>
      <c r="K122" s="99">
        <f>J$122</f>
        <v>0.22</v>
      </c>
      <c r="L122" s="99">
        <f t="shared" ref="L122:T122" si="57">K$122</f>
        <v>0.22</v>
      </c>
      <c r="M122" s="99">
        <f t="shared" si="57"/>
        <v>0.22</v>
      </c>
      <c r="N122" s="99">
        <f t="shared" si="57"/>
        <v>0.22</v>
      </c>
      <c r="O122" s="99">
        <f t="shared" si="57"/>
        <v>0.22</v>
      </c>
      <c r="P122" s="99">
        <f t="shared" si="57"/>
        <v>0.22</v>
      </c>
      <c r="Q122" s="99">
        <f t="shared" si="57"/>
        <v>0.22</v>
      </c>
      <c r="R122" s="99">
        <f t="shared" si="57"/>
        <v>0.22</v>
      </c>
      <c r="S122" s="99">
        <f t="shared" si="57"/>
        <v>0.22</v>
      </c>
      <c r="T122" s="99">
        <f t="shared" si="57"/>
        <v>0.22</v>
      </c>
    </row>
    <row r="123" spans="1:20" x14ac:dyDescent="0.2">
      <c r="A123" s="42"/>
      <c r="B123" s="60"/>
      <c r="C123" s="94"/>
      <c r="D123" s="283"/>
      <c r="E123" s="283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</row>
    <row r="124" spans="1:20" x14ac:dyDescent="0.2">
      <c r="A124" s="147" t="s">
        <v>412</v>
      </c>
      <c r="C124" s="94"/>
      <c r="D124" s="94"/>
      <c r="E124" s="9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</row>
    <row r="125" spans="1:20" x14ac:dyDescent="0.2">
      <c r="A125" s="47" t="s">
        <v>423</v>
      </c>
      <c r="B125" s="54"/>
      <c r="C125" s="94"/>
      <c r="D125" s="94">
        <f>Data!C$80</f>
        <v>17.417999999999999</v>
      </c>
      <c r="E125" s="94">
        <f>Data!D$80</f>
        <v>20.484000000000002</v>
      </c>
      <c r="F125" s="142">
        <f>Data!E$80</f>
        <v>22.399000000000001</v>
      </c>
      <c r="G125" s="142">
        <f>Data!F$80</f>
        <v>23.842000000000002</v>
      </c>
      <c r="H125" s="142">
        <f>Data!G$80</f>
        <v>25.319000000000003</v>
      </c>
      <c r="I125" s="142">
        <f>Data!H$80</f>
        <v>26.87</v>
      </c>
      <c r="J125" s="142">
        <f>Data!I$80</f>
        <v>28.490000000000002</v>
      </c>
      <c r="K125" s="99">
        <f t="shared" ref="K125:T125" si="58">J$125*IF(K$1="Proj Yr1",AVERAGE(H$125/G$125,I$125/H$125,J$125/I$125),J$125/I$125)</f>
        <v>30.232620583894441</v>
      </c>
      <c r="L125" s="99">
        <f t="shared" si="58"/>
        <v>32.081830374507469</v>
      </c>
      <c r="M125" s="99">
        <f t="shared" si="58"/>
        <v>34.044149011910996</v>
      </c>
      <c r="N125" s="99">
        <f t="shared" si="58"/>
        <v>36.126494916766227</v>
      </c>
      <c r="O125" s="99">
        <f t="shared" si="58"/>
        <v>38.336209682154596</v>
      </c>
      <c r="P125" s="99">
        <f t="shared" si="58"/>
        <v>40.681083957360485</v>
      </c>
      <c r="Q125" s="99">
        <f t="shared" si="58"/>
        <v>43.169384914862562</v>
      </c>
      <c r="R125" s="99">
        <f t="shared" si="58"/>
        <v>45.80988539737227</v>
      </c>
      <c r="S125" s="99">
        <f t="shared" si="58"/>
        <v>48.611894847681363</v>
      </c>
      <c r="T125" s="99">
        <f t="shared" si="58"/>
        <v>51.585292130365865</v>
      </c>
    </row>
    <row r="126" spans="1:20" x14ac:dyDescent="0.2">
      <c r="A126" s="47" t="s">
        <v>349</v>
      </c>
      <c r="B126" s="54"/>
      <c r="C126" s="94"/>
      <c r="D126" s="94">
        <f>Data!C$157</f>
        <v>11.263999999999999</v>
      </c>
      <c r="E126" s="94">
        <f>Data!D$157</f>
        <v>12.496</v>
      </c>
      <c r="F126" s="142">
        <f>Data!E$157</f>
        <v>12.757</v>
      </c>
      <c r="G126" s="142">
        <f>Data!F$157</f>
        <v>13.98</v>
      </c>
      <c r="H126" s="142">
        <f>Data!G$157</f>
        <v>15.171999999999999</v>
      </c>
      <c r="I126" s="142">
        <f>Data!H$157</f>
        <v>16.177</v>
      </c>
      <c r="J126" s="142">
        <f>Data!I$157</f>
        <v>16.992000000000001</v>
      </c>
      <c r="K126" s="99">
        <f t="shared" ref="K126:T126" si="59">K$125*IF(K$1="Proj Yr1",AVERAGE(H$126/H$125,I$126/I$125,J$126/J$125),J$126/J$125)</f>
        <v>18.11639870271582</v>
      </c>
      <c r="L126" s="99">
        <f t="shared" si="59"/>
        <v>19.224507136741479</v>
      </c>
      <c r="M126" s="99">
        <f t="shared" si="59"/>
        <v>20.400394179623586</v>
      </c>
      <c r="N126" s="99">
        <f t="shared" si="59"/>
        <v>21.648205580710716</v>
      </c>
      <c r="O126" s="99">
        <f t="shared" si="59"/>
        <v>22.972340668437109</v>
      </c>
      <c r="P126" s="99">
        <f t="shared" si="59"/>
        <v>24.377467860752088</v>
      </c>
      <c r="Q126" s="99">
        <f t="shared" si="59"/>
        <v>25.8685411242611</v>
      </c>
      <c r="R126" s="99">
        <f t="shared" si="59"/>
        <v>27.450817440107262</v>
      </c>
      <c r="S126" s="99">
        <f t="shared" si="59"/>
        <v>29.129875338171821</v>
      </c>
      <c r="T126" s="99">
        <f t="shared" si="59"/>
        <v>30.911634564938304</v>
      </c>
    </row>
    <row r="127" spans="1:20" x14ac:dyDescent="0.2">
      <c r="A127" s="47" t="s">
        <v>351</v>
      </c>
      <c r="B127" s="54"/>
      <c r="C127" s="94"/>
      <c r="D127" s="94">
        <f>Data!C$151</f>
        <v>9.0109999999999992</v>
      </c>
      <c r="E127" s="94">
        <f>Data!D$151</f>
        <v>10.016999999999999</v>
      </c>
      <c r="F127" s="142">
        <f>Data!E$151</f>
        <v>9.6189999999999998</v>
      </c>
      <c r="G127" s="142">
        <f>Data!F$151</f>
        <v>10.889000000000001</v>
      </c>
      <c r="H127" s="142">
        <f>Data!G$151</f>
        <v>12.190999999999999</v>
      </c>
      <c r="I127" s="142">
        <f>Data!H$151</f>
        <v>13.502000000000001</v>
      </c>
      <c r="J127" s="142">
        <f>Data!I$151</f>
        <v>14.773999999999999</v>
      </c>
      <c r="K127" s="99">
        <f t="shared" ref="K127:T127" si="60">K$126*IF(K$1="Proj Yr1",AVERAGE(H$127/H$126,I$127/I$126,J$127/J$126),J$127/J$126)</f>
        <v>15.143071346851748</v>
      </c>
      <c r="L127" s="99">
        <f t="shared" si="60"/>
        <v>16.069313110010956</v>
      </c>
      <c r="M127" s="99">
        <f t="shared" si="60"/>
        <v>17.052209417295963</v>
      </c>
      <c r="N127" s="99">
        <f t="shared" si="60"/>
        <v>18.095225603026343</v>
      </c>
      <c r="O127" s="99">
        <f t="shared" si="60"/>
        <v>19.202038962311967</v>
      </c>
      <c r="P127" s="99">
        <f t="shared" si="60"/>
        <v>20.376551715855939</v>
      </c>
      <c r="Q127" s="99">
        <f t="shared" si="60"/>
        <v>21.622904767763281</v>
      </c>
      <c r="R127" s="99">
        <f t="shared" si="60"/>
        <v>22.945492304860277</v>
      </c>
      <c r="S127" s="99">
        <f t="shared" si="60"/>
        <v>24.348977288996497</v>
      </c>
      <c r="T127" s="99">
        <f t="shared" si="60"/>
        <v>25.838307896949583</v>
      </c>
    </row>
    <row r="128" spans="1:20" x14ac:dyDescent="0.2">
      <c r="A128" s="47" t="s">
        <v>643</v>
      </c>
      <c r="B128" s="54"/>
      <c r="C128" s="94"/>
      <c r="D128" s="94">
        <f>Data!C$192</f>
        <v>0.377</v>
      </c>
      <c r="E128" s="94">
        <f>Data!D$192</f>
        <v>0.52900000000000003</v>
      </c>
      <c r="F128" s="142">
        <f>Data!E$192</f>
        <v>0.56699999999999995</v>
      </c>
      <c r="G128" s="142">
        <f>Data!F$192</f>
        <v>0.61</v>
      </c>
      <c r="H128" s="142">
        <f>Data!G$192</f>
        <v>0.65200000000000002</v>
      </c>
      <c r="I128" s="142">
        <f>Data!H$192</f>
        <v>0.68400000000000005</v>
      </c>
      <c r="J128" s="142">
        <f>Data!I$192</f>
        <v>0.70299999999999996</v>
      </c>
      <c r="K128" s="99">
        <f>J$128*K$127/J$127</f>
        <v>0.72056174068206158</v>
      </c>
      <c r="L128" s="99">
        <f t="shared" ref="L128:T128" si="61">K$128*L$127/K$127</f>
        <v>0.76463565157287805</v>
      </c>
      <c r="M128" s="99">
        <f t="shared" si="61"/>
        <v>0.81140538922154193</v>
      </c>
      <c r="N128" s="99">
        <f t="shared" si="61"/>
        <v>0.86103584668522515</v>
      </c>
      <c r="O128" s="99">
        <f t="shared" si="61"/>
        <v>0.91370200287703462</v>
      </c>
      <c r="P128" s="99">
        <f t="shared" si="61"/>
        <v>0.96958953947791526</v>
      </c>
      <c r="Q128" s="99">
        <f t="shared" si="61"/>
        <v>1.0288954955826168</v>
      </c>
      <c r="R128" s="99">
        <f t="shared" si="61"/>
        <v>1.0918289623877602</v>
      </c>
      <c r="S128" s="99">
        <f t="shared" si="61"/>
        <v>1.1586118203712286</v>
      </c>
      <c r="T128" s="99">
        <f t="shared" si="61"/>
        <v>1.2294795215619025</v>
      </c>
    </row>
    <row r="129" spans="1:20" x14ac:dyDescent="0.2">
      <c r="A129" s="47" t="s">
        <v>856</v>
      </c>
      <c r="B129" s="54"/>
      <c r="C129" s="94"/>
      <c r="D129" s="94">
        <f>Data!C$193</f>
        <v>2E-3</v>
      </c>
      <c r="E129" s="94">
        <f>Data!D$193</f>
        <v>0.113</v>
      </c>
      <c r="F129" s="142">
        <f>Data!E$193</f>
        <v>0.121</v>
      </c>
      <c r="G129" s="142">
        <f>Data!F$193</f>
        <v>0.13</v>
      </c>
      <c r="H129" s="142">
        <f>Data!G$193</f>
        <v>0.13900000000000001</v>
      </c>
      <c r="I129" s="142">
        <f>Data!H$193</f>
        <v>0.14499999999999999</v>
      </c>
      <c r="J129" s="142">
        <f>Data!I$193</f>
        <v>0.14899999999999999</v>
      </c>
      <c r="K129" s="99">
        <f>J$129*K$128/J$128</f>
        <v>0.15272218970359483</v>
      </c>
      <c r="L129" s="99">
        <f t="shared" ref="L129:T129" si="62">K$129*L$128/K$128</f>
        <v>0.16206360182696844</v>
      </c>
      <c r="M129" s="99">
        <f t="shared" si="62"/>
        <v>0.17197639117213334</v>
      </c>
      <c r="N129" s="99">
        <f t="shared" si="62"/>
        <v>0.18249550662318428</v>
      </c>
      <c r="O129" s="99">
        <f t="shared" si="62"/>
        <v>0.19365803474918658</v>
      </c>
      <c r="P129" s="99">
        <f t="shared" si="62"/>
        <v>0.20550333055790806</v>
      </c>
      <c r="Q129" s="99">
        <f t="shared" si="62"/>
        <v>0.21807315624724027</v>
      </c>
      <c r="R129" s="99">
        <f t="shared" si="62"/>
        <v>0.23141182844349401</v>
      </c>
      <c r="S129" s="99">
        <f t="shared" si="62"/>
        <v>0.24556637444568002</v>
      </c>
      <c r="T129" s="99">
        <f t="shared" si="62"/>
        <v>0.26058669802663365</v>
      </c>
    </row>
    <row r="130" spans="1:20" x14ac:dyDescent="0.2">
      <c r="A130" s="47" t="s">
        <v>536</v>
      </c>
      <c r="B130" s="54"/>
      <c r="C130" s="94"/>
      <c r="D130" s="94">
        <f>Data!C$194-(D$125-C$125)-D$131</f>
        <v>-16.329000000000001</v>
      </c>
      <c r="E130" s="94">
        <f>Data!D$194-(E$125-D$125)-E$131</f>
        <v>-1.5930000000000026</v>
      </c>
      <c r="F130" s="142">
        <f>Data!E$194-(F$125-E$125)-F$131</f>
        <v>-0.89699999999999847</v>
      </c>
      <c r="G130" s="142">
        <f>Data!F$194-(G$125-F$125)-G$131</f>
        <v>-0.35800000000000054</v>
      </c>
      <c r="H130" s="142">
        <f>Data!G$194-(H$125-G$125)-H$131</f>
        <v>-0.32600000000000051</v>
      </c>
      <c r="I130" s="142">
        <f>Data!H$194-(I$125-H$125)-I$131</f>
        <v>-0.33099999999999863</v>
      </c>
      <c r="J130" s="142">
        <f>Data!I$194-(J$125-I$125)-J$131</f>
        <v>-0.34200000000000053</v>
      </c>
      <c r="K130" s="99" t="e">
        <f t="shared" ref="K130:T130" ca="1" si="63">SUM(J$130,J$125-I$125,J$131)*(1+K$212) - SUM(K$125-J$125,K$131)</f>
        <v>#REF!</v>
      </c>
      <c r="L130" s="99" t="e">
        <f t="shared" ca="1" si="63"/>
        <v>#REF!</v>
      </c>
      <c r="M130" s="99" t="e">
        <f t="shared" ca="1" si="63"/>
        <v>#REF!</v>
      </c>
      <c r="N130" s="99" t="e">
        <f t="shared" ca="1" si="63"/>
        <v>#REF!</v>
      </c>
      <c r="O130" s="99" t="e">
        <f t="shared" ca="1" si="63"/>
        <v>#REF!</v>
      </c>
      <c r="P130" s="99" t="e">
        <f t="shared" ca="1" si="63"/>
        <v>#REF!</v>
      </c>
      <c r="Q130" s="99" t="e">
        <f t="shared" ca="1" si="63"/>
        <v>#REF!</v>
      </c>
      <c r="R130" s="99" t="e">
        <f t="shared" ca="1" si="63"/>
        <v>#REF!</v>
      </c>
      <c r="S130" s="99" t="e">
        <f t="shared" ca="1" si="63"/>
        <v>#REF!</v>
      </c>
      <c r="T130" s="99" t="e">
        <f t="shared" ca="1" si="63"/>
        <v>#REF!</v>
      </c>
    </row>
    <row r="131" spans="1:20" x14ac:dyDescent="0.2">
      <c r="A131" s="47" t="s">
        <v>290</v>
      </c>
      <c r="B131" s="54"/>
      <c r="C131" s="94"/>
      <c r="D131" s="94">
        <f>Data!C$142</f>
        <v>3.1429999999999998</v>
      </c>
      <c r="E131" s="94">
        <f>Data!D$142</f>
        <v>3.423</v>
      </c>
      <c r="F131" s="142">
        <f>Data!E$142</f>
        <v>4.0199999999999996</v>
      </c>
      <c r="G131" s="142">
        <f>Data!F$142</f>
        <v>4.1529999999999996</v>
      </c>
      <c r="H131" s="142">
        <f>Data!G$142</f>
        <v>4.4359999999999999</v>
      </c>
      <c r="I131" s="142">
        <f>Data!H$142</f>
        <v>4.7510000000000003</v>
      </c>
      <c r="J131" s="142">
        <f>Data!I$142</f>
        <v>5.0739999999999998</v>
      </c>
      <c r="K131" s="99">
        <f ca="1">J$131*(1+K$215)*(1+K$228)*K$132/J$132</f>
        <v>5.2743134345448865</v>
      </c>
      <c r="L131" s="99">
        <f t="shared" ref="L131:T131" ca="1" si="64">K$131*(1+L$215)*(1+L$228)*L$132/K$132</f>
        <v>5.4820035492240713</v>
      </c>
      <c r="M131" s="99">
        <f t="shared" ca="1" si="64"/>
        <v>5.6944733472758067</v>
      </c>
      <c r="N131" s="99">
        <f t="shared" ca="1" si="64"/>
        <v>5.9142608460583252</v>
      </c>
      <c r="O131" s="99">
        <f t="shared" ca="1" si="64"/>
        <v>6.1391500760398108</v>
      </c>
      <c r="P131" s="99">
        <f t="shared" ca="1" si="64"/>
        <v>6.3750834948206574</v>
      </c>
      <c r="Q131" s="99">
        <f t="shared" ca="1" si="64"/>
        <v>6.6257437860663817</v>
      </c>
      <c r="R131" s="99">
        <f t="shared" ca="1" si="64"/>
        <v>6.8844290542372955</v>
      </c>
      <c r="S131" s="99">
        <f t="shared" ca="1" si="64"/>
        <v>7.1575049994484843</v>
      </c>
      <c r="T131" s="99">
        <f t="shared" ca="1" si="64"/>
        <v>7.453937263235284</v>
      </c>
    </row>
    <row r="132" spans="1:20" x14ac:dyDescent="0.2">
      <c r="A132" s="147" t="s">
        <v>413</v>
      </c>
      <c r="B132" s="54"/>
      <c r="C132" s="94"/>
      <c r="D132" s="94">
        <f>SUM(SUM(Popn!D$9:D$13)*Tracks!$C$34,SUM(Popn!D$103:D$107)*Tracks!$B$34,SUM(Popn!D$14:D$18)*Tracks!$C$35,SUM(Popn!D$108:D$112)*Tracks!$B$35,SUM(Popn!D$19:D$23)*Tracks!$C$36,SUM(Popn!D$113:D$117)*Tracks!$B$36,SUM(Popn!D$24:D$28)*Tracks!$C$37,SUM(Popn!D$118:D$122)*Tracks!$B$37,SUM(Popn!D$29:D$38)*Tracks!$C$38,SUM(Popn!D$123:D$132)*Tracks!$B$38,SUM(Popn!D$39:D$48)*Tracks!$C$39,SUM(Popn!D$133:D$142)*Tracks!$B$39,SUM(Popn!D$49:D$58)*Tracks!$C$40,SUM(Popn!D$143:D$152)*Tracks!$B$40,SUM(Popn!D$59:D$68)*Tracks!$C$41,SUM(Popn!D$153:D$162)*Tracks!$B$41,SUM(Popn!D$69:D$73)*Tracks!$C$42,SUM(Popn!D$163:D$167)*Tracks!$B$42,SUM(Popn!D$74:D$99)*Tracks!$C$43,SUM(Popn!D$168:D$193)*Tracks!$B$43)/1000000000</f>
        <v>5.5417097200000001</v>
      </c>
      <c r="E132" s="94">
        <f>SUM(SUM(Popn!E$9:E$13)*Tracks!$C$34,SUM(Popn!E$103:E$107)*Tracks!$B$34,SUM(Popn!E$14:E$18)*Tracks!$C$35,SUM(Popn!E$108:E$112)*Tracks!$B$35,SUM(Popn!E$19:E$23)*Tracks!$C$36,SUM(Popn!E$113:E$117)*Tracks!$B$36,SUM(Popn!E$24:E$28)*Tracks!$C$37,SUM(Popn!E$118:E$122)*Tracks!$B$37,SUM(Popn!E$29:E$38)*Tracks!$C$38,SUM(Popn!E$123:E$132)*Tracks!$B$38,SUM(Popn!E$39:E$48)*Tracks!$C$39,SUM(Popn!E$133:E$142)*Tracks!$B$39,SUM(Popn!E$49:E$58)*Tracks!$C$40,SUM(Popn!E$143:E$152)*Tracks!$B$40,SUM(Popn!E$59:E$68)*Tracks!$C$41,SUM(Popn!E$153:E$162)*Tracks!$B$41,SUM(Popn!E$69:E$73)*Tracks!$C$42,SUM(Popn!E$163:E$167)*Tracks!$B$42,SUM(Popn!E$74:E$99)*Tracks!$C$43,SUM(Popn!E$168:E$193)*Tracks!$B$43)/1000000000</f>
        <v>5.5955094399999998</v>
      </c>
      <c r="F132" s="142">
        <f>SUM(SUM(Popn!F$9:F$13)*Tracks!$C$34,SUM(Popn!F$103:F$107)*Tracks!$B$34,SUM(Popn!F$14:F$18)*Tracks!$C$35,SUM(Popn!F$108:F$112)*Tracks!$B$35,SUM(Popn!F$19:F$23)*Tracks!$C$36,SUM(Popn!F$113:F$117)*Tracks!$B$36,SUM(Popn!F$24:F$28)*Tracks!$C$37,SUM(Popn!F$118:F$122)*Tracks!$B$37,SUM(Popn!F$29:F$38)*Tracks!$C$38,SUM(Popn!F$123:F$132)*Tracks!$B$38,SUM(Popn!F$39:F$48)*Tracks!$C$39,SUM(Popn!F$133:F$142)*Tracks!$B$39,SUM(Popn!F$49:F$58)*Tracks!$C$40,SUM(Popn!F$143:F$152)*Tracks!$B$40,SUM(Popn!F$59:F$68)*Tracks!$C$41,SUM(Popn!F$153:F$162)*Tracks!$B$41,SUM(Popn!F$69:F$73)*Tracks!$C$42,SUM(Popn!F$163:F$167)*Tracks!$B$42,SUM(Popn!F$74:F$99)*Tracks!$C$43,SUM(Popn!F$168:F$193)*Tracks!$B$43)/1000000000</f>
        <v>5.6541482700000003</v>
      </c>
      <c r="G132" s="142">
        <f>SUM(SUM(Popn!G$9:G$13)*Tracks!$C$34,SUM(Popn!G$103:G$107)*Tracks!$B$34,SUM(Popn!G$14:G$18)*Tracks!$C$35,SUM(Popn!G$108:G$112)*Tracks!$B$35,SUM(Popn!G$19:G$23)*Tracks!$C$36,SUM(Popn!G$113:G$117)*Tracks!$B$36,SUM(Popn!G$24:G$28)*Tracks!$C$37,SUM(Popn!G$118:G$122)*Tracks!$B$37,SUM(Popn!G$29:G$38)*Tracks!$C$38,SUM(Popn!G$123:G$132)*Tracks!$B$38,SUM(Popn!G$39:G$48)*Tracks!$C$39,SUM(Popn!G$133:G$142)*Tracks!$B$39,SUM(Popn!G$49:G$58)*Tracks!$C$40,SUM(Popn!G$143:G$152)*Tracks!$B$40,SUM(Popn!G$59:G$68)*Tracks!$C$41,SUM(Popn!G$153:G$162)*Tracks!$B$41,SUM(Popn!G$69:G$73)*Tracks!$C$42,SUM(Popn!G$163:G$167)*Tracks!$B$42,SUM(Popn!G$74:G$99)*Tracks!$C$43,SUM(Popn!G$168:G$193)*Tracks!$B$43)/1000000000</f>
        <v>5.7047751900000003</v>
      </c>
      <c r="H132" s="142">
        <f>SUM(SUM(Popn!H$9:H$13)*Tracks!$C$34,SUM(Popn!H$103:H$107)*Tracks!$B$34,SUM(Popn!H$14:H$18)*Tracks!$C$35,SUM(Popn!H$108:H$112)*Tracks!$B$35,SUM(Popn!H$19:H$23)*Tracks!$C$36,SUM(Popn!H$113:H$117)*Tracks!$B$36,SUM(Popn!H$24:H$28)*Tracks!$C$37,SUM(Popn!H$118:H$122)*Tracks!$B$37,SUM(Popn!H$29:H$38)*Tracks!$C$38,SUM(Popn!H$123:H$132)*Tracks!$B$38,SUM(Popn!H$39:H$48)*Tracks!$C$39,SUM(Popn!H$133:H$142)*Tracks!$B$39,SUM(Popn!H$49:H$58)*Tracks!$C$40,SUM(Popn!H$143:H$152)*Tracks!$B$40,SUM(Popn!H$59:H$68)*Tracks!$C$41,SUM(Popn!H$153:H$162)*Tracks!$B$41,SUM(Popn!H$69:H$73)*Tracks!$C$42,SUM(Popn!H$163:H$167)*Tracks!$B$42,SUM(Popn!H$74:H$99)*Tracks!$C$43,SUM(Popn!H$168:H$193)*Tracks!$B$43)/1000000000</f>
        <v>5.7528075999999997</v>
      </c>
      <c r="I132" s="142">
        <f>SUM(SUM(Popn!I$9:I$13)*Tracks!$C$34,SUM(Popn!I$103:I$107)*Tracks!$B$34,SUM(Popn!I$14:I$18)*Tracks!$C$35,SUM(Popn!I$108:I$112)*Tracks!$B$35,SUM(Popn!I$19:I$23)*Tracks!$C$36,SUM(Popn!I$113:I$117)*Tracks!$B$36,SUM(Popn!I$24:I$28)*Tracks!$C$37,SUM(Popn!I$118:I$122)*Tracks!$B$37,SUM(Popn!I$29:I$38)*Tracks!$C$38,SUM(Popn!I$123:I$132)*Tracks!$B$38,SUM(Popn!I$39:I$48)*Tracks!$C$39,SUM(Popn!I$133:I$142)*Tracks!$B$39,SUM(Popn!I$49:I$58)*Tracks!$C$40,SUM(Popn!I$143:I$152)*Tracks!$B$40,SUM(Popn!I$59:I$68)*Tracks!$C$41,SUM(Popn!I$153:I$162)*Tracks!$B$41,SUM(Popn!I$69:I$73)*Tracks!$C$42,SUM(Popn!I$163:I$167)*Tracks!$B$42,SUM(Popn!I$74:I$99)*Tracks!$C$43,SUM(Popn!I$168:I$193)*Tracks!$B$43)/1000000000</f>
        <v>5.7868379699999997</v>
      </c>
      <c r="J132" s="142">
        <f>SUM(SUM(Popn!J$9:J$13)*Tracks!$C$34,SUM(Popn!J$103:J$107)*Tracks!$B$34,SUM(Popn!J$14:J$18)*Tracks!$C$35,SUM(Popn!J$108:J$112)*Tracks!$B$35,SUM(Popn!J$19:J$23)*Tracks!$C$36,SUM(Popn!J$113:J$117)*Tracks!$B$36,SUM(Popn!J$24:J$28)*Tracks!$C$37,SUM(Popn!J$118:J$122)*Tracks!$B$37,SUM(Popn!J$29:J$38)*Tracks!$C$38,SUM(Popn!J$123:J$132)*Tracks!$B$38,SUM(Popn!J$39:J$48)*Tracks!$C$39,SUM(Popn!J$133:J$142)*Tracks!$B$39,SUM(Popn!J$49:J$58)*Tracks!$C$40,SUM(Popn!J$143:J$152)*Tracks!$B$40,SUM(Popn!J$59:J$68)*Tracks!$C$41,SUM(Popn!J$153:J$162)*Tracks!$B$41,SUM(Popn!J$69:J$73)*Tracks!$C$42,SUM(Popn!J$163:J$167)*Tracks!$B$42,SUM(Popn!J$74:J$99)*Tracks!$C$43,SUM(Popn!J$168:J$193)*Tracks!$B$43)/1000000000</f>
        <v>5.8135607299999998</v>
      </c>
      <c r="K132" s="99">
        <f>SUM(SUM(Popn!K$9:K$13)*Tracks!$C$34,SUM(Popn!K$103:K$107)*Tracks!$B$34,SUM(Popn!K$14:K$18)*Tracks!$C$35,SUM(Popn!K$108:K$112)*Tracks!$B$35,SUM(Popn!K$19:K$23)*Tracks!$C$36,SUM(Popn!K$113:K$117)*Tracks!$B$36,SUM(Popn!K$24:K$28)*Tracks!$C$37,SUM(Popn!K$118:K$122)*Tracks!$B$37,SUM(Popn!K$29:K$38)*Tracks!$C$38,SUM(Popn!K$123:K$132)*Tracks!$B$38,SUM(Popn!K$39:K$48)*Tracks!$C$39,SUM(Popn!K$133:K$142)*Tracks!$B$39,SUM(Popn!K$49:K$58)*Tracks!$C$40,SUM(Popn!K$143:K$152)*Tracks!$B$40,SUM(Popn!K$59:K$68)*Tracks!$C$41,SUM(Popn!K$153:K$162)*Tracks!$B$41,SUM(Popn!K$69:K$73)*Tracks!$C$42,SUM(Popn!K$163:K$167)*Tracks!$B$42,SUM(Popn!K$74:K$99)*Tracks!$C$43,SUM(Popn!K$168:K$193)*Tracks!$B$43)/1000000000</f>
        <v>5.8370239000000002</v>
      </c>
      <c r="L132" s="99">
        <f>SUM(SUM(Popn!L$9:L$13)*Tracks!$C$34,SUM(Popn!L$103:L$107)*Tracks!$B$34,SUM(Popn!L$14:L$18)*Tracks!$C$35,SUM(Popn!L$108:L$112)*Tracks!$B$35,SUM(Popn!L$19:L$23)*Tracks!$C$36,SUM(Popn!L$113:L$117)*Tracks!$B$36,SUM(Popn!L$24:L$28)*Tracks!$C$37,SUM(Popn!L$118:L$122)*Tracks!$B$37,SUM(Popn!L$29:L$38)*Tracks!$C$38,SUM(Popn!L$123:L$132)*Tracks!$B$38,SUM(Popn!L$39:L$48)*Tracks!$C$39,SUM(Popn!L$133:L$142)*Tracks!$B$39,SUM(Popn!L$49:L$58)*Tracks!$C$40,SUM(Popn!L$143:L$152)*Tracks!$B$40,SUM(Popn!L$59:L$68)*Tracks!$C$41,SUM(Popn!L$153:L$162)*Tracks!$B$41,SUM(Popn!L$69:L$73)*Tracks!$C$42,SUM(Popn!L$163:L$167)*Tracks!$B$42,SUM(Popn!L$74:L$99)*Tracks!$C$43,SUM(Popn!L$168:L$193)*Tracks!$B$43)/1000000000</f>
        <v>5.8600137500000002</v>
      </c>
      <c r="M132" s="99">
        <f>SUM(SUM(Popn!M$9:M$13)*Tracks!$C$34,SUM(Popn!M$103:M$107)*Tracks!$B$34,SUM(Popn!M$14:M$18)*Tracks!$C$35,SUM(Popn!M$108:M$112)*Tracks!$B$35,SUM(Popn!M$19:M$23)*Tracks!$C$36,SUM(Popn!M$113:M$117)*Tracks!$B$36,SUM(Popn!M$24:M$28)*Tracks!$C$37,SUM(Popn!M$118:M$122)*Tracks!$B$37,SUM(Popn!M$29:M$38)*Tracks!$C$38,SUM(Popn!M$123:M$132)*Tracks!$B$38,SUM(Popn!M$39:M$48)*Tracks!$C$39,SUM(Popn!M$133:M$142)*Tracks!$B$39,SUM(Popn!M$49:M$58)*Tracks!$C$40,SUM(Popn!M$143:M$152)*Tracks!$B$40,SUM(Popn!M$59:M$68)*Tracks!$C$41,SUM(Popn!M$153:M$162)*Tracks!$B$41,SUM(Popn!M$69:M$73)*Tracks!$C$42,SUM(Popn!M$163:M$167)*Tracks!$B$42,SUM(Popn!M$74:M$99)*Tracks!$C$43,SUM(Popn!M$168:M$193)*Tracks!$B$43)/1000000000</f>
        <v>5.8795849999999996</v>
      </c>
      <c r="N132" s="99">
        <f>SUM(SUM(Popn!N$9:N$13)*Tracks!$C$34,SUM(Popn!N$103:N$107)*Tracks!$B$34,SUM(Popn!N$14:N$18)*Tracks!$C$35,SUM(Popn!N$108:N$112)*Tracks!$B$35,SUM(Popn!N$19:N$23)*Tracks!$C$36,SUM(Popn!N$113:N$117)*Tracks!$B$36,SUM(Popn!N$24:N$28)*Tracks!$C$37,SUM(Popn!N$118:N$122)*Tracks!$B$37,SUM(Popn!N$29:N$38)*Tracks!$C$38,SUM(Popn!N$123:N$132)*Tracks!$B$38,SUM(Popn!N$39:N$48)*Tracks!$C$39,SUM(Popn!N$133:N$142)*Tracks!$B$39,SUM(Popn!N$49:N$58)*Tracks!$C$40,SUM(Popn!N$143:N$152)*Tracks!$B$40,SUM(Popn!N$59:N$68)*Tracks!$C$41,SUM(Popn!N$153:N$162)*Tracks!$B$41,SUM(Popn!N$69:N$73)*Tracks!$C$42,SUM(Popn!N$163:N$167)*Tracks!$B$42,SUM(Popn!N$74:N$99)*Tracks!$C$43,SUM(Popn!N$168:N$193)*Tracks!$B$43)/1000000000</f>
        <v>5.8983069500000003</v>
      </c>
      <c r="O132" s="99">
        <f>SUM(SUM(Popn!O$9:O$13)*Tracks!$C$34,SUM(Popn!O$103:O$107)*Tracks!$B$34,SUM(Popn!O$14:O$18)*Tracks!$C$35,SUM(Popn!O$108:O$112)*Tracks!$B$35,SUM(Popn!O$19:O$23)*Tracks!$C$36,SUM(Popn!O$113:O$117)*Tracks!$B$36,SUM(Popn!O$24:O$28)*Tracks!$C$37,SUM(Popn!O$118:O$122)*Tracks!$B$37,SUM(Popn!O$29:O$38)*Tracks!$C$38,SUM(Popn!O$123:O$132)*Tracks!$B$38,SUM(Popn!O$39:O$48)*Tracks!$C$39,SUM(Popn!O$133:O$142)*Tracks!$B$39,SUM(Popn!O$49:O$58)*Tracks!$C$40,SUM(Popn!O$143:O$152)*Tracks!$B$40,SUM(Popn!O$59:O$68)*Tracks!$C$41,SUM(Popn!O$153:O$162)*Tracks!$B$41,SUM(Popn!O$69:O$73)*Tracks!$C$42,SUM(Popn!O$163:O$167)*Tracks!$B$42,SUM(Popn!O$74:O$99)*Tracks!$C$43,SUM(Popn!O$168:O$193)*Tracks!$B$43)/1000000000</f>
        <v>5.9138312900000001</v>
      </c>
      <c r="P132" s="99">
        <f>SUM(SUM(Popn!P$9:P$13)*Tracks!$C$34,SUM(Popn!P$103:P$107)*Tracks!$B$34,SUM(Popn!P$14:P$18)*Tracks!$C$35,SUM(Popn!P$108:P$112)*Tracks!$B$35,SUM(Popn!P$19:P$23)*Tracks!$C$36,SUM(Popn!P$113:P$117)*Tracks!$B$36,SUM(Popn!P$24:P$28)*Tracks!$C$37,SUM(Popn!P$118:P$122)*Tracks!$B$37,SUM(Popn!P$29:P$38)*Tracks!$C$38,SUM(Popn!P$123:P$132)*Tracks!$B$38,SUM(Popn!P$39:P$48)*Tracks!$C$39,SUM(Popn!P$133:P$142)*Tracks!$B$39,SUM(Popn!P$49:P$58)*Tracks!$C$40,SUM(Popn!P$143:P$152)*Tracks!$B$40,SUM(Popn!P$59:P$68)*Tracks!$C$41,SUM(Popn!P$153:P$162)*Tracks!$B$41,SUM(Popn!P$69:P$73)*Tracks!$C$42,SUM(Popn!P$163:P$167)*Tracks!$B$42,SUM(Popn!P$74:P$99)*Tracks!$C$43,SUM(Popn!P$168:P$193)*Tracks!$B$43)/1000000000</f>
        <v>5.9317159200000003</v>
      </c>
      <c r="Q132" s="99">
        <f>SUM(SUM(Popn!Q$9:Q$13)*Tracks!$C$34,SUM(Popn!Q$103:Q$107)*Tracks!$B$34,SUM(Popn!Q$14:Q$18)*Tracks!$C$35,SUM(Popn!Q$108:Q$112)*Tracks!$B$35,SUM(Popn!Q$19:Q$23)*Tracks!$C$36,SUM(Popn!Q$113:Q$117)*Tracks!$B$36,SUM(Popn!Q$24:Q$28)*Tracks!$C$37,SUM(Popn!Q$118:Q$122)*Tracks!$B$37,SUM(Popn!Q$29:Q$38)*Tracks!$C$38,SUM(Popn!Q$123:Q$132)*Tracks!$B$38,SUM(Popn!Q$39:Q$48)*Tracks!$C$39,SUM(Popn!Q$133:Q$142)*Tracks!$B$39,SUM(Popn!Q$49:Q$58)*Tracks!$C$40,SUM(Popn!Q$143:Q$152)*Tracks!$B$40,SUM(Popn!Q$59:Q$68)*Tracks!$C$41,SUM(Popn!Q$153:Q$162)*Tracks!$B$41,SUM(Popn!Q$69:Q$73)*Tracks!$C$42,SUM(Popn!Q$163:Q$167)*Tracks!$B$42,SUM(Popn!Q$74:Q$99)*Tracks!$C$43,SUM(Popn!Q$168:Q$193)*Tracks!$B$43)/1000000000</f>
        <v>5.95474119</v>
      </c>
      <c r="R132" s="99">
        <f>SUM(SUM(Popn!R$9:R$13)*Tracks!$C$34,SUM(Popn!R$103:R$107)*Tracks!$B$34,SUM(Popn!R$14:R$18)*Tracks!$C$35,SUM(Popn!R$108:R$112)*Tracks!$B$35,SUM(Popn!R$19:R$23)*Tracks!$C$36,SUM(Popn!R$113:R$117)*Tracks!$B$36,SUM(Popn!R$24:R$28)*Tracks!$C$37,SUM(Popn!R$118:R$122)*Tracks!$B$37,SUM(Popn!R$29:R$38)*Tracks!$C$38,SUM(Popn!R$123:R$132)*Tracks!$B$38,SUM(Popn!R$39:R$48)*Tracks!$C$39,SUM(Popn!R$133:R$142)*Tracks!$B$39,SUM(Popn!R$49:R$58)*Tracks!$C$40,SUM(Popn!R$143:R$152)*Tracks!$B$40,SUM(Popn!R$59:R$68)*Tracks!$C$41,SUM(Popn!R$153:R$162)*Tracks!$B$41,SUM(Popn!R$69:R$73)*Tracks!$C$42,SUM(Popn!R$163:R$167)*Tracks!$B$42,SUM(Popn!R$74:R$99)*Tracks!$C$43,SUM(Popn!R$168:R$193)*Tracks!$B$43)/1000000000</f>
        <v>5.9762666600000003</v>
      </c>
      <c r="S132" s="99">
        <f>SUM(SUM(Popn!S$9:S$13)*Tracks!$C$34,SUM(Popn!S$103:S$107)*Tracks!$B$34,SUM(Popn!S$14:S$18)*Tracks!$C$35,SUM(Popn!S$108:S$112)*Tracks!$B$35,SUM(Popn!S$19:S$23)*Tracks!$C$36,SUM(Popn!S$113:S$117)*Tracks!$B$36,SUM(Popn!S$24:S$28)*Tracks!$C$37,SUM(Popn!S$118:S$122)*Tracks!$B$37,SUM(Popn!S$29:S$38)*Tracks!$C$38,SUM(Popn!S$123:S$132)*Tracks!$B$38,SUM(Popn!S$39:S$48)*Tracks!$C$39,SUM(Popn!S$133:S$142)*Tracks!$B$39,SUM(Popn!S$49:S$58)*Tracks!$C$40,SUM(Popn!S$143:S$152)*Tracks!$B$40,SUM(Popn!S$59:S$68)*Tracks!$C$41,SUM(Popn!S$153:S$162)*Tracks!$B$41,SUM(Popn!S$69:S$73)*Tracks!$C$42,SUM(Popn!S$163:S$167)*Tracks!$B$42,SUM(Popn!S$74:S$99)*Tracks!$C$43,SUM(Popn!S$168:S$193)*Tracks!$B$43)/1000000000</f>
        <v>6.00146786</v>
      </c>
      <c r="T132" s="99">
        <f>SUM(SUM(Popn!T$9:T$13)*Tracks!$C$34,SUM(Popn!T$103:T$107)*Tracks!$B$34,SUM(Popn!T$14:T$18)*Tracks!$C$35,SUM(Popn!T$108:T$112)*Tracks!$B$35,SUM(Popn!T$19:T$23)*Tracks!$C$36,SUM(Popn!T$113:T$117)*Tracks!$B$36,SUM(Popn!T$24:T$28)*Tracks!$C$37,SUM(Popn!T$118:T$122)*Tracks!$B$37,SUM(Popn!T$29:T$38)*Tracks!$C$38,SUM(Popn!T$123:T$132)*Tracks!$B$38,SUM(Popn!T$39:T$48)*Tracks!$C$39,SUM(Popn!T$133:T$142)*Tracks!$B$39,SUM(Popn!T$49:T$58)*Tracks!$C$40,SUM(Popn!T$143:T$152)*Tracks!$B$40,SUM(Popn!T$59:T$68)*Tracks!$C$41,SUM(Popn!T$153:T$162)*Tracks!$B$41,SUM(Popn!T$69:T$73)*Tracks!$C$42,SUM(Popn!T$163:T$167)*Tracks!$B$42,SUM(Popn!T$74:T$99)*Tracks!$C$43,SUM(Popn!T$168:T$193)*Tracks!$B$43)/1000000000</f>
        <v>6.0369189299999997</v>
      </c>
    </row>
    <row r="133" spans="1:20" x14ac:dyDescent="0.2">
      <c r="A133" s="47"/>
      <c r="B133" s="103"/>
      <c r="C133" s="94"/>
      <c r="D133" s="117"/>
      <c r="E133" s="117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</row>
    <row r="134" spans="1:20" x14ac:dyDescent="0.2">
      <c r="A134" s="147" t="s">
        <v>414</v>
      </c>
      <c r="B134" s="103"/>
      <c r="C134" s="94"/>
      <c r="D134" s="94"/>
      <c r="E134" s="9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</row>
    <row r="135" spans="1:20" x14ac:dyDescent="0.2">
      <c r="A135" s="47" t="s">
        <v>340</v>
      </c>
      <c r="C135" s="94"/>
      <c r="D135" s="94">
        <f>Data!C$158</f>
        <v>5.484</v>
      </c>
      <c r="E135" s="94">
        <f>Data!D$158</f>
        <v>5.6150000000000002</v>
      </c>
      <c r="F135" s="142">
        <f>Data!E$158</f>
        <v>5.7489999999999997</v>
      </c>
      <c r="G135" s="142">
        <f>Data!F$158</f>
        <v>6.1589999999999998</v>
      </c>
      <c r="H135" s="142">
        <f>Data!G$158</f>
        <v>6.5970000000000004</v>
      </c>
      <c r="I135" s="142">
        <f>Data!H$158</f>
        <v>7.0650000000000004</v>
      </c>
      <c r="J135" s="142">
        <f>Data!I$158</f>
        <v>7.5670000000000002</v>
      </c>
      <c r="K135" s="99">
        <f t="shared" ref="K135:T135" si="65">J$135*IF(K$1="Proj Yr1",AVERAGE(H$135/G$135,I$135/H$135,J$135/I$135),J$135/I$135)</f>
        <v>8.1045376645048606</v>
      </c>
      <c r="L135" s="99">
        <f t="shared" si="65"/>
        <v>8.6802604407794224</v>
      </c>
      <c r="M135" s="99">
        <f t="shared" si="65"/>
        <v>9.2968808880677134</v>
      </c>
      <c r="N135" s="99">
        <f t="shared" si="65"/>
        <v>9.9573042579305096</v>
      </c>
      <c r="O135" s="99">
        <f t="shared" si="65"/>
        <v>10.664642182546904</v>
      </c>
      <c r="P135" s="99">
        <f t="shared" si="65"/>
        <v>11.422227335392982</v>
      </c>
      <c r="Q135" s="99">
        <f t="shared" si="65"/>
        <v>12.23362913337246</v>
      </c>
      <c r="R135" s="99">
        <f t="shared" si="65"/>
        <v>13.102670554381003</v>
      </c>
      <c r="S135" s="99">
        <f t="shared" si="65"/>
        <v>14.033446149541378</v>
      </c>
      <c r="T135" s="99">
        <f t="shared" si="65"/>
        <v>15.030341334975393</v>
      </c>
    </row>
    <row r="136" spans="1:20" x14ac:dyDescent="0.2">
      <c r="A136" s="47" t="s">
        <v>341</v>
      </c>
      <c r="C136" s="94"/>
      <c r="D136" s="94">
        <f>Data!C$152</f>
        <v>5.4569999999999999</v>
      </c>
      <c r="E136" s="94">
        <f>Data!D$152</f>
        <v>5.5990000000000002</v>
      </c>
      <c r="F136" s="142">
        <f>Data!E$152</f>
        <v>5.3490000000000002</v>
      </c>
      <c r="G136" s="142">
        <f>Data!F$152</f>
        <v>5.7329999999999997</v>
      </c>
      <c r="H136" s="142">
        <f>Data!G$152</f>
        <v>6.1429999999999998</v>
      </c>
      <c r="I136" s="142">
        <f>Data!H$152</f>
        <v>6.5810000000000004</v>
      </c>
      <c r="J136" s="142">
        <f>Data!I$152</f>
        <v>7.0469999999999997</v>
      </c>
      <c r="K136" s="99">
        <f t="shared" ref="K136:T136" si="66">K$135*IF(K$1="Proj Yr1",AVERAGE(H$136/H$135,I$136/I$135,J$136/J$135),J$136/J$135)</f>
        <v>7.5479036370679866</v>
      </c>
      <c r="L136" s="99">
        <f t="shared" si="66"/>
        <v>8.0840847515092786</v>
      </c>
      <c r="M136" s="99">
        <f t="shared" si="66"/>
        <v>8.6583546123505162</v>
      </c>
      <c r="N136" s="99">
        <f t="shared" si="66"/>
        <v>9.2734189333202242</v>
      </c>
      <c r="O136" s="99">
        <f t="shared" si="66"/>
        <v>9.932175634178174</v>
      </c>
      <c r="P136" s="99">
        <f t="shared" si="66"/>
        <v>10.637728494472638</v>
      </c>
      <c r="Q136" s="99">
        <f t="shared" si="66"/>
        <v>11.393401777220838</v>
      </c>
      <c r="R136" s="99">
        <f t="shared" si="66"/>
        <v>12.202755891413094</v>
      </c>
      <c r="S136" s="99">
        <f t="shared" si="66"/>
        <v>13.06960416713572</v>
      </c>
      <c r="T136" s="99">
        <f t="shared" si="66"/>
        <v>13.998030822349824</v>
      </c>
    </row>
    <row r="137" spans="1:20" x14ac:dyDescent="0.2">
      <c r="A137" s="47" t="s">
        <v>644</v>
      </c>
      <c r="B137" s="103"/>
      <c r="C137" s="94"/>
      <c r="D137" s="94">
        <f>Data!C$195</f>
        <v>0.13100000000000001</v>
      </c>
      <c r="E137" s="94">
        <f>Data!D$195</f>
        <v>0.35399999999999998</v>
      </c>
      <c r="F137" s="142">
        <f>Data!E$195</f>
        <v>0.28199999999999997</v>
      </c>
      <c r="G137" s="142">
        <f>Data!F$195</f>
        <v>0.29599999999999999</v>
      </c>
      <c r="H137" s="142">
        <f>Data!G$195</f>
        <v>0.312</v>
      </c>
      <c r="I137" s="142">
        <f>Data!H$195</f>
        <v>0.33</v>
      </c>
      <c r="J137" s="142">
        <f>Data!I$195</f>
        <v>0.34799999999999998</v>
      </c>
      <c r="K137" s="99">
        <f>J$137*K$136/J$136</f>
        <v>0.37273598207743142</v>
      </c>
      <c r="L137" s="99">
        <f t="shared" ref="L137:T137" si="67">K$137*L$136/K$136</f>
        <v>0.39921406180292734</v>
      </c>
      <c r="M137" s="99">
        <f t="shared" si="67"/>
        <v>0.42757306727656869</v>
      </c>
      <c r="N137" s="99">
        <f t="shared" si="67"/>
        <v>0.45794661399112213</v>
      </c>
      <c r="O137" s="99">
        <f t="shared" si="67"/>
        <v>0.49047780909521838</v>
      </c>
      <c r="P137" s="99">
        <f t="shared" si="67"/>
        <v>0.5253199256529697</v>
      </c>
      <c r="Q137" s="99">
        <f t="shared" si="67"/>
        <v>0.5626371248010289</v>
      </c>
      <c r="R137" s="99">
        <f t="shared" si="67"/>
        <v>0.60260522920558479</v>
      </c>
      <c r="S137" s="99">
        <f t="shared" si="67"/>
        <v>0.6454125514634923</v>
      </c>
      <c r="T137" s="99">
        <f t="shared" si="67"/>
        <v>0.69126078135060853</v>
      </c>
    </row>
    <row r="138" spans="1:20" x14ac:dyDescent="0.2">
      <c r="A138" s="47" t="s">
        <v>857</v>
      </c>
      <c r="B138" s="103"/>
      <c r="C138" s="94"/>
      <c r="D138" s="94">
        <f>Data!C$196</f>
        <v>7.5999999999999998E-2</v>
      </c>
      <c r="E138" s="94">
        <f>Data!D$196</f>
        <v>0.3</v>
      </c>
      <c r="F138" s="142">
        <f>Data!E$196</f>
        <v>0.23599999999999999</v>
      </c>
      <c r="G138" s="142">
        <f>Data!F$196</f>
        <v>0.249</v>
      </c>
      <c r="H138" s="142">
        <f>Data!G$196</f>
        <v>0.26400000000000001</v>
      </c>
      <c r="I138" s="142">
        <f>Data!H$196</f>
        <v>0.28100000000000003</v>
      </c>
      <c r="J138" s="142">
        <f>Data!I$196</f>
        <v>0.29799999999999999</v>
      </c>
      <c r="K138" s="99">
        <f>J$138*K$137/J$137</f>
        <v>0.31918196166400736</v>
      </c>
      <c r="L138" s="99">
        <f t="shared" ref="L138:T138" si="68">K$138*L$137/K$137</f>
        <v>0.34185571958986305</v>
      </c>
      <c r="M138" s="99">
        <f t="shared" si="68"/>
        <v>0.36614015531154437</v>
      </c>
      <c r="N138" s="99">
        <f t="shared" si="68"/>
        <v>0.39214968669354705</v>
      </c>
      <c r="O138" s="99">
        <f t="shared" si="68"/>
        <v>0.420006859512572</v>
      </c>
      <c r="P138" s="99">
        <f t="shared" si="68"/>
        <v>0.44984292484076138</v>
      </c>
      <c r="Q138" s="99">
        <f t="shared" si="68"/>
        <v>0.48179845744455918</v>
      </c>
      <c r="R138" s="99">
        <f t="shared" si="68"/>
        <v>0.51602401811282839</v>
      </c>
      <c r="S138" s="99">
        <f t="shared" si="68"/>
        <v>0.55268086303482966</v>
      </c>
      <c r="T138" s="99">
        <f t="shared" si="68"/>
        <v>0.59194170357034881</v>
      </c>
    </row>
    <row r="139" spans="1:20" x14ac:dyDescent="0.2">
      <c r="A139" s="47"/>
      <c r="B139" s="103"/>
      <c r="C139" s="94"/>
      <c r="D139" s="94"/>
      <c r="E139" s="94"/>
      <c r="F139" s="142"/>
      <c r="G139" s="142"/>
      <c r="H139" s="142"/>
      <c r="I139" s="142"/>
      <c r="J139" s="142"/>
      <c r="T139" s="99"/>
    </row>
    <row r="140" spans="1:20" x14ac:dyDescent="0.2">
      <c r="A140" s="147" t="s">
        <v>415</v>
      </c>
      <c r="B140" s="103"/>
      <c r="C140" s="94"/>
      <c r="D140" s="94"/>
      <c r="E140" s="94"/>
      <c r="F140" s="142"/>
      <c r="G140" s="142"/>
      <c r="H140" s="142"/>
      <c r="I140" s="142"/>
      <c r="J140" s="142"/>
      <c r="T140" s="99"/>
    </row>
    <row r="141" spans="1:20" x14ac:dyDescent="0.2">
      <c r="A141" s="47" t="s">
        <v>506</v>
      </c>
      <c r="B141" s="103"/>
      <c r="C141" s="94"/>
      <c r="D141" s="94">
        <f>Data!C$197</f>
        <v>22.600999999999999</v>
      </c>
      <c r="E141" s="94">
        <f>Data!D$197</f>
        <v>26.542999999999999</v>
      </c>
      <c r="F141" s="142">
        <f>Data!E$197</f>
        <v>20.832000000000001</v>
      </c>
      <c r="G141" s="142">
        <f>Data!F$197</f>
        <v>17.885000000000002</v>
      </c>
      <c r="H141" s="142">
        <f>Data!G$197</f>
        <v>20.686</v>
      </c>
      <c r="I141" s="142">
        <f>Data!H$197</f>
        <v>18.763000000000002</v>
      </c>
      <c r="J141" s="142">
        <f>Data!I$197</f>
        <v>16.645000000000003</v>
      </c>
      <c r="K141" s="99" t="e">
        <f ca="1">J$141-K$206</f>
        <v>#REF!</v>
      </c>
      <c r="L141" s="99" t="e">
        <f t="shared" ref="L141:T141" ca="1" si="69">K$141-L$206</f>
        <v>#REF!</v>
      </c>
      <c r="M141" s="99" t="e">
        <f t="shared" ca="1" si="69"/>
        <v>#REF!</v>
      </c>
      <c r="N141" s="99" t="e">
        <f t="shared" ca="1" si="69"/>
        <v>#REF!</v>
      </c>
      <c r="O141" s="99" t="e">
        <f t="shared" ca="1" si="69"/>
        <v>#REF!</v>
      </c>
      <c r="P141" s="99" t="e">
        <f t="shared" ca="1" si="69"/>
        <v>#REF!</v>
      </c>
      <c r="Q141" s="99" t="e">
        <f t="shared" ca="1" si="69"/>
        <v>#REF!</v>
      </c>
      <c r="R141" s="99" t="e">
        <f t="shared" ca="1" si="69"/>
        <v>#REF!</v>
      </c>
      <c r="S141" s="99" t="e">
        <f t="shared" ca="1" si="69"/>
        <v>#REF!</v>
      </c>
      <c r="T141" s="99" t="e">
        <f t="shared" ca="1" si="69"/>
        <v>#REF!</v>
      </c>
    </row>
    <row r="142" spans="1:20" x14ac:dyDescent="0.2">
      <c r="A142" s="47" t="s">
        <v>508</v>
      </c>
      <c r="B142" s="103"/>
      <c r="C142" s="94"/>
      <c r="D142" s="94">
        <f>D$119-Data!C$221</f>
        <v>11.295999999999999</v>
      </c>
      <c r="E142" s="94">
        <f>E$119-Data!D$221</f>
        <v>13.058</v>
      </c>
      <c r="F142" s="142">
        <f>F$119-Data!E$221</f>
        <v>12.101999999999999</v>
      </c>
      <c r="G142" s="142">
        <f>G$119-Data!F$221</f>
        <v>14.569999999999997</v>
      </c>
      <c r="H142" s="142">
        <f>H$119-Data!G$221</f>
        <v>17.693999999999999</v>
      </c>
      <c r="I142" s="142">
        <f>I$119-Data!H$221</f>
        <v>21.131</v>
      </c>
      <c r="J142" s="142">
        <f>J$119-Data!I$221</f>
        <v>24.95</v>
      </c>
      <c r="K142" s="99">
        <f t="shared" ref="K142:T142" ca="1" si="70">K$119-K$160</f>
        <v>28.969686699378393</v>
      </c>
      <c r="L142" s="99">
        <f t="shared" ca="1" si="70"/>
        <v>33.228453458089746</v>
      </c>
      <c r="M142" s="99">
        <f t="shared" ca="1" si="70"/>
        <v>37.750898206766863</v>
      </c>
      <c r="N142" s="99">
        <f t="shared" ca="1" si="70"/>
        <v>42.539541936030936</v>
      </c>
      <c r="O142" s="99">
        <f t="shared" ca="1" si="70"/>
        <v>47.593069749498738</v>
      </c>
      <c r="P142" s="99">
        <f t="shared" ca="1" si="70"/>
        <v>52.90722653837458</v>
      </c>
      <c r="Q142" s="99">
        <f t="shared" ca="1" si="70"/>
        <v>58.481659347495025</v>
      </c>
      <c r="R142" s="99">
        <f t="shared" ca="1" si="70"/>
        <v>64.247514566983398</v>
      </c>
      <c r="S142" s="99">
        <f t="shared" ca="1" si="70"/>
        <v>70.194981017004309</v>
      </c>
      <c r="T142" s="99">
        <f t="shared" ca="1" si="70"/>
        <v>76.309916668177053</v>
      </c>
    </row>
    <row r="143" spans="1:20" x14ac:dyDescent="0.2">
      <c r="A143" s="47" t="s">
        <v>873</v>
      </c>
      <c r="B143" s="54"/>
      <c r="C143" s="94"/>
      <c r="D143" s="98">
        <f>Data!C$118-Data!C$220-SUM(D$141,D$142)</f>
        <v>0.39300000000000779</v>
      </c>
      <c r="E143" s="98">
        <f>Data!D$118-Data!D$220-SUM(E$141,E$142)</f>
        <v>-0.60300000000000153</v>
      </c>
      <c r="F143" s="190">
        <f>Data!E$118-Data!E$220-SUM(F$141,F$142)</f>
        <v>2.1529999999999987</v>
      </c>
      <c r="G143" s="190">
        <f>Data!F$118-Data!F$220-SUM(G$141,G$142)</f>
        <v>1.0040000000000049</v>
      </c>
      <c r="H143" s="190">
        <f>Data!G$118-Data!G$220-SUM(H$141,H$142)</f>
        <v>-1.083999999999989</v>
      </c>
      <c r="I143" s="190">
        <f>Data!H$118-Data!H$220-SUM(I$141,I$142)</f>
        <v>0.16699999999999449</v>
      </c>
      <c r="J143" s="190">
        <f>Data!I$118-Data!I$220-SUM(J$141,J$142)</f>
        <v>2.0930000000000035</v>
      </c>
      <c r="K143" s="106">
        <f>J$143</f>
        <v>2.0930000000000035</v>
      </c>
      <c r="L143" s="106">
        <f t="shared" ref="L143:T143" si="71">K$143</f>
        <v>2.0930000000000035</v>
      </c>
      <c r="M143" s="106">
        <f t="shared" si="71"/>
        <v>2.0930000000000035</v>
      </c>
      <c r="N143" s="106">
        <f t="shared" si="71"/>
        <v>2.0930000000000035</v>
      </c>
      <c r="O143" s="106">
        <f t="shared" si="71"/>
        <v>2.0930000000000035</v>
      </c>
      <c r="P143" s="106">
        <f t="shared" si="71"/>
        <v>2.0930000000000035</v>
      </c>
      <c r="Q143" s="106">
        <f t="shared" si="71"/>
        <v>2.0930000000000035</v>
      </c>
      <c r="R143" s="106">
        <f t="shared" si="71"/>
        <v>2.0930000000000035</v>
      </c>
      <c r="S143" s="106">
        <f t="shared" si="71"/>
        <v>2.0930000000000035</v>
      </c>
      <c r="T143" s="106">
        <f t="shared" si="71"/>
        <v>2.0930000000000035</v>
      </c>
    </row>
    <row r="144" spans="1:20" x14ac:dyDescent="0.2">
      <c r="A144" s="43" t="s">
        <v>507</v>
      </c>
      <c r="B144" s="103"/>
      <c r="C144" s="94"/>
      <c r="D144" s="96">
        <f t="shared" ref="D144:T144" si="72">SUM(D$141,D$142,D$143)</f>
        <v>34.290000000000006</v>
      </c>
      <c r="E144" s="96">
        <f t="shared" si="72"/>
        <v>38.997999999999998</v>
      </c>
      <c r="F144" s="187">
        <f t="shared" si="72"/>
        <v>35.086999999999996</v>
      </c>
      <c r="G144" s="187">
        <f t="shared" si="72"/>
        <v>33.459000000000003</v>
      </c>
      <c r="H144" s="187">
        <f t="shared" si="72"/>
        <v>37.296000000000006</v>
      </c>
      <c r="I144" s="187">
        <f t="shared" si="72"/>
        <v>40.061</v>
      </c>
      <c r="J144" s="187">
        <f t="shared" si="72"/>
        <v>43.688000000000002</v>
      </c>
      <c r="K144" s="101" t="e">
        <f t="shared" ca="1" si="72"/>
        <v>#REF!</v>
      </c>
      <c r="L144" s="101" t="e">
        <f t="shared" ca="1" si="72"/>
        <v>#REF!</v>
      </c>
      <c r="M144" s="101" t="e">
        <f t="shared" ca="1" si="72"/>
        <v>#REF!</v>
      </c>
      <c r="N144" s="101" t="e">
        <f t="shared" ca="1" si="72"/>
        <v>#REF!</v>
      </c>
      <c r="O144" s="101" t="e">
        <f t="shared" ca="1" si="72"/>
        <v>#REF!</v>
      </c>
      <c r="P144" s="101" t="e">
        <f t="shared" ca="1" si="72"/>
        <v>#REF!</v>
      </c>
      <c r="Q144" s="101" t="e">
        <f t="shared" ca="1" si="72"/>
        <v>#REF!</v>
      </c>
      <c r="R144" s="101" t="e">
        <f t="shared" ca="1" si="72"/>
        <v>#REF!</v>
      </c>
      <c r="S144" s="101" t="e">
        <f t="shared" ca="1" si="72"/>
        <v>#REF!</v>
      </c>
      <c r="T144" s="101" t="e">
        <f t="shared" ca="1" si="72"/>
        <v>#REF!</v>
      </c>
    </row>
    <row r="145" spans="1:20" x14ac:dyDescent="0.2">
      <c r="A145" s="251" t="s">
        <v>509</v>
      </c>
      <c r="B145" s="103"/>
      <c r="C145" s="94"/>
      <c r="D145" s="94">
        <f t="shared" ref="D145:T145" si="73">D$127</f>
        <v>9.0109999999999992</v>
      </c>
      <c r="E145" s="94">
        <f t="shared" si="73"/>
        <v>10.016999999999999</v>
      </c>
      <c r="F145" s="142">
        <f t="shared" si="73"/>
        <v>9.6189999999999998</v>
      </c>
      <c r="G145" s="142">
        <f t="shared" si="73"/>
        <v>10.889000000000001</v>
      </c>
      <c r="H145" s="142">
        <f t="shared" si="73"/>
        <v>12.190999999999999</v>
      </c>
      <c r="I145" s="142">
        <f t="shared" si="73"/>
        <v>13.502000000000001</v>
      </c>
      <c r="J145" s="142">
        <f t="shared" si="73"/>
        <v>14.773999999999999</v>
      </c>
      <c r="K145" s="99">
        <f t="shared" si="73"/>
        <v>15.143071346851748</v>
      </c>
      <c r="L145" s="99">
        <f t="shared" si="73"/>
        <v>16.069313110010956</v>
      </c>
      <c r="M145" s="99">
        <f t="shared" si="73"/>
        <v>17.052209417295963</v>
      </c>
      <c r="N145" s="99">
        <f t="shared" si="73"/>
        <v>18.095225603026343</v>
      </c>
      <c r="O145" s="99">
        <f t="shared" si="73"/>
        <v>19.202038962311967</v>
      </c>
      <c r="P145" s="99">
        <f t="shared" si="73"/>
        <v>20.376551715855939</v>
      </c>
      <c r="Q145" s="99">
        <f t="shared" si="73"/>
        <v>21.622904767763281</v>
      </c>
      <c r="R145" s="99">
        <f t="shared" si="73"/>
        <v>22.945492304860277</v>
      </c>
      <c r="S145" s="99">
        <f t="shared" si="73"/>
        <v>24.348977288996497</v>
      </c>
      <c r="T145" s="99">
        <f t="shared" si="73"/>
        <v>25.838307896949583</v>
      </c>
    </row>
    <row r="146" spans="1:20" x14ac:dyDescent="0.2">
      <c r="A146" s="251" t="s">
        <v>510</v>
      </c>
      <c r="B146" s="103"/>
      <c r="C146" s="94"/>
      <c r="D146" s="94">
        <f t="shared" ref="D146:T146" si="74">D$136</f>
        <v>5.4569999999999999</v>
      </c>
      <c r="E146" s="94">
        <f t="shared" si="74"/>
        <v>5.5990000000000002</v>
      </c>
      <c r="F146" s="142">
        <f t="shared" si="74"/>
        <v>5.3490000000000002</v>
      </c>
      <c r="G146" s="142">
        <f t="shared" si="74"/>
        <v>5.7329999999999997</v>
      </c>
      <c r="H146" s="142">
        <f t="shared" si="74"/>
        <v>6.1429999999999998</v>
      </c>
      <c r="I146" s="142">
        <f t="shared" si="74"/>
        <v>6.5810000000000004</v>
      </c>
      <c r="J146" s="142">
        <f t="shared" si="74"/>
        <v>7.0469999999999997</v>
      </c>
      <c r="K146" s="99">
        <f t="shared" si="74"/>
        <v>7.5479036370679866</v>
      </c>
      <c r="L146" s="99">
        <f t="shared" si="74"/>
        <v>8.0840847515092786</v>
      </c>
      <c r="M146" s="99">
        <f t="shared" si="74"/>
        <v>8.6583546123505162</v>
      </c>
      <c r="N146" s="99">
        <f t="shared" si="74"/>
        <v>9.2734189333202242</v>
      </c>
      <c r="O146" s="99">
        <f t="shared" si="74"/>
        <v>9.932175634178174</v>
      </c>
      <c r="P146" s="99">
        <f t="shared" si="74"/>
        <v>10.637728494472638</v>
      </c>
      <c r="Q146" s="99">
        <f t="shared" si="74"/>
        <v>11.393401777220838</v>
      </c>
      <c r="R146" s="99">
        <f t="shared" si="74"/>
        <v>12.202755891413094</v>
      </c>
      <c r="S146" s="99">
        <f t="shared" si="74"/>
        <v>13.06960416713572</v>
      </c>
      <c r="T146" s="99">
        <f t="shared" si="74"/>
        <v>13.998030822349824</v>
      </c>
    </row>
    <row r="147" spans="1:20" x14ac:dyDescent="0.2">
      <c r="A147" s="251" t="s">
        <v>874</v>
      </c>
      <c r="B147" s="54"/>
      <c r="C147" s="94"/>
      <c r="D147" s="280">
        <f>SUM(D$144,D$145,D$146)-SUM(Data!C$63,Data!C$64)</f>
        <v>3.0519999999999996</v>
      </c>
      <c r="E147" s="280">
        <f>SUM(E$144,E$145,E$146)-SUM(Data!D$63,Data!D$64)</f>
        <v>0.46100000000000563</v>
      </c>
      <c r="F147" s="186">
        <f>SUM(F$144,F$145,F$146)-SUM(Data!E$63,Data!E$64)</f>
        <v>2.3469999999999871</v>
      </c>
      <c r="G147" s="186">
        <f>SUM(G$144,G$145,G$146)-SUM(Data!F$63,Data!F$64)</f>
        <v>2.8140000000000072</v>
      </c>
      <c r="H147" s="186">
        <f>SUM(H$144,H$145,H$146)-SUM(Data!G$63,Data!G$64)</f>
        <v>3.2080000000000126</v>
      </c>
      <c r="I147" s="186">
        <f>SUM(I$144,I$145,I$146)-SUM(Data!H$63,Data!H$64)</f>
        <v>3.7690000000000055</v>
      </c>
      <c r="J147" s="186">
        <f>SUM(J$144,J$145,J$146)-SUM(Data!I$63,Data!I$64)</f>
        <v>4.438999999999993</v>
      </c>
      <c r="K147" s="107">
        <f ca="1">J$147*(1+K$215)</f>
        <v>4.5277799999999928</v>
      </c>
      <c r="L147" s="107">
        <f t="shared" ref="L147:T147" ca="1" si="75">K$147*(1+L$215)</f>
        <v>4.6183355999999929</v>
      </c>
      <c r="M147" s="107">
        <f t="shared" ca="1" si="75"/>
        <v>4.7107023119999925</v>
      </c>
      <c r="N147" s="107">
        <f t="shared" ca="1" si="75"/>
        <v>4.8049163582399927</v>
      </c>
      <c r="O147" s="107">
        <f t="shared" ca="1" si="75"/>
        <v>4.9010146854047925</v>
      </c>
      <c r="P147" s="107">
        <f t="shared" ca="1" si="75"/>
        <v>4.9990349791128885</v>
      </c>
      <c r="Q147" s="107">
        <f t="shared" ca="1" si="75"/>
        <v>5.0990156786951459</v>
      </c>
      <c r="R147" s="107">
        <f t="shared" ca="1" si="75"/>
        <v>5.200995992269049</v>
      </c>
      <c r="S147" s="107">
        <f t="shared" ca="1" si="75"/>
        <v>5.3050159121144302</v>
      </c>
      <c r="T147" s="107">
        <f t="shared" ca="1" si="75"/>
        <v>5.4111162303567193</v>
      </c>
    </row>
    <row r="148" spans="1:20" x14ac:dyDescent="0.2">
      <c r="A148" s="43" t="s">
        <v>511</v>
      </c>
      <c r="B148" s="103"/>
      <c r="C148" s="94"/>
      <c r="D148" s="96">
        <f t="shared" ref="D148:T148" si="76">SUM(D$144:D$146,-D$147)</f>
        <v>45.706000000000003</v>
      </c>
      <c r="E148" s="96">
        <f t="shared" si="76"/>
        <v>54.152999999999999</v>
      </c>
      <c r="F148" s="187">
        <f t="shared" si="76"/>
        <v>47.708000000000006</v>
      </c>
      <c r="G148" s="187">
        <f t="shared" si="76"/>
        <v>47.266999999999996</v>
      </c>
      <c r="H148" s="187">
        <f t="shared" si="76"/>
        <v>52.421999999999997</v>
      </c>
      <c r="I148" s="187">
        <f t="shared" si="76"/>
        <v>56.375</v>
      </c>
      <c r="J148" s="187">
        <f t="shared" si="76"/>
        <v>61.070000000000007</v>
      </c>
      <c r="K148" s="101" t="e">
        <f t="shared" ca="1" si="76"/>
        <v>#REF!</v>
      </c>
      <c r="L148" s="101" t="e">
        <f t="shared" ca="1" si="76"/>
        <v>#REF!</v>
      </c>
      <c r="M148" s="101" t="e">
        <f t="shared" ca="1" si="76"/>
        <v>#REF!</v>
      </c>
      <c r="N148" s="101" t="e">
        <f t="shared" ca="1" si="76"/>
        <v>#REF!</v>
      </c>
      <c r="O148" s="101" t="e">
        <f t="shared" ca="1" si="76"/>
        <v>#REF!</v>
      </c>
      <c r="P148" s="101" t="e">
        <f t="shared" ca="1" si="76"/>
        <v>#REF!</v>
      </c>
      <c r="Q148" s="101" t="e">
        <f t="shared" ca="1" si="76"/>
        <v>#REF!</v>
      </c>
      <c r="R148" s="101" t="e">
        <f t="shared" ca="1" si="76"/>
        <v>#REF!</v>
      </c>
      <c r="S148" s="101" t="e">
        <f t="shared" ca="1" si="76"/>
        <v>#REF!</v>
      </c>
      <c r="T148" s="101" t="e">
        <f t="shared" ca="1" si="76"/>
        <v>#REF!</v>
      </c>
    </row>
    <row r="149" spans="1:20" x14ac:dyDescent="0.2">
      <c r="A149" s="47"/>
      <c r="B149" s="136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</row>
    <row r="150" spans="1:20" x14ac:dyDescent="0.2">
      <c r="A150" s="147" t="s">
        <v>663</v>
      </c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</row>
    <row r="151" spans="1:20" x14ac:dyDescent="0.2">
      <c r="A151" s="47" t="s">
        <v>169</v>
      </c>
      <c r="C151" s="94"/>
      <c r="D151" s="181">
        <f>Data!C$160</f>
        <v>5.569</v>
      </c>
      <c r="E151" s="94">
        <f t="shared" ref="E151:K151" si="77">D$157</f>
        <v>6.0110000000000001</v>
      </c>
      <c r="F151" s="142">
        <f t="shared" si="77"/>
        <v>6.7409999999999997</v>
      </c>
      <c r="G151" s="142">
        <f t="shared" si="77"/>
        <v>7.173</v>
      </c>
      <c r="H151" s="142">
        <f t="shared" si="77"/>
        <v>7.5990000000000011</v>
      </c>
      <c r="I151" s="142">
        <f t="shared" si="77"/>
        <v>8.0220000000000002</v>
      </c>
      <c r="J151" s="142">
        <f t="shared" si="77"/>
        <v>8.4409999999999989</v>
      </c>
      <c r="K151" s="99">
        <f t="shared" si="77"/>
        <v>8.8519999999999985</v>
      </c>
      <c r="L151" s="99">
        <f t="shared" ref="L151:T151" si="78">K$157</f>
        <v>9.2574116047448669</v>
      </c>
      <c r="M151" s="99">
        <f t="shared" si="78"/>
        <v>9.6593099271240597</v>
      </c>
      <c r="N151" s="99">
        <f t="shared" si="78"/>
        <v>10.05619783937826</v>
      </c>
      <c r="O151" s="99">
        <f t="shared" si="78"/>
        <v>10.443693133518281</v>
      </c>
      <c r="P151" s="99">
        <f t="shared" si="78"/>
        <v>10.8223124071786</v>
      </c>
      <c r="Q151" s="99">
        <f t="shared" si="78"/>
        <v>11.194299481365034</v>
      </c>
      <c r="R151" s="99">
        <f t="shared" si="78"/>
        <v>11.557560127700686</v>
      </c>
      <c r="S151" s="99">
        <f t="shared" si="78"/>
        <v>11.910939357488157</v>
      </c>
      <c r="T151" s="99">
        <f t="shared" si="78"/>
        <v>12.252379746962445</v>
      </c>
    </row>
    <row r="152" spans="1:20" x14ac:dyDescent="0.2">
      <c r="A152" s="251" t="s">
        <v>478</v>
      </c>
      <c r="C152" s="94"/>
      <c r="D152" s="94">
        <f>Data!C$161</f>
        <v>1.1759999999999999</v>
      </c>
      <c r="E152" s="94">
        <f>Data!D$161</f>
        <v>1.2010000000000001</v>
      </c>
      <c r="F152" s="142">
        <f>Data!E$161</f>
        <v>1.298</v>
      </c>
      <c r="G152" s="142">
        <f>Data!F$161</f>
        <v>1.3839999999999999</v>
      </c>
      <c r="H152" s="142">
        <f>Data!G$161</f>
        <v>1.47</v>
      </c>
      <c r="I152" s="142">
        <f>Data!H$161</f>
        <v>1.5580000000000001</v>
      </c>
      <c r="J152" s="142">
        <f>Data!I$161</f>
        <v>1.6379999999999999</v>
      </c>
      <c r="K152" s="99">
        <f>J$152*Tracks!W$23/Tracks!V$23</f>
        <v>1.7163778727148506</v>
      </c>
      <c r="L152" s="99">
        <f>K$152*Tracks!X$23/Tracks!W$23</f>
        <v>1.7926194184476894</v>
      </c>
      <c r="M152" s="99">
        <f>L$152*Tracks!Y$23/Tracks!X$23</f>
        <v>1.8667138066016298</v>
      </c>
      <c r="N152" s="99">
        <f>M$152*Tracks!Z$23/Tracks!Y$23</f>
        <v>1.9386841282938767</v>
      </c>
      <c r="O152" s="99">
        <f>N$152*Tracks!AA$23/Tracks!Z$23</f>
        <v>2.0085810918707208</v>
      </c>
      <c r="P152" s="99">
        <f>O$152*Tracks!AB$23/Tracks!AA$23</f>
        <v>2.0764773374109953</v>
      </c>
      <c r="Q152" s="99">
        <f>P$152*Tracks!AC$23/Tracks!AB$23</f>
        <v>2.1424624092229783</v>
      </c>
      <c r="R152" s="99">
        <f>Q$152*Tracks!AD$23/Tracks!AC$23</f>
        <v>2.2066383876580891</v>
      </c>
      <c r="S152" s="99">
        <f>R$152*Tracks!AE$23/Tracks!AD$23</f>
        <v>2.2691161551226857</v>
      </c>
      <c r="T152" s="99">
        <f>S$152*Tracks!AF$23/Tracks!AE$23</f>
        <v>2.3301065796574139</v>
      </c>
    </row>
    <row r="153" spans="1:20" x14ac:dyDescent="0.2">
      <c r="A153" s="259" t="s">
        <v>479</v>
      </c>
      <c r="C153" s="94"/>
      <c r="D153" s="94">
        <f>Data!C$162</f>
        <v>0.48799999999999999</v>
      </c>
      <c r="E153" s="94">
        <f>Data!D$162</f>
        <v>0.48699999999999999</v>
      </c>
      <c r="F153" s="142">
        <f>Data!E$162</f>
        <v>0.503</v>
      </c>
      <c r="G153" s="142">
        <f>Data!F$162</f>
        <v>0.53600000000000003</v>
      </c>
      <c r="H153" s="142">
        <f>Data!G$162</f>
        <v>0.56999999999999995</v>
      </c>
      <c r="I153" s="142">
        <f>Data!H$162</f>
        <v>0.60399999999999998</v>
      </c>
      <c r="J153" s="142">
        <f>Data!I$162</f>
        <v>0.63400000000000001</v>
      </c>
      <c r="K153" s="99">
        <f>J$153*K$152/J$152</f>
        <v>0.66433673461612663</v>
      </c>
      <c r="L153" s="99">
        <f t="shared" ref="L153:T153" si="79">K$153*L$152/K$152</f>
        <v>0.6938465880926955</v>
      </c>
      <c r="M153" s="99">
        <f t="shared" si="79"/>
        <v>0.72252536836717551</v>
      </c>
      <c r="N153" s="99">
        <f t="shared" si="79"/>
        <v>0.7503820130270562</v>
      </c>
      <c r="O153" s="99">
        <f t="shared" si="79"/>
        <v>0.77743614911235481</v>
      </c>
      <c r="P153" s="99">
        <f t="shared" si="79"/>
        <v>0.80371589250218023</v>
      </c>
      <c r="Q153" s="99">
        <f t="shared" si="79"/>
        <v>0.82925590198252042</v>
      </c>
      <c r="R153" s="99">
        <f t="shared" si="79"/>
        <v>0.85409568850746564</v>
      </c>
      <c r="S153" s="99">
        <f t="shared" si="79"/>
        <v>0.87827816993149144</v>
      </c>
      <c r="T153" s="99">
        <f t="shared" si="79"/>
        <v>0.90188496428742404</v>
      </c>
    </row>
    <row r="154" spans="1:20" x14ac:dyDescent="0.2">
      <c r="A154" s="251" t="s">
        <v>480</v>
      </c>
      <c r="C154" s="94"/>
      <c r="D154" s="94">
        <f>Data!C$163</f>
        <v>0.55500000000000005</v>
      </c>
      <c r="E154" s="94">
        <f>Data!D$163</f>
        <v>0.629</v>
      </c>
      <c r="F154" s="142">
        <f>Data!E$163</f>
        <v>0.70299999999999996</v>
      </c>
      <c r="G154" s="142">
        <f>Data!F$163</f>
        <v>0.79500000000000004</v>
      </c>
      <c r="H154" s="142">
        <f>Data!G$163</f>
        <v>0.879</v>
      </c>
      <c r="I154" s="142">
        <f>Data!H$163</f>
        <v>0.96499999999999997</v>
      </c>
      <c r="J154" s="142">
        <f>Data!I$163</f>
        <v>1.05</v>
      </c>
      <c r="K154" s="99">
        <f>J$154*Tracks!W$25/Tracks!V$25</f>
        <v>1.1254034937993254</v>
      </c>
      <c r="L154" s="99">
        <f>K$154*Tracks!X$25/Tracks!W$25</f>
        <v>1.1967551147966937</v>
      </c>
      <c r="M154" s="99">
        <f>L$154*Tracks!Y$25/Tracks!X$25</f>
        <v>1.2675894214982191</v>
      </c>
      <c r="N154" s="99">
        <f>M$154*Tracks!Z$25/Tracks!Y$25</f>
        <v>1.3408333422204526</v>
      </c>
      <c r="O154" s="99">
        <f>N$154*Tracks!AA$25/Tracks!Z$25</f>
        <v>1.4116943629689149</v>
      </c>
      <c r="P154" s="99">
        <f>O$154*Tracks!AB$25/Tracks!AA$25</f>
        <v>1.478508180250572</v>
      </c>
      <c r="Q154" s="99">
        <f>P$154*Tracks!AC$25/Tracks!AB$25</f>
        <v>1.5456692732718098</v>
      </c>
      <c r="R154" s="99">
        <f>Q$154*Tracks!AD$25/Tracks!AC$25</f>
        <v>1.6123639088908837</v>
      </c>
      <c r="S154" s="99">
        <f>R$154*Tracks!AE$25/Tracks!AD$25</f>
        <v>1.6796161250101647</v>
      </c>
      <c r="T154" s="99">
        <f>S$154*Tracks!AF$25/Tracks!AE$25</f>
        <v>1.7472262991112479</v>
      </c>
    </row>
    <row r="155" spans="1:20" x14ac:dyDescent="0.2">
      <c r="A155" s="251" t="s">
        <v>871</v>
      </c>
      <c r="C155" s="94"/>
      <c r="D155" s="94">
        <f>Data!C$164</f>
        <v>0.36</v>
      </c>
      <c r="E155" s="94">
        <f>Data!D$164</f>
        <v>0.40699999999999997</v>
      </c>
      <c r="F155" s="142">
        <f>Data!E$164</f>
        <v>0.45200000000000001</v>
      </c>
      <c r="G155" s="142">
        <f>Data!F$164</f>
        <v>0.48299999999999998</v>
      </c>
      <c r="H155" s="142">
        <f>Data!G$164</f>
        <v>0.51</v>
      </c>
      <c r="I155" s="142">
        <f>Data!H$164</f>
        <v>0.53900000000000003</v>
      </c>
      <c r="J155" s="142">
        <f>Data!I$164</f>
        <v>0.56799999999999995</v>
      </c>
      <c r="K155" s="99">
        <f>J$155*K$152/J$152</f>
        <v>0.59517865183274432</v>
      </c>
      <c r="L155" s="99">
        <f t="shared" ref="L155:T155" si="80">K$155*L$152/K$152</f>
        <v>0.62161650163509619</v>
      </c>
      <c r="M155" s="99">
        <f t="shared" si="80"/>
        <v>0.64730979374220132</v>
      </c>
      <c r="N155" s="99">
        <f t="shared" si="80"/>
        <v>0.67226653533023317</v>
      </c>
      <c r="O155" s="99">
        <f t="shared" si="80"/>
        <v>0.69650431024576887</v>
      </c>
      <c r="P155" s="99">
        <f t="shared" si="80"/>
        <v>0.72004830747829385</v>
      </c>
      <c r="Q155" s="99">
        <f t="shared" si="80"/>
        <v>0.7429295778013747</v>
      </c>
      <c r="R155" s="99">
        <f t="shared" si="80"/>
        <v>0.7651835190413887</v>
      </c>
      <c r="S155" s="99">
        <f t="shared" si="80"/>
        <v>0.78684858126354429</v>
      </c>
      <c r="T155" s="99">
        <f t="shared" si="80"/>
        <v>0.80799788598620947</v>
      </c>
    </row>
    <row r="156" spans="1:20" x14ac:dyDescent="0.2">
      <c r="A156" s="259" t="s">
        <v>481</v>
      </c>
      <c r="B156" s="54"/>
      <c r="C156" s="94"/>
      <c r="D156" s="280">
        <f>Data!C$165-Data!C$166</f>
        <v>5.099999999999999E-2</v>
      </c>
      <c r="E156" s="280">
        <f>Data!D$165-Data!D$166</f>
        <v>-0.23800000000000002</v>
      </c>
      <c r="F156" s="186">
        <f>Data!E$165-Data!E$166</f>
        <v>0.112</v>
      </c>
      <c r="G156" s="186">
        <f>Data!F$165-Data!F$166</f>
        <v>0.11</v>
      </c>
      <c r="H156" s="186">
        <f>Data!G$165-Data!G$166</f>
        <v>0.108</v>
      </c>
      <c r="I156" s="186">
        <f>Data!H$165-Data!H$166</f>
        <v>0.109</v>
      </c>
      <c r="J156" s="186">
        <f>Data!I$165-Data!I$166</f>
        <v>0.111</v>
      </c>
      <c r="K156" s="107">
        <f>J$156*K$151/J$151</f>
        <v>0.1164046913872764</v>
      </c>
      <c r="L156" s="107">
        <f t="shared" ref="L156:T156" si="81">K$156*L$151/K$151</f>
        <v>0.12173589481420218</v>
      </c>
      <c r="M156" s="107">
        <f t="shared" si="81"/>
        <v>0.1270208982242354</v>
      </c>
      <c r="N156" s="107">
        <f t="shared" si="81"/>
        <v>0.13224001423658185</v>
      </c>
      <c r="O156" s="107">
        <f t="shared" si="81"/>
        <v>0.13733561637489985</v>
      </c>
      <c r="P156" s="107">
        <f t="shared" si="81"/>
        <v>0.14231449795010367</v>
      </c>
      <c r="Q156" s="107">
        <f t="shared" si="81"/>
        <v>0.14720616543437023</v>
      </c>
      <c r="R156" s="107">
        <f t="shared" si="81"/>
        <v>0.15198307951365675</v>
      </c>
      <c r="S156" s="107">
        <f t="shared" si="81"/>
        <v>0.1566300519702862</v>
      </c>
      <c r="T156" s="107">
        <f t="shared" si="81"/>
        <v>0.16112002747456838</v>
      </c>
    </row>
    <row r="157" spans="1:20" s="103" customFormat="1" x14ac:dyDescent="0.2">
      <c r="A157" s="43" t="s">
        <v>664</v>
      </c>
      <c r="B157" s="54"/>
      <c r="C157" s="94"/>
      <c r="D157" s="96">
        <f t="shared" ref="D157:T157" si="82">SUM(D$151,D$152,D$155)-SUM(D$153,D$154,D$156)</f>
        <v>6.0110000000000001</v>
      </c>
      <c r="E157" s="96">
        <f t="shared" si="82"/>
        <v>6.7409999999999997</v>
      </c>
      <c r="F157" s="187">
        <f t="shared" si="82"/>
        <v>7.173</v>
      </c>
      <c r="G157" s="187">
        <f t="shared" si="82"/>
        <v>7.5990000000000011</v>
      </c>
      <c r="H157" s="187">
        <f t="shared" si="82"/>
        <v>8.0220000000000002</v>
      </c>
      <c r="I157" s="187">
        <f t="shared" si="82"/>
        <v>8.4409999999999989</v>
      </c>
      <c r="J157" s="187">
        <f t="shared" si="82"/>
        <v>8.8519999999999985</v>
      </c>
      <c r="K157" s="101">
        <f t="shared" si="82"/>
        <v>9.2574116047448669</v>
      </c>
      <c r="L157" s="101">
        <f t="shared" si="82"/>
        <v>9.6593099271240597</v>
      </c>
      <c r="M157" s="101">
        <f t="shared" si="82"/>
        <v>10.05619783937826</v>
      </c>
      <c r="N157" s="101">
        <f t="shared" si="82"/>
        <v>10.443693133518281</v>
      </c>
      <c r="O157" s="101">
        <f t="shared" si="82"/>
        <v>10.8223124071786</v>
      </c>
      <c r="P157" s="101">
        <f t="shared" si="82"/>
        <v>11.194299481365034</v>
      </c>
      <c r="Q157" s="101">
        <f t="shared" si="82"/>
        <v>11.557560127700686</v>
      </c>
      <c r="R157" s="101">
        <f t="shared" si="82"/>
        <v>11.910939357488157</v>
      </c>
      <c r="S157" s="101">
        <f t="shared" si="82"/>
        <v>12.252379746962445</v>
      </c>
      <c r="T157" s="101">
        <f t="shared" si="82"/>
        <v>12.580252921732828</v>
      </c>
    </row>
    <row r="158" spans="1:20" s="103" customFormat="1" x14ac:dyDescent="0.2">
      <c r="A158" s="43"/>
      <c r="B158" s="54"/>
      <c r="C158" s="9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</row>
    <row r="159" spans="1:20" x14ac:dyDescent="0.2">
      <c r="A159" s="147" t="s">
        <v>416</v>
      </c>
      <c r="B159" s="59"/>
      <c r="C159" s="94"/>
      <c r="D159" s="100"/>
      <c r="E159" s="100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</row>
    <row r="160" spans="1:20" x14ac:dyDescent="0.2">
      <c r="A160" s="258" t="s">
        <v>756</v>
      </c>
      <c r="B160" s="59"/>
      <c r="C160" s="94"/>
      <c r="D160" s="94">
        <f>Data!C$221</f>
        <v>0.36699999999999999</v>
      </c>
      <c r="E160" s="94">
        <f>Data!D$221</f>
        <v>0.32400000000000001</v>
      </c>
      <c r="F160" s="142">
        <f>Data!E$221</f>
        <v>0.77200000000000002</v>
      </c>
      <c r="G160" s="142">
        <f>Data!F$221</f>
        <v>1.4950000000000001</v>
      </c>
      <c r="H160" s="142">
        <f>Data!G$221</f>
        <v>1.821</v>
      </c>
      <c r="I160" s="142">
        <f>Data!H$221</f>
        <v>2.1560000000000001</v>
      </c>
      <c r="J160" s="142">
        <f>Data!I$221</f>
        <v>2.4910000000000001</v>
      </c>
      <c r="K160" s="99">
        <f ca="1">J$160*(1+K$215)</f>
        <v>2.5408200000000001</v>
      </c>
      <c r="L160" s="99">
        <f t="shared" ref="L160:T160" ca="1" si="83">K$160*(1+L$215)</f>
        <v>2.5916364000000001</v>
      </c>
      <c r="M160" s="99">
        <f t="shared" ca="1" si="83"/>
        <v>2.643469128</v>
      </c>
      <c r="N160" s="99">
        <f t="shared" ca="1" si="83"/>
        <v>2.69633851056</v>
      </c>
      <c r="O160" s="99">
        <f t="shared" ca="1" si="83"/>
        <v>2.7502652807711998</v>
      </c>
      <c r="P160" s="99">
        <f t="shared" ca="1" si="83"/>
        <v>2.8052705863866239</v>
      </c>
      <c r="Q160" s="99">
        <f t="shared" ca="1" si="83"/>
        <v>2.8613759981143563</v>
      </c>
      <c r="R160" s="99">
        <f t="shared" ca="1" si="83"/>
        <v>2.9186035180766434</v>
      </c>
      <c r="S160" s="99">
        <f t="shared" ca="1" si="83"/>
        <v>2.9769755884381763</v>
      </c>
      <c r="T160" s="99">
        <f t="shared" ca="1" si="83"/>
        <v>3.0365151002069397</v>
      </c>
    </row>
    <row r="161" spans="1:20" x14ac:dyDescent="0.2">
      <c r="A161" s="258" t="s">
        <v>461</v>
      </c>
      <c r="B161" s="59"/>
      <c r="C161" s="94"/>
      <c r="D161" s="94">
        <f>Data!C$220-D$157</f>
        <v>3.0759999999999996</v>
      </c>
      <c r="E161" s="94">
        <f>Data!D$220-E$157</f>
        <v>3.9870000000000001</v>
      </c>
      <c r="F161" s="142">
        <f>Data!E$220-F$157</f>
        <v>4.7650000000000006</v>
      </c>
      <c r="G161" s="142">
        <f>Data!F$220-G$157</f>
        <v>4.7379999999999987</v>
      </c>
      <c r="H161" s="142">
        <f>Data!G$220-H$157</f>
        <v>4.9489999999999998</v>
      </c>
      <c r="I161" s="142">
        <f>Data!H$220-I$157</f>
        <v>4.9740000000000002</v>
      </c>
      <c r="J161" s="142">
        <f>Data!I$220-J$157</f>
        <v>5.0300000000000011</v>
      </c>
      <c r="K161" s="99">
        <f ca="1">J$161*(1+K$215)</f>
        <v>5.1306000000000012</v>
      </c>
      <c r="L161" s="99">
        <f t="shared" ref="L161:T161" ca="1" si="84">K$161*(1+L$215)</f>
        <v>5.2332120000000009</v>
      </c>
      <c r="M161" s="99">
        <f t="shared" ca="1" si="84"/>
        <v>5.3378762400000008</v>
      </c>
      <c r="N161" s="99">
        <f t="shared" ca="1" si="84"/>
        <v>5.4446337648000007</v>
      </c>
      <c r="O161" s="99">
        <f t="shared" ca="1" si="84"/>
        <v>5.5535264400960012</v>
      </c>
      <c r="P161" s="99">
        <f t="shared" ca="1" si="84"/>
        <v>5.6645969688979214</v>
      </c>
      <c r="Q161" s="99">
        <f t="shared" ca="1" si="84"/>
        <v>5.7778889082758802</v>
      </c>
      <c r="R161" s="99">
        <f t="shared" ca="1" si="84"/>
        <v>5.8934466864413979</v>
      </c>
      <c r="S161" s="99">
        <f t="shared" ca="1" si="84"/>
        <v>6.011315620170226</v>
      </c>
      <c r="T161" s="99">
        <f t="shared" ca="1" si="84"/>
        <v>6.1315419325736302</v>
      </c>
    </row>
    <row r="162" spans="1:20" x14ac:dyDescent="0.2">
      <c r="A162" s="258" t="s">
        <v>462</v>
      </c>
      <c r="B162" s="59"/>
      <c r="C162" s="94"/>
      <c r="D162" s="280">
        <f>Data!C$116-D$160</f>
        <v>0.75100000000000011</v>
      </c>
      <c r="E162" s="280">
        <f>Data!D$116-E$160</f>
        <v>0.54800000000000004</v>
      </c>
      <c r="F162" s="186">
        <f>Data!E$116-F$160</f>
        <v>0.57499999999999996</v>
      </c>
      <c r="G162" s="186">
        <f>Data!F$116-G$160</f>
        <v>0.57600000000000007</v>
      </c>
      <c r="H162" s="186">
        <f>Data!G$116-H$160</f>
        <v>0.57899999999999996</v>
      </c>
      <c r="I162" s="186">
        <f>Data!H$116-I$160</f>
        <v>0.58499999999999996</v>
      </c>
      <c r="J162" s="186">
        <f>Data!I$116-J$160</f>
        <v>0.58499999999999996</v>
      </c>
      <c r="K162" s="107">
        <f>J$162</f>
        <v>0.58499999999999996</v>
      </c>
      <c r="L162" s="107">
        <f t="shared" ref="L162:T162" si="85">K$162</f>
        <v>0.58499999999999996</v>
      </c>
      <c r="M162" s="107">
        <f t="shared" si="85"/>
        <v>0.58499999999999996</v>
      </c>
      <c r="N162" s="107">
        <f t="shared" si="85"/>
        <v>0.58499999999999996</v>
      </c>
      <c r="O162" s="107">
        <f t="shared" si="85"/>
        <v>0.58499999999999996</v>
      </c>
      <c r="P162" s="107">
        <f t="shared" si="85"/>
        <v>0.58499999999999996</v>
      </c>
      <c r="Q162" s="107">
        <f t="shared" si="85"/>
        <v>0.58499999999999996</v>
      </c>
      <c r="R162" s="107">
        <f t="shared" si="85"/>
        <v>0.58499999999999996</v>
      </c>
      <c r="S162" s="107">
        <f t="shared" si="85"/>
        <v>0.58499999999999996</v>
      </c>
      <c r="T162" s="107">
        <f t="shared" si="85"/>
        <v>0.58499999999999996</v>
      </c>
    </row>
    <row r="163" spans="1:20" x14ac:dyDescent="0.2">
      <c r="A163" s="43" t="s">
        <v>409</v>
      </c>
      <c r="B163" s="54"/>
      <c r="C163" s="94"/>
      <c r="D163" s="96">
        <f t="shared" ref="D163:T163" si="86">SUM(D$160:D$162)</f>
        <v>4.194</v>
      </c>
      <c r="E163" s="96">
        <f t="shared" si="86"/>
        <v>4.859</v>
      </c>
      <c r="F163" s="187">
        <f t="shared" si="86"/>
        <v>6.112000000000001</v>
      </c>
      <c r="G163" s="187">
        <f t="shared" si="86"/>
        <v>6.8089999999999993</v>
      </c>
      <c r="H163" s="187">
        <f t="shared" si="86"/>
        <v>7.3489999999999993</v>
      </c>
      <c r="I163" s="187">
        <f t="shared" si="86"/>
        <v>7.7150000000000007</v>
      </c>
      <c r="J163" s="187">
        <f t="shared" si="86"/>
        <v>8.1060000000000016</v>
      </c>
      <c r="K163" s="101">
        <f t="shared" ca="1" si="86"/>
        <v>8.2564200000000021</v>
      </c>
      <c r="L163" s="101">
        <f t="shared" ca="1" si="86"/>
        <v>8.4098484000000013</v>
      </c>
      <c r="M163" s="101">
        <f t="shared" ca="1" si="86"/>
        <v>8.5663453680000003</v>
      </c>
      <c r="N163" s="101">
        <f t="shared" ca="1" si="86"/>
        <v>8.7259722753600002</v>
      </c>
      <c r="O163" s="101">
        <f t="shared" ca="1" si="86"/>
        <v>8.8887917208672</v>
      </c>
      <c r="P163" s="101">
        <f t="shared" ca="1" si="86"/>
        <v>9.0548675552845452</v>
      </c>
      <c r="Q163" s="101">
        <f t="shared" ca="1" si="86"/>
        <v>9.2242649063902356</v>
      </c>
      <c r="R163" s="101">
        <f t="shared" ca="1" si="86"/>
        <v>9.3970502045180417</v>
      </c>
      <c r="S163" s="101">
        <f t="shared" ca="1" si="86"/>
        <v>9.5732912086084028</v>
      </c>
      <c r="T163" s="101">
        <f t="shared" ca="1" si="86"/>
        <v>9.7530570327805712</v>
      </c>
    </row>
    <row r="164" spans="1:20" x14ac:dyDescent="0.2">
      <c r="A164" s="251" t="s">
        <v>753</v>
      </c>
      <c r="B164" s="54"/>
      <c r="C164" s="94"/>
      <c r="D164" s="94">
        <f>Data!C$65</f>
        <v>3.637</v>
      </c>
      <c r="E164" s="94">
        <f>Data!D$65</f>
        <v>5.5810000000000004</v>
      </c>
      <c r="F164" s="142">
        <f>Data!E$65</f>
        <v>8.5</v>
      </c>
      <c r="G164" s="142">
        <f>Data!F$65</f>
        <v>9.5</v>
      </c>
      <c r="H164" s="142">
        <f>Data!G$65</f>
        <v>10</v>
      </c>
      <c r="I164" s="142">
        <f>Data!H$65</f>
        <v>10</v>
      </c>
      <c r="J164" s="142">
        <f>Data!I$65</f>
        <v>10</v>
      </c>
      <c r="K164" s="99">
        <f>J$164</f>
        <v>10</v>
      </c>
      <c r="L164" s="99">
        <f t="shared" ref="L164:T164" si="87">K$164</f>
        <v>10</v>
      </c>
      <c r="M164" s="99">
        <f t="shared" si="87"/>
        <v>10</v>
      </c>
      <c r="N164" s="99">
        <f t="shared" si="87"/>
        <v>10</v>
      </c>
      <c r="O164" s="99">
        <f t="shared" si="87"/>
        <v>10</v>
      </c>
      <c r="P164" s="99">
        <f t="shared" si="87"/>
        <v>10</v>
      </c>
      <c r="Q164" s="99">
        <f t="shared" si="87"/>
        <v>10</v>
      </c>
      <c r="R164" s="99">
        <f t="shared" si="87"/>
        <v>10</v>
      </c>
      <c r="S164" s="99">
        <f t="shared" si="87"/>
        <v>10</v>
      </c>
      <c r="T164" s="99">
        <f t="shared" si="87"/>
        <v>10</v>
      </c>
    </row>
    <row r="165" spans="1:20" x14ac:dyDescent="0.2">
      <c r="A165" s="251" t="s">
        <v>754</v>
      </c>
      <c r="B165" s="54"/>
      <c r="C165" s="94"/>
      <c r="D165" s="280">
        <f>SUM(Data!C$61,Data!C$66)-SUM(D$157,D$163)</f>
        <v>2.113999999999999</v>
      </c>
      <c r="E165" s="280">
        <f>SUM(Data!D$61,Data!D$66)-SUM(E$157,E$163)</f>
        <v>-0.42900000000000027</v>
      </c>
      <c r="F165" s="186">
        <f>SUM(Data!E$61,Data!E$66)-SUM(F$157,F$163)</f>
        <v>1.3609999999999989</v>
      </c>
      <c r="G165" s="186">
        <f>SUM(Data!F$61,Data!F$66)-SUM(G$157,G$163)</f>
        <v>1.4379999999999988</v>
      </c>
      <c r="H165" s="186">
        <f>SUM(Data!G$61,Data!G$66)-SUM(H$157,H$163)</f>
        <v>1.1560000000000024</v>
      </c>
      <c r="I165" s="186">
        <f>SUM(Data!H$61,Data!H$66)-SUM(I$157,I$163)</f>
        <v>1.4190000000000005</v>
      </c>
      <c r="J165" s="186">
        <f>SUM(Data!I$61,Data!I$66)-SUM(J$157,J$163)</f>
        <v>1.7900000000000027</v>
      </c>
      <c r="K165" s="107" t="e">
        <f ca="1">J$165*(1+K$212)</f>
        <v>#REF!</v>
      </c>
      <c r="L165" s="107" t="e">
        <f t="shared" ref="L165:T165" ca="1" si="88">K$165*(1+L$212)</f>
        <v>#REF!</v>
      </c>
      <c r="M165" s="107" t="e">
        <f t="shared" ca="1" si="88"/>
        <v>#REF!</v>
      </c>
      <c r="N165" s="107" t="e">
        <f t="shared" ca="1" si="88"/>
        <v>#REF!</v>
      </c>
      <c r="O165" s="107" t="e">
        <f t="shared" ca="1" si="88"/>
        <v>#REF!</v>
      </c>
      <c r="P165" s="107" t="e">
        <f t="shared" ca="1" si="88"/>
        <v>#REF!</v>
      </c>
      <c r="Q165" s="107" t="e">
        <f t="shared" ca="1" si="88"/>
        <v>#REF!</v>
      </c>
      <c r="R165" s="107" t="e">
        <f t="shared" ca="1" si="88"/>
        <v>#REF!</v>
      </c>
      <c r="S165" s="107" t="e">
        <f t="shared" ca="1" si="88"/>
        <v>#REF!</v>
      </c>
      <c r="T165" s="107" t="e">
        <f t="shared" ca="1" si="88"/>
        <v>#REF!</v>
      </c>
    </row>
    <row r="166" spans="1:20" x14ac:dyDescent="0.2">
      <c r="A166" s="43" t="s">
        <v>410</v>
      </c>
      <c r="B166" s="54"/>
      <c r="C166" s="94"/>
      <c r="D166" s="96">
        <f t="shared" ref="D166:T166" si="89">SUM(D$163,D$164,D$165)</f>
        <v>9.9449999999999985</v>
      </c>
      <c r="E166" s="96">
        <f t="shared" si="89"/>
        <v>10.011000000000001</v>
      </c>
      <c r="F166" s="187">
        <f t="shared" si="89"/>
        <v>15.973000000000001</v>
      </c>
      <c r="G166" s="187">
        <f t="shared" si="89"/>
        <v>17.746999999999996</v>
      </c>
      <c r="H166" s="187">
        <f t="shared" si="89"/>
        <v>18.505000000000003</v>
      </c>
      <c r="I166" s="187">
        <f t="shared" si="89"/>
        <v>19.134</v>
      </c>
      <c r="J166" s="187">
        <f t="shared" si="89"/>
        <v>19.896000000000004</v>
      </c>
      <c r="K166" s="101" t="e">
        <f t="shared" ca="1" si="89"/>
        <v>#REF!</v>
      </c>
      <c r="L166" s="101" t="e">
        <f t="shared" ca="1" si="89"/>
        <v>#REF!</v>
      </c>
      <c r="M166" s="101" t="e">
        <f t="shared" ca="1" si="89"/>
        <v>#REF!</v>
      </c>
      <c r="N166" s="101" t="e">
        <f t="shared" ca="1" si="89"/>
        <v>#REF!</v>
      </c>
      <c r="O166" s="101" t="e">
        <f t="shared" ca="1" si="89"/>
        <v>#REF!</v>
      </c>
      <c r="P166" s="101" t="e">
        <f t="shared" ca="1" si="89"/>
        <v>#REF!</v>
      </c>
      <c r="Q166" s="101" t="e">
        <f t="shared" ca="1" si="89"/>
        <v>#REF!</v>
      </c>
      <c r="R166" s="101" t="e">
        <f t="shared" ca="1" si="89"/>
        <v>#REF!</v>
      </c>
      <c r="S166" s="101" t="e">
        <f t="shared" ca="1" si="89"/>
        <v>#REF!</v>
      </c>
      <c r="T166" s="101" t="e">
        <f t="shared" ca="1" si="89"/>
        <v>#REF!</v>
      </c>
    </row>
    <row r="167" spans="1:20" x14ac:dyDescent="0.2">
      <c r="A167" s="43" t="s">
        <v>483</v>
      </c>
      <c r="B167" s="138"/>
      <c r="C167" s="94"/>
      <c r="D167" s="96">
        <f>Data!C$117</f>
        <v>7.59</v>
      </c>
      <c r="E167" s="96">
        <f>Data!D$117</f>
        <v>9.0310000000000006</v>
      </c>
      <c r="F167" s="187">
        <f>Data!E$117</f>
        <v>9.6049999999999986</v>
      </c>
      <c r="G167" s="187">
        <f>Data!F$117</f>
        <v>9.3149999999999995</v>
      </c>
      <c r="H167" s="187">
        <f>Data!G$117</f>
        <v>9.0609999999999999</v>
      </c>
      <c r="I167" s="187">
        <f>Data!H$117</f>
        <v>8.8209999999999997</v>
      </c>
      <c r="J167" s="187">
        <f>Data!I$117</f>
        <v>8.76</v>
      </c>
      <c r="K167" s="101">
        <f ca="1">J$167*(1+K$215)</f>
        <v>8.9352</v>
      </c>
      <c r="L167" s="101">
        <f t="shared" ref="L167:T167" ca="1" si="90">K$167*(1+L$215)</f>
        <v>9.1139039999999998</v>
      </c>
      <c r="M167" s="101">
        <f t="shared" ca="1" si="90"/>
        <v>9.2961820799999995</v>
      </c>
      <c r="N167" s="101">
        <f t="shared" ca="1" si="90"/>
        <v>9.4821057216</v>
      </c>
      <c r="O167" s="101">
        <f t="shared" ca="1" si="90"/>
        <v>9.6717478360320008</v>
      </c>
      <c r="P167" s="101">
        <f t="shared" ca="1" si="90"/>
        <v>9.8651827927526412</v>
      </c>
      <c r="Q167" s="101">
        <f t="shared" ca="1" si="90"/>
        <v>10.062486448607695</v>
      </c>
      <c r="R167" s="101">
        <f t="shared" ca="1" si="90"/>
        <v>10.263736177579849</v>
      </c>
      <c r="S167" s="101">
        <f t="shared" ca="1" si="90"/>
        <v>10.469010901131446</v>
      </c>
      <c r="T167" s="101">
        <f t="shared" ca="1" si="90"/>
        <v>10.678391119154075</v>
      </c>
    </row>
    <row r="168" spans="1:20" x14ac:dyDescent="0.2">
      <c r="A168" s="43" t="s">
        <v>489</v>
      </c>
      <c r="B168" s="138"/>
      <c r="C168" s="94"/>
      <c r="D168" s="96">
        <f>Data!C$62</f>
        <v>12.058</v>
      </c>
      <c r="E168" s="96">
        <f>Data!D$62</f>
        <v>14.157999999999999</v>
      </c>
      <c r="F168" s="187">
        <f>Data!E$62</f>
        <v>14.707999999999998</v>
      </c>
      <c r="G168" s="187">
        <f>Data!F$62</f>
        <v>14.908999999999999</v>
      </c>
      <c r="H168" s="187">
        <f>Data!G$62</f>
        <v>14.886000000000001</v>
      </c>
      <c r="I168" s="187">
        <f>Data!H$62</f>
        <v>14.761999999999999</v>
      </c>
      <c r="J168" s="187">
        <f>Data!I$62</f>
        <v>15.025</v>
      </c>
      <c r="K168" s="101">
        <f ca="1">J$168*(1+K$215)</f>
        <v>15.3255</v>
      </c>
      <c r="L168" s="101">
        <f t="shared" ref="L168:T168" ca="1" si="91">K$168*(1+L$215)</f>
        <v>15.632009999999999</v>
      </c>
      <c r="M168" s="101">
        <f t="shared" ca="1" si="91"/>
        <v>15.9446502</v>
      </c>
      <c r="N168" s="101">
        <f t="shared" ca="1" si="91"/>
        <v>16.263543204000001</v>
      </c>
      <c r="O168" s="101">
        <f t="shared" ca="1" si="91"/>
        <v>16.588814068080001</v>
      </c>
      <c r="P168" s="101">
        <f t="shared" ca="1" si="91"/>
        <v>16.920590349441603</v>
      </c>
      <c r="Q168" s="101">
        <f t="shared" ca="1" si="91"/>
        <v>17.259002156430437</v>
      </c>
      <c r="R168" s="101">
        <f t="shared" ca="1" si="91"/>
        <v>17.604182199559045</v>
      </c>
      <c r="S168" s="101">
        <f t="shared" ca="1" si="91"/>
        <v>17.956265843550227</v>
      </c>
      <c r="T168" s="101">
        <f t="shared" ca="1" si="91"/>
        <v>18.315391160421232</v>
      </c>
    </row>
    <row r="169" spans="1:20" x14ac:dyDescent="0.2">
      <c r="B169" s="59"/>
      <c r="C169" s="94"/>
      <c r="D169" s="100"/>
      <c r="E169" s="100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  <c r="T169" s="191"/>
    </row>
    <row r="170" spans="1:20" x14ac:dyDescent="0.2">
      <c r="A170" s="147" t="s">
        <v>666</v>
      </c>
      <c r="B170" s="59"/>
      <c r="C170" s="94"/>
      <c r="D170" s="94"/>
      <c r="E170" s="9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</row>
    <row r="171" spans="1:20" x14ac:dyDescent="0.2">
      <c r="A171" s="43" t="s">
        <v>254</v>
      </c>
      <c r="B171" s="54"/>
      <c r="C171" s="94"/>
      <c r="D171" s="96">
        <f>Data!C$119</f>
        <v>26.213000000000001</v>
      </c>
      <c r="E171" s="96">
        <f ca="1">Data!D$119+IF(OFFSET(Scenarios!$A$69,0,$C$1)="Yes",E$176,0)</f>
        <v>28.637</v>
      </c>
      <c r="F171" s="187">
        <f ca="1">Data!E$119+IF(OFFSET(Scenarios!$A$69,0,$C$1)="Yes",F$176,0)</f>
        <v>29.236000000000001</v>
      </c>
      <c r="G171" s="187">
        <f ca="1">Data!F$119+IF(OFFSET(Scenarios!$A$69,0,$C$1)="Yes",G$176,0)</f>
        <v>29.542000000000002</v>
      </c>
      <c r="H171" s="187">
        <f ca="1">Data!G$119+IF(OFFSET(Scenarios!$A$69,0,$C$1)="Yes",H$176,0)</f>
        <v>29.497</v>
      </c>
      <c r="I171" s="187">
        <f ca="1">Data!H$119+IF(OFFSET(Scenarios!$A$69,0,$C$1)="Yes",I$176,0)</f>
        <v>29.256</v>
      </c>
      <c r="J171" s="187">
        <f ca="1">Data!I$119+IF(OFFSET(Scenarios!$A$69,0,$C$1)="Yes",J$176,0)</f>
        <v>29.085000000000001</v>
      </c>
      <c r="K171" s="101">
        <f ca="1">J$171+IF(OFFSET(Scenarios!$A$69,0,$C$1)="Yes",(K$176-J$176),0)</f>
        <v>29.085000000000001</v>
      </c>
      <c r="L171" s="101">
        <f ca="1">K$171+IF(OFFSET(Scenarios!$A$69,0,$C$1)="Yes",(L$176-K$176),0)</f>
        <v>29.085000000000001</v>
      </c>
      <c r="M171" s="101">
        <f ca="1">L$171+IF(OFFSET(Scenarios!$A$69,0,$C$1)="Yes",(M$176-L$176),0)</f>
        <v>29.085000000000001</v>
      </c>
      <c r="N171" s="101">
        <f ca="1">M$171+IF(OFFSET(Scenarios!$A$69,0,$C$1)="Yes",(N$176-M$176),0)</f>
        <v>29.085000000000001</v>
      </c>
      <c r="O171" s="101">
        <f ca="1">N$171+IF(OFFSET(Scenarios!$A$69,0,$C$1)="Yes",(O$176-N$176),0)</f>
        <v>29.085000000000001</v>
      </c>
      <c r="P171" s="101">
        <f ca="1">O$171+IF(OFFSET(Scenarios!$A$69,0,$C$1)="Yes",(P$176-O$176),0)</f>
        <v>29.085000000000001</v>
      </c>
      <c r="Q171" s="101">
        <f ca="1">P$171+IF(OFFSET(Scenarios!$A$69,0,$C$1)="Yes",(Q$176-P$176),0)</f>
        <v>29.085000000000001</v>
      </c>
      <c r="R171" s="101">
        <f ca="1">Q$171+IF(OFFSET(Scenarios!$A$69,0,$C$1)="Yes",(R$176-Q$176),0)</f>
        <v>29.085000000000001</v>
      </c>
      <c r="S171" s="101">
        <f ca="1">R$171+IF(OFFSET(Scenarios!$A$69,0,$C$1)="Yes",(S$176-R$176),0)</f>
        <v>29.085000000000001</v>
      </c>
      <c r="T171" s="101">
        <f ca="1">S$171+IF(OFFSET(Scenarios!$A$69,0,$C$1)="Yes",(T$176-S$176),0)</f>
        <v>29.085000000000001</v>
      </c>
    </row>
    <row r="172" spans="1:20" x14ac:dyDescent="0.2">
      <c r="A172" s="259" t="s">
        <v>665</v>
      </c>
      <c r="B172" s="59"/>
      <c r="C172" s="94"/>
      <c r="D172" s="280">
        <f>SUM(Data!C$120,Data!C$121)</f>
        <v>69.385000000000005</v>
      </c>
      <c r="E172" s="280">
        <f>SUM(Data!D$120,Data!D$121)</f>
        <v>74.692000000000007</v>
      </c>
      <c r="F172" s="186">
        <f>SUM(Data!E$120,Data!E$121)</f>
        <v>78.658999999999992</v>
      </c>
      <c r="G172" s="186">
        <f>SUM(Data!F$120,Data!F$121)</f>
        <v>80.855999999999995</v>
      </c>
      <c r="H172" s="186">
        <f>SUM(Data!G$120,Data!G$121)</f>
        <v>83.282000000000011</v>
      </c>
      <c r="I172" s="186">
        <f>SUM(Data!H$120,Data!H$121)</f>
        <v>85.245000000000005</v>
      </c>
      <c r="J172" s="186">
        <f>SUM(Data!I$120,Data!I$121)</f>
        <v>87.858000000000004</v>
      </c>
      <c r="K172" s="107" t="e">
        <f ca="1">J$172 + (K$27-K$34-J$27+J$34) + (K$28-K$35-J$28+J$35) + (K$16-K$23) - SUM(K$145,K$146,-K$147,K$166-K$163,K$168-K$167,K$183-K$182) + SUM(J$145,J$146,-J$147,J$166-J$163,J$168-J$167,J$183-J$182)</f>
        <v>#REF!</v>
      </c>
      <c r="L172" s="107" t="e">
        <f t="shared" ref="L172:T172" ca="1" si="92">K$172 + (L$27-L$34-K$27+K$34) + (L$28-L$35-K$28+K$35) + (L$16-L$23) - SUM(L$145,L$146,-L$147,L$166-L$163,L$168-L$167,L$183-L$182) + SUM(K$145,K$146,-K$147,K$166-K$163,K$168-K$167,K$183-K$182)</f>
        <v>#REF!</v>
      </c>
      <c r="M172" s="107" t="e">
        <f t="shared" ca="1" si="92"/>
        <v>#REF!</v>
      </c>
      <c r="N172" s="107" t="e">
        <f t="shared" ca="1" si="92"/>
        <v>#REF!</v>
      </c>
      <c r="O172" s="107" t="e">
        <f t="shared" ca="1" si="92"/>
        <v>#REF!</v>
      </c>
      <c r="P172" s="107" t="e">
        <f t="shared" ca="1" si="92"/>
        <v>#REF!</v>
      </c>
      <c r="Q172" s="107" t="e">
        <f t="shared" ca="1" si="92"/>
        <v>#REF!</v>
      </c>
      <c r="R172" s="107" t="e">
        <f t="shared" ca="1" si="92"/>
        <v>#REF!</v>
      </c>
      <c r="S172" s="107" t="e">
        <f t="shared" ca="1" si="92"/>
        <v>#REF!</v>
      </c>
      <c r="T172" s="107" t="e">
        <f t="shared" ca="1" si="92"/>
        <v>#REF!</v>
      </c>
    </row>
    <row r="173" spans="1:20" x14ac:dyDescent="0.2">
      <c r="A173" s="43" t="s">
        <v>255</v>
      </c>
      <c r="B173" s="59"/>
      <c r="C173" s="94"/>
      <c r="D173" s="96">
        <f t="shared" ref="D173:T173" si="93">SUM(D$171,D$172)</f>
        <v>95.598000000000013</v>
      </c>
      <c r="E173" s="96">
        <f t="shared" ca="1" si="93"/>
        <v>103.32900000000001</v>
      </c>
      <c r="F173" s="187">
        <f t="shared" ca="1" si="93"/>
        <v>107.895</v>
      </c>
      <c r="G173" s="187">
        <f t="shared" ca="1" si="93"/>
        <v>110.398</v>
      </c>
      <c r="H173" s="187">
        <f t="shared" ca="1" si="93"/>
        <v>112.77900000000001</v>
      </c>
      <c r="I173" s="187">
        <f t="shared" ca="1" si="93"/>
        <v>114.501</v>
      </c>
      <c r="J173" s="187">
        <f t="shared" ca="1" si="93"/>
        <v>116.94300000000001</v>
      </c>
      <c r="K173" s="101" t="e">
        <f t="shared" ca="1" si="93"/>
        <v>#REF!</v>
      </c>
      <c r="L173" s="101" t="e">
        <f t="shared" ca="1" si="93"/>
        <v>#REF!</v>
      </c>
      <c r="M173" s="101" t="e">
        <f t="shared" ca="1" si="93"/>
        <v>#REF!</v>
      </c>
      <c r="N173" s="101" t="e">
        <f t="shared" ca="1" si="93"/>
        <v>#REF!</v>
      </c>
      <c r="O173" s="101" t="e">
        <f t="shared" ca="1" si="93"/>
        <v>#REF!</v>
      </c>
      <c r="P173" s="101" t="e">
        <f t="shared" ca="1" si="93"/>
        <v>#REF!</v>
      </c>
      <c r="Q173" s="101" t="e">
        <f t="shared" ca="1" si="93"/>
        <v>#REF!</v>
      </c>
      <c r="R173" s="101" t="e">
        <f t="shared" ca="1" si="93"/>
        <v>#REF!</v>
      </c>
      <c r="S173" s="101" t="e">
        <f t="shared" ca="1" si="93"/>
        <v>#REF!</v>
      </c>
      <c r="T173" s="101" t="e">
        <f t="shared" ca="1" si="93"/>
        <v>#REF!</v>
      </c>
    </row>
    <row r="174" spans="1:20" x14ac:dyDescent="0.2">
      <c r="A174" s="43"/>
      <c r="B174" s="59"/>
      <c r="C174" s="94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</row>
    <row r="175" spans="1:20" x14ac:dyDescent="0.2">
      <c r="A175" s="147" t="s">
        <v>667</v>
      </c>
      <c r="B175" s="103"/>
      <c r="C175" s="94"/>
      <c r="D175" s="96">
        <f ca="1">IF(OFFSET(Scenarios!$A$69,0,$C$1)="Yes",0,D$176-C$176)</f>
        <v>0</v>
      </c>
      <c r="E175" s="96">
        <f ca="1">IF(OFFSET(Scenarios!$A$69,0,$C$1)="Yes",0,E$176-D$176)</f>
        <v>0</v>
      </c>
      <c r="F175" s="187">
        <f ca="1">IF(OFFSET(Scenarios!$A$69,0,$C$1)="Yes",0,F$176-E$176)</f>
        <v>0.184</v>
      </c>
      <c r="G175" s="187">
        <f ca="1">IF(OFFSET(Scenarios!$A$69,0,$C$1)="Yes",0,G$176-F$176)</f>
        <v>0.70599999999999996</v>
      </c>
      <c r="H175" s="187">
        <f ca="1">IF(OFFSET(Scenarios!$A$69,0,$C$1)="Yes",0,H$176-G$176)</f>
        <v>1.0419999999999998</v>
      </c>
      <c r="I175" s="187">
        <f ca="1">IF(OFFSET(Scenarios!$A$69,0,$C$1)="Yes",0,I$176-H$176)</f>
        <v>1.3800000000000003</v>
      </c>
      <c r="J175" s="187">
        <f ca="1">IF(OFFSET(Scenarios!$A$69,0,$C$1)="Yes",0,J$176-I$176)</f>
        <v>1.71</v>
      </c>
      <c r="K175" s="101">
        <f ca="1">IF(OFFSET(Scenarios!$A$37,0,$C$1)="Yes",Tracks!B$124,IF(OFFSET(Scenarios!$A$69,0,$C$1)="Yes",0,IF(K$1="Proj Yr1",OFFSET(Scenarios!$A$32,0,$C$1),J$175*(1+IF(OFFSET(Scenarios!$A$36,0,$C$1)="GDP",K$212,IF(OFFSET(Scenarios!$A$36,0,$C$1)="CPI",K$215,0))))))</f>
        <v>1.65</v>
      </c>
      <c r="L175" s="101">
        <f ca="1">IF(OFFSET(Scenarios!$A$37,0,$C$1)="Yes",Tracks!C$124,IF(OFFSET(Scenarios!$A$69,0,$C$1)="Yes",0,IF(L$1="Proj Yr1",OFFSET(Scenarios!$A$32,0,$C$1),K$175*(1+IF(OFFSET(Scenarios!$A$36,0,$C$1)="GDP",L$212,IF(OFFSET(Scenarios!$A$36,0,$C$1)="CPI",L$215,0))))))</f>
        <v>1.65</v>
      </c>
      <c r="M175" s="101">
        <f ca="1">IF(OFFSET(Scenarios!$A$37,0,$C$1)="Yes",Tracks!D$124,IF(OFFSET(Scenarios!$A$69,0,$C$1)="Yes",0,IF(M$1="Proj Yr1",OFFSET(Scenarios!$A$32,0,$C$1),L$175*(1+IF(OFFSET(Scenarios!$A$36,0,$C$1)="GDP",M$212,IF(OFFSET(Scenarios!$A$36,0,$C$1)="CPI",M$215,0))))))</f>
        <v>1.65</v>
      </c>
      <c r="N175" s="101">
        <f ca="1">IF(OFFSET(Scenarios!$A$37,0,$C$1)="Yes",Tracks!E$124,IF(OFFSET(Scenarios!$A$69,0,$C$1)="Yes",0,IF(N$1="Proj Yr1",OFFSET(Scenarios!$A$32,0,$C$1),M$175*(1+IF(OFFSET(Scenarios!$A$36,0,$C$1)="GDP",N$212,IF(OFFSET(Scenarios!$A$36,0,$C$1)="CPI",N$215,0))))))</f>
        <v>0.95508719999999991</v>
      </c>
      <c r="O175" s="101">
        <f ca="1">IF(OFFSET(Scenarios!$A$69,0,$C$1)="Yes",0,IF(O$1="Proj Yr1",OFFSET(Scenarios!$A$32,0,$C$1),N$175*(1+IF(OFFSET(Scenarios!$A$36,0,$C$1)="GDP",O$212,IF(OFFSET(Scenarios!$A$36,0,$C$1)="CPI",O$215,0)))))</f>
        <v>0.97418894399999989</v>
      </c>
      <c r="P175" s="101">
        <f ca="1">IF(OFFSET(Scenarios!$A$69,0,$C$1)="Yes",0,IF(P$1="Proj Yr1",OFFSET(Scenarios!$A$32,0,$C$1),O$175*(1+IF(OFFSET(Scenarios!$A$36,0,$C$1)="GDP",P$212,IF(OFFSET(Scenarios!$A$36,0,$C$1)="CPI",P$215,0)))))</f>
        <v>0.99367272287999986</v>
      </c>
      <c r="Q175" s="101">
        <f ca="1">IF(OFFSET(Scenarios!$A$37,0,$C$1)="Yes",Tracks!H$124,IF(OFFSET(Scenarios!$A$69,0,$C$1)="Yes",0,IF(Q$1="Proj Yr1",OFFSET(Scenarios!$A$32,0,$C$1),P$175*(1+IF(OFFSET(Scenarios!$A$36,0,$C$1)="GDP",Q$212,IF(OFFSET(Scenarios!$A$36,0,$C$1)="CPI",Q$215,0))))))</f>
        <v>1.0135461773376</v>
      </c>
      <c r="R175" s="101">
        <f ca="1">IF(OFFSET(Scenarios!$A$37,0,$C$1)="Yes",Tracks!I$124,IF(OFFSET(Scenarios!$A$69,0,$C$1)="Yes",0,IF(R$1="Proj Yr1",OFFSET(Scenarios!$A$32,0,$C$1),Q$175*(1+IF(OFFSET(Scenarios!$A$36,0,$C$1)="GDP",R$212,IF(OFFSET(Scenarios!$A$36,0,$C$1)="CPI",R$215,0))))))</f>
        <v>1.033817100884352</v>
      </c>
      <c r="S175" s="101">
        <f ca="1">IF(OFFSET(Scenarios!$A$37,0,$C$1)="Yes",Tracks!J$124,IF(OFFSET(Scenarios!$A$69,0,$C$1)="Yes",0,IF(S$1="Proj Yr1",OFFSET(Scenarios!$A$32,0,$C$1),R$175*(1+IF(OFFSET(Scenarios!$A$36,0,$C$1)="GDP",S$212,IF(OFFSET(Scenarios!$A$36,0,$C$1)="CPI",S$215,0))))))</f>
        <v>1.0544934429020389</v>
      </c>
      <c r="T175" s="101">
        <f ca="1">IF(OFFSET(Scenarios!$A$37,0,$C$1)="Yes",Tracks!K$124,IF(OFFSET(Scenarios!$A$69,0,$C$1)="Yes",0,IF(T$1="Proj Yr1",OFFSET(Scenarios!$A$32,0,$C$1),S$175*(1+IF(OFFSET(Scenarios!$A$36,0,$C$1)="GDP",T$212,IF(OFFSET(Scenarios!$A$36,0,$C$1)="CPI",T$215,0))))))</f>
        <v>1.0755833117600797</v>
      </c>
    </row>
    <row r="176" spans="1:20" x14ac:dyDescent="0.2">
      <c r="A176" s="47" t="s">
        <v>390</v>
      </c>
      <c r="B176" s="103"/>
      <c r="C176" s="94"/>
      <c r="D176" s="94">
        <f>Data!C$72</f>
        <v>0</v>
      </c>
      <c r="E176" s="94">
        <f>Data!D$72</f>
        <v>0</v>
      </c>
      <c r="F176" s="142">
        <f>Data!E$72</f>
        <v>0.184</v>
      </c>
      <c r="G176" s="142">
        <f>Data!F$72</f>
        <v>0.89</v>
      </c>
      <c r="H176" s="142">
        <f>Data!G$72</f>
        <v>1.9319999999999999</v>
      </c>
      <c r="I176" s="142">
        <f>Data!H$72</f>
        <v>3.3120000000000003</v>
      </c>
      <c r="J176" s="142">
        <f>Data!I$72</f>
        <v>5.0220000000000002</v>
      </c>
      <c r="K176" s="136">
        <f ca="1">J$176+IF(K$1="Proj Yr1",OFFSET(Scenarios!$A$32,0,$C$1),(J$176-I$176)*(1+IF(OFFSET(Scenarios!$A$36,0,$C$1)="GDP",K$212,IF(OFFSET(Scenarios!$A$36,0,$C$1)="CPI",K$215,0))))</f>
        <v>5.9220000000000006</v>
      </c>
      <c r="L176" s="136">
        <f ca="1">K$176+IF(L$1="Proj Yr1",OFFSET(Scenarios!$A$32,0,$C$1),(K$176-J$176)*(1+IF(OFFSET(Scenarios!$A$36,0,$C$1)="GDP",L$212,IF(OFFSET(Scenarios!$A$36,0,$C$1)="CPI",L$215,0))))</f>
        <v>6.8400000000000007</v>
      </c>
      <c r="M176" s="136">
        <f ca="1">L$176+IF(M$1="Proj Yr1",OFFSET(Scenarios!$A$32,0,$C$1),(L$176-K$176)*(1+IF(OFFSET(Scenarios!$A$36,0,$C$1)="GDP",M$212,IF(OFFSET(Scenarios!$A$36,0,$C$1)="CPI",M$215,0))))</f>
        <v>7.7763600000000013</v>
      </c>
      <c r="N176" s="136">
        <f ca="1">M$176+IF(N$1="Proj Yr1",OFFSET(Scenarios!$A$32,0,$C$1),(M$176-L$176)*(1+IF(OFFSET(Scenarios!$A$36,0,$C$1)="GDP",N$212,IF(OFFSET(Scenarios!$A$36,0,$C$1)="CPI",N$215,0))))</f>
        <v>8.7314472000000016</v>
      </c>
      <c r="O176" s="136">
        <f ca="1">N$176+IF(O$1="Proj Yr1",OFFSET(Scenarios!$A$32,0,$C$1),(N$176-M$176)*(1+IF(OFFSET(Scenarios!$A$36,0,$C$1)="GDP",O$212,IF(OFFSET(Scenarios!$A$36,0,$C$1)="CPI",O$215,0))))</f>
        <v>9.7056361440000014</v>
      </c>
      <c r="P176" s="136">
        <f ca="1">O$176+IF(P$1="Proj Yr1",OFFSET(Scenarios!$A$32,0,$C$1),(O$176-N$176)*(1+IF(OFFSET(Scenarios!$A$36,0,$C$1)="GDP",P$212,IF(OFFSET(Scenarios!$A$36,0,$C$1)="CPI",P$215,0))))</f>
        <v>10.699308866880001</v>
      </c>
      <c r="Q176" s="136">
        <f ca="1">P$176+IF(Q$1="Proj Yr1",OFFSET(Scenarios!$A$32,0,$C$1),(P$176-O$176)*(1+IF(OFFSET(Scenarios!$A$36,0,$C$1)="GDP",Q$212,IF(OFFSET(Scenarios!$A$36,0,$C$1)="CPI",Q$215,0))))</f>
        <v>11.712855044217601</v>
      </c>
      <c r="R176" s="136">
        <f ca="1">Q$176+IF(R$1="Proj Yr1",OFFSET(Scenarios!$A$32,0,$C$1),(Q$176-P$176)*(1+IF(OFFSET(Scenarios!$A$36,0,$C$1)="GDP",R$212,IF(OFFSET(Scenarios!$A$36,0,$C$1)="CPI",R$215,0))))</f>
        <v>12.746672145101954</v>
      </c>
      <c r="S176" s="136">
        <f ca="1">R$176+IF(S$1="Proj Yr1",OFFSET(Scenarios!$A$32,0,$C$1),(R$176-Q$176)*(1+IF(OFFSET(Scenarios!$A$36,0,$C$1)="GDP",S$212,IF(OFFSET(Scenarios!$A$36,0,$C$1)="CPI",S$215,0))))</f>
        <v>13.801165588003993</v>
      </c>
      <c r="T176" s="136">
        <f ca="1">S$176+IF(T$1="Proj Yr1",OFFSET(Scenarios!$A$32,0,$C$1),(S$176-R$176)*(1+IF(OFFSET(Scenarios!$A$36,0,$C$1)="GDP",T$212,IF(OFFSET(Scenarios!$A$36,0,$C$1)="CPI",T$215,0))))</f>
        <v>14.876748899764074</v>
      </c>
    </row>
    <row r="177" spans="1:20" x14ac:dyDescent="0.2">
      <c r="A177" s="43"/>
      <c r="B177" s="103"/>
      <c r="C177" s="94"/>
      <c r="D177" s="137"/>
      <c r="E177" s="137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</row>
    <row r="178" spans="1:20" x14ac:dyDescent="0.2">
      <c r="A178" s="147" t="s">
        <v>668</v>
      </c>
      <c r="B178" s="10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</row>
    <row r="179" spans="1:20" x14ac:dyDescent="0.2">
      <c r="A179" s="258" t="s">
        <v>485</v>
      </c>
      <c r="B179" s="103"/>
      <c r="C179" s="94"/>
      <c r="D179" s="94">
        <f>Data!C$122</f>
        <v>25.048999999999999</v>
      </c>
      <c r="E179" s="94">
        <f>Data!D$122</f>
        <v>25.696000000000002</v>
      </c>
      <c r="F179" s="142">
        <f>Data!E$122</f>
        <v>27.106999999999999</v>
      </c>
      <c r="G179" s="142">
        <f>Data!F$122</f>
        <v>27.501000000000001</v>
      </c>
      <c r="H179" s="142">
        <f>Data!G$122</f>
        <v>27.895</v>
      </c>
      <c r="I179" s="142">
        <f>Data!H$122</f>
        <v>28.150000000000002</v>
      </c>
      <c r="J179" s="142">
        <f>Data!I$122</f>
        <v>28.214000000000002</v>
      </c>
      <c r="K179" s="99">
        <f t="shared" ref="K179:T179" si="94">J$179*IF(K$1="Proj Yr1",AVERAGE(H$179/G$179,I$179/H$179,J$179/I$179),J$179/I$179)</f>
        <v>28.456092198072195</v>
      </c>
      <c r="L179" s="99">
        <f t="shared" si="94"/>
        <v>28.700261685162868</v>
      </c>
      <c r="M179" s="99">
        <f t="shared" si="94"/>
        <v>28.946526285595567</v>
      </c>
      <c r="N179" s="99">
        <f t="shared" si="94"/>
        <v>29.194903976636692</v>
      </c>
      <c r="O179" s="99">
        <f t="shared" si="94"/>
        <v>29.445412889807834</v>
      </c>
      <c r="P179" s="99">
        <f t="shared" si="94"/>
        <v>29.698071312209368</v>
      </c>
      <c r="Q179" s="99">
        <f t="shared" si="94"/>
        <v>29.952897687855412</v>
      </c>
      <c r="R179" s="99">
        <f t="shared" si="94"/>
        <v>30.209910619020238</v>
      </c>
      <c r="S179" s="99">
        <f t="shared" si="94"/>
        <v>30.469128867596233</v>
      </c>
      <c r="T179" s="99">
        <f t="shared" si="94"/>
        <v>30.730571356463507</v>
      </c>
    </row>
    <row r="180" spans="1:20" x14ac:dyDescent="0.2">
      <c r="A180" s="258" t="s">
        <v>256</v>
      </c>
      <c r="B180" s="103"/>
      <c r="C180" s="94"/>
      <c r="D180" s="94">
        <f>SUM(Data!C$73,Data!C$123,Data!C$125)</f>
        <v>1.8660000000000001</v>
      </c>
      <c r="E180" s="94">
        <f>SUM(Data!D$73,Data!D$123,Data!D$125)</f>
        <v>2.2199999999999998</v>
      </c>
      <c r="F180" s="142">
        <f>SUM(Data!E$73,Data!E$123,Data!E$125)</f>
        <v>1.478</v>
      </c>
      <c r="G180" s="142">
        <f>SUM(Data!F$73,Data!F$123,Data!F$125)</f>
        <v>1.585</v>
      </c>
      <c r="H180" s="142">
        <f>SUM(Data!G$73,Data!G$123,Data!G$125)</f>
        <v>1.6760000000000002</v>
      </c>
      <c r="I180" s="142">
        <f>SUM(Data!H$73,Data!H$123,Data!H$125)</f>
        <v>1.7079999999999997</v>
      </c>
      <c r="J180" s="142">
        <f>SUM(Data!I$73,Data!I$123,Data!I$125)</f>
        <v>2.0619999999999998</v>
      </c>
      <c r="K180" s="99">
        <f ca="1">J$180*(1+K$215)</f>
        <v>2.10324</v>
      </c>
      <c r="L180" s="99">
        <f t="shared" ref="L180:T180" ca="1" si="95">K$180*(1+L$215)</f>
        <v>2.1453047999999999</v>
      </c>
      <c r="M180" s="99">
        <f t="shared" ca="1" si="95"/>
        <v>2.1882108959999997</v>
      </c>
      <c r="N180" s="99">
        <f t="shared" ca="1" si="95"/>
        <v>2.2319751139199999</v>
      </c>
      <c r="O180" s="99">
        <f t="shared" ca="1" si="95"/>
        <v>2.2766146161983998</v>
      </c>
      <c r="P180" s="99">
        <f t="shared" ca="1" si="95"/>
        <v>2.3221469085223676</v>
      </c>
      <c r="Q180" s="99">
        <f t="shared" ca="1" si="95"/>
        <v>2.368589846692815</v>
      </c>
      <c r="R180" s="99">
        <f t="shared" ca="1" si="95"/>
        <v>2.4159616436266713</v>
      </c>
      <c r="S180" s="99">
        <f t="shared" ca="1" si="95"/>
        <v>2.4642808764992048</v>
      </c>
      <c r="T180" s="99">
        <f t="shared" ca="1" si="95"/>
        <v>2.5135664940291891</v>
      </c>
    </row>
    <row r="181" spans="1:20" x14ac:dyDescent="0.2">
      <c r="A181" s="258" t="s">
        <v>133</v>
      </c>
      <c r="B181" s="103"/>
      <c r="C181" s="94"/>
      <c r="D181" s="280">
        <f>Data!C$124</f>
        <v>0</v>
      </c>
      <c r="E181" s="280">
        <f>Data!D$124</f>
        <v>0</v>
      </c>
      <c r="F181" s="186">
        <f>Data!E$124</f>
        <v>0</v>
      </c>
      <c r="G181" s="186">
        <f>Data!F$124</f>
        <v>0</v>
      </c>
      <c r="H181" s="186">
        <f>Data!G$124</f>
        <v>0</v>
      </c>
      <c r="I181" s="186">
        <f>Data!H$124</f>
        <v>0</v>
      </c>
      <c r="J181" s="186">
        <f>Data!I$124</f>
        <v>0</v>
      </c>
      <c r="K181" s="107">
        <f>Tracks!H$118/1000</f>
        <v>0</v>
      </c>
      <c r="L181" s="107">
        <f>Tracks!I$118/1000</f>
        <v>0</v>
      </c>
      <c r="M181" s="107">
        <f>Tracks!J$118/1000</f>
        <v>0</v>
      </c>
      <c r="N181" s="107">
        <f>Tracks!K$118/1000</f>
        <v>0</v>
      </c>
      <c r="O181" s="107">
        <f>Tracks!L$118/1000</f>
        <v>0</v>
      </c>
      <c r="P181" s="107">
        <f>Tracks!M$118/1000</f>
        <v>0</v>
      </c>
      <c r="Q181" s="107">
        <f>Tracks!N$118/1000</f>
        <v>0</v>
      </c>
      <c r="R181" s="107">
        <f>Tracks!O$118/1000</f>
        <v>0</v>
      </c>
      <c r="S181" s="107">
        <f>Tracks!P$118/1000</f>
        <v>0</v>
      </c>
      <c r="T181" s="107">
        <f>Tracks!Q$118/1000</f>
        <v>0</v>
      </c>
    </row>
    <row r="182" spans="1:20" x14ac:dyDescent="0.2">
      <c r="A182" s="43" t="s">
        <v>670</v>
      </c>
      <c r="B182" s="103"/>
      <c r="C182" s="94"/>
      <c r="D182" s="96">
        <f t="shared" ref="D182:T182" si="96">SUM(D$179:D$181)</f>
        <v>26.914999999999999</v>
      </c>
      <c r="E182" s="96">
        <f t="shared" si="96"/>
        <v>27.916</v>
      </c>
      <c r="F182" s="187">
        <f t="shared" si="96"/>
        <v>28.585000000000001</v>
      </c>
      <c r="G182" s="187">
        <f t="shared" si="96"/>
        <v>29.086000000000002</v>
      </c>
      <c r="H182" s="187">
        <f t="shared" si="96"/>
        <v>29.570999999999998</v>
      </c>
      <c r="I182" s="187">
        <f t="shared" si="96"/>
        <v>29.858000000000001</v>
      </c>
      <c r="J182" s="187">
        <f t="shared" si="96"/>
        <v>30.276000000000003</v>
      </c>
      <c r="K182" s="101">
        <f t="shared" ca="1" si="96"/>
        <v>30.559332198072195</v>
      </c>
      <c r="L182" s="101">
        <f t="shared" ca="1" si="96"/>
        <v>30.84556648516287</v>
      </c>
      <c r="M182" s="101">
        <f t="shared" ca="1" si="96"/>
        <v>31.134737181595568</v>
      </c>
      <c r="N182" s="101">
        <f t="shared" ca="1" si="96"/>
        <v>31.426879090556692</v>
      </c>
      <c r="O182" s="101">
        <f t="shared" ca="1" si="96"/>
        <v>31.722027506006235</v>
      </c>
      <c r="P182" s="101">
        <f t="shared" ca="1" si="96"/>
        <v>32.020218220731735</v>
      </c>
      <c r="Q182" s="101">
        <f t="shared" ca="1" si="96"/>
        <v>32.321487534548226</v>
      </c>
      <c r="R182" s="101">
        <f t="shared" ca="1" si="96"/>
        <v>32.625872262646908</v>
      </c>
      <c r="S182" s="101">
        <f t="shared" ca="1" si="96"/>
        <v>32.933409744095435</v>
      </c>
      <c r="T182" s="101">
        <f t="shared" ca="1" si="96"/>
        <v>33.244137850492699</v>
      </c>
    </row>
    <row r="183" spans="1:20" x14ac:dyDescent="0.2">
      <c r="A183" s="43" t="s">
        <v>671</v>
      </c>
      <c r="B183" s="103"/>
      <c r="C183" s="94"/>
      <c r="D183" s="96">
        <f>SUM(Data!C$67,Data!C$68,Data!C$70,Data!C$71,Data!C$73)</f>
        <v>11.030999999999999</v>
      </c>
      <c r="E183" s="96">
        <f>SUM(Data!D$67,Data!D$68,Data!D$70,Data!D$71,Data!D$73)</f>
        <v>12.443</v>
      </c>
      <c r="F183" s="187">
        <f>SUM(Data!E$67,Data!E$68,Data!E$70,Data!E$71,Data!E$73)</f>
        <v>12.846</v>
      </c>
      <c r="G183" s="187">
        <f>SUM(Data!F$67,Data!F$68,Data!F$70,Data!F$71,Data!F$73)</f>
        <v>13.439</v>
      </c>
      <c r="H183" s="187">
        <f>SUM(Data!G$67,Data!G$68,Data!G$70,Data!G$71,Data!G$73)</f>
        <v>14.148999999999999</v>
      </c>
      <c r="I183" s="187">
        <f>SUM(Data!H$67,Data!H$68,Data!H$70,Data!H$71,Data!H$73)</f>
        <v>14.560000000000002</v>
      </c>
      <c r="J183" s="187">
        <f>SUM(Data!I$67,Data!I$68,Data!I$70,Data!I$71,Data!I$73)</f>
        <v>15.263000000000002</v>
      </c>
      <c r="K183" s="101">
        <f ca="1">J$183*(1+K$215)</f>
        <v>15.568260000000002</v>
      </c>
      <c r="L183" s="101">
        <f t="shared" ref="L183:T183" ca="1" si="97">K$183*(1+L$215)</f>
        <v>15.879625200000003</v>
      </c>
      <c r="M183" s="101">
        <f t="shared" ca="1" si="97"/>
        <v>16.197217704000003</v>
      </c>
      <c r="N183" s="101">
        <f t="shared" ca="1" si="97"/>
        <v>16.521162058080005</v>
      </c>
      <c r="O183" s="101">
        <f t="shared" ca="1" si="97"/>
        <v>16.851585299241606</v>
      </c>
      <c r="P183" s="101">
        <f t="shared" ca="1" si="97"/>
        <v>17.188617005226437</v>
      </c>
      <c r="Q183" s="101">
        <f t="shared" ca="1" si="97"/>
        <v>17.532389345330966</v>
      </c>
      <c r="R183" s="101">
        <f t="shared" ca="1" si="97"/>
        <v>17.883037132237586</v>
      </c>
      <c r="S183" s="101">
        <f t="shared" ca="1" si="97"/>
        <v>18.24069787488234</v>
      </c>
      <c r="T183" s="101">
        <f t="shared" ca="1" si="97"/>
        <v>18.605511832379985</v>
      </c>
    </row>
    <row r="184" spans="1:20" x14ac:dyDescent="0.2">
      <c r="A184" s="258"/>
      <c r="B184" s="103"/>
      <c r="C184" s="94"/>
      <c r="D184" s="137"/>
      <c r="E184" s="137"/>
      <c r="F184" s="143"/>
      <c r="G184" s="143"/>
      <c r="H184" s="143"/>
      <c r="I184" s="143"/>
      <c r="J184" s="143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</row>
    <row r="185" spans="1:20" x14ac:dyDescent="0.2">
      <c r="A185" s="147" t="s">
        <v>672</v>
      </c>
      <c r="B185" s="103"/>
      <c r="C185" s="94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</row>
    <row r="186" spans="1:20" x14ac:dyDescent="0.2">
      <c r="A186" s="258" t="s">
        <v>500</v>
      </c>
      <c r="B186" s="103"/>
      <c r="C186" s="94"/>
      <c r="D186" s="94">
        <f>Data!C$75</f>
        <v>3.444</v>
      </c>
      <c r="E186" s="94">
        <f>Data!D$75</f>
        <v>3.53</v>
      </c>
      <c r="F186" s="142">
        <f>Data!E$75</f>
        <v>3.702</v>
      </c>
      <c r="G186" s="142">
        <f>Data!F$75</f>
        <v>3.883</v>
      </c>
      <c r="H186" s="142">
        <f>Data!G$75</f>
        <v>4.0730000000000004</v>
      </c>
      <c r="I186" s="142">
        <f>Data!H$75</f>
        <v>4.2729999999999997</v>
      </c>
      <c r="J186" s="142">
        <f>Data!I$75</f>
        <v>4.4820000000000002</v>
      </c>
      <c r="K186" s="136">
        <f ca="1">J$186*(1+K$215)</f>
        <v>4.5716400000000004</v>
      </c>
      <c r="L186" s="136">
        <f t="shared" ref="L186:T186" ca="1" si="98">K$186*(1+L$215)</f>
        <v>4.6630728000000001</v>
      </c>
      <c r="M186" s="136">
        <f t="shared" ca="1" si="98"/>
        <v>4.7563342560000006</v>
      </c>
      <c r="N186" s="136">
        <f t="shared" ca="1" si="98"/>
        <v>4.8514609411200009</v>
      </c>
      <c r="O186" s="136">
        <f t="shared" ca="1" si="98"/>
        <v>4.9484901599424012</v>
      </c>
      <c r="P186" s="136">
        <f t="shared" ca="1" si="98"/>
        <v>5.0474599631412493</v>
      </c>
      <c r="Q186" s="136">
        <f t="shared" ca="1" si="98"/>
        <v>5.1484091624040742</v>
      </c>
      <c r="R186" s="136">
        <f t="shared" ca="1" si="98"/>
        <v>5.2513773456521555</v>
      </c>
      <c r="S186" s="136">
        <f t="shared" ca="1" si="98"/>
        <v>5.356404892565199</v>
      </c>
      <c r="T186" s="136">
        <f t="shared" ca="1" si="98"/>
        <v>5.4635329904165033</v>
      </c>
    </row>
    <row r="187" spans="1:20" x14ac:dyDescent="0.2">
      <c r="A187" s="258" t="s">
        <v>499</v>
      </c>
      <c r="B187" s="103"/>
      <c r="C187" s="94"/>
      <c r="D187" s="94">
        <f>Data!C$81</f>
        <v>7.1609999999999996</v>
      </c>
      <c r="E187" s="94">
        <f>Data!D$81</f>
        <v>8.2569999999999997</v>
      </c>
      <c r="F187" s="142">
        <f>Data!E$81</f>
        <v>9.322000000000001</v>
      </c>
      <c r="G187" s="142">
        <f>Data!F$81</f>
        <v>9.2829999999999995</v>
      </c>
      <c r="H187" s="142">
        <f>Data!G$81</f>
        <v>9.2170000000000005</v>
      </c>
      <c r="I187" s="142">
        <f>Data!H$81</f>
        <v>9.1370000000000005</v>
      </c>
      <c r="J187" s="142">
        <f>Data!I$81</f>
        <v>9.0570000000000004</v>
      </c>
      <c r="K187" s="136">
        <f>J$187*Tracks!N$18/Tracks!M$18</f>
        <v>9.0427087446332273</v>
      </c>
      <c r="L187" s="136">
        <f>K$187*Tracks!O$18/Tracks!N$18</f>
        <v>8.7812021926558383</v>
      </c>
      <c r="M187" s="136">
        <f>L$187*Tracks!P$18/Tracks!O$18</f>
        <v>8.6646871669532146</v>
      </c>
      <c r="N187" s="136">
        <f>M$187*Tracks!Q$18/Tracks!P$18</f>
        <v>8.5239774587855806</v>
      </c>
      <c r="O187" s="136">
        <f>N$187*Tracks!R$18/Tracks!Q$18</f>
        <v>8.354588975254158</v>
      </c>
      <c r="P187" s="136">
        <f>O$187*Tracks!S$18/Tracks!R$18</f>
        <v>8.1653708023917009</v>
      </c>
      <c r="Q187" s="136">
        <f>P$187*Tracks!T$18/Tracks!S$18</f>
        <v>7.9654821764838433</v>
      </c>
      <c r="R187" s="136">
        <f>Q$187*Tracks!U$18/Tracks!T$18</f>
        <v>7.7462575981679773</v>
      </c>
      <c r="S187" s="136">
        <f>R$187*Tracks!V$18/Tracks!U$18</f>
        <v>7.5189534157196185</v>
      </c>
      <c r="T187" s="136">
        <f>S$187*Tracks!W$18/Tracks!V$18</f>
        <v>7.2763326759680922</v>
      </c>
    </row>
    <row r="188" spans="1:20" x14ac:dyDescent="0.2">
      <c r="A188" s="258" t="s">
        <v>501</v>
      </c>
      <c r="B188" s="103"/>
      <c r="C188" s="94"/>
      <c r="D188" s="94">
        <f>Data!C$126-SUM(D$186:D$187)</f>
        <v>7.2289999999999992</v>
      </c>
      <c r="E188" s="94">
        <f>Data!D$126-SUM(E$186:E$187)</f>
        <v>9.6829999999999998</v>
      </c>
      <c r="F188" s="142">
        <f>Data!E$126-SUM(F$186:F$187)</f>
        <v>9.5709999999999944</v>
      </c>
      <c r="G188" s="142">
        <f>Data!F$126-SUM(G$186:G$187)</f>
        <v>9.7159999999999975</v>
      </c>
      <c r="H188" s="142">
        <f>Data!G$126-SUM(H$186:H$187)</f>
        <v>9.8349999999999991</v>
      </c>
      <c r="I188" s="142">
        <f>Data!H$126-SUM(I$186:I$187)</f>
        <v>10.095999999999997</v>
      </c>
      <c r="J188" s="142">
        <f>Data!I$126-SUM(J$186:J$187)</f>
        <v>10.665999999999997</v>
      </c>
      <c r="K188" s="136">
        <f ca="1">J$188*(1+K$215)</f>
        <v>10.879319999999996</v>
      </c>
      <c r="L188" s="136">
        <f t="shared" ref="L188:T188" ca="1" si="99">K$188*(1+L$215)</f>
        <v>11.096906399999996</v>
      </c>
      <c r="M188" s="136">
        <f t="shared" ca="1" si="99"/>
        <v>11.318844527999996</v>
      </c>
      <c r="N188" s="136">
        <f t="shared" ca="1" si="99"/>
        <v>11.545221418559997</v>
      </c>
      <c r="O188" s="136">
        <f t="shared" ca="1" si="99"/>
        <v>11.776125846931198</v>
      </c>
      <c r="P188" s="136">
        <f t="shared" ca="1" si="99"/>
        <v>12.011648363869822</v>
      </c>
      <c r="Q188" s="136">
        <f t="shared" ca="1" si="99"/>
        <v>12.251881331147219</v>
      </c>
      <c r="R188" s="136">
        <f t="shared" ca="1" si="99"/>
        <v>12.496918957770164</v>
      </c>
      <c r="S188" s="136">
        <f t="shared" ca="1" si="99"/>
        <v>12.746857336925569</v>
      </c>
      <c r="T188" s="136">
        <f t="shared" ca="1" si="99"/>
        <v>13.00179448366408</v>
      </c>
    </row>
    <row r="189" spans="1:20" x14ac:dyDescent="0.2">
      <c r="A189" s="93" t="s">
        <v>124</v>
      </c>
      <c r="B189" s="59"/>
      <c r="C189" s="94"/>
      <c r="D189" s="94">
        <f>Data!C$127</f>
        <v>0.70399999999999996</v>
      </c>
      <c r="E189" s="94">
        <f>Data!D$127</f>
        <v>0.56200000000000006</v>
      </c>
      <c r="F189" s="142">
        <f>Data!E$127</f>
        <v>0.56200000000000006</v>
      </c>
      <c r="G189" s="142">
        <f>Data!F$127</f>
        <v>0.56200000000000006</v>
      </c>
      <c r="H189" s="142">
        <f>Data!G$127</f>
        <v>0.56200000000000006</v>
      </c>
      <c r="I189" s="142">
        <f>Data!H$127</f>
        <v>0.56200000000000006</v>
      </c>
      <c r="J189" s="142">
        <f>Data!I$127</f>
        <v>0.56200000000000006</v>
      </c>
      <c r="K189" s="106">
        <f>Tracks!H$112</f>
        <v>0</v>
      </c>
      <c r="L189" s="106">
        <f>Tracks!I$112</f>
        <v>0</v>
      </c>
      <c r="M189" s="106">
        <f>Tracks!J$112</f>
        <v>0</v>
      </c>
      <c r="N189" s="106">
        <f>Tracks!K$112</f>
        <v>0</v>
      </c>
      <c r="O189" s="106">
        <f>Tracks!L$112</f>
        <v>0</v>
      </c>
      <c r="P189" s="106">
        <f>Tracks!M$112</f>
        <v>0</v>
      </c>
      <c r="Q189" s="106">
        <f>Tracks!N$112</f>
        <v>0</v>
      </c>
      <c r="R189" s="106">
        <f>Tracks!O$112</f>
        <v>0</v>
      </c>
      <c r="S189" s="106">
        <f>Tracks!P$112</f>
        <v>0</v>
      </c>
      <c r="T189" s="106">
        <f>Tracks!Q$112</f>
        <v>0</v>
      </c>
    </row>
    <row r="190" spans="1:20" x14ac:dyDescent="0.2">
      <c r="A190" s="258" t="s">
        <v>132</v>
      </c>
      <c r="B190" s="103"/>
      <c r="C190" s="94"/>
      <c r="D190" s="280">
        <f>Data!C$128</f>
        <v>0</v>
      </c>
      <c r="E190" s="280">
        <f>Data!D$128</f>
        <v>0</v>
      </c>
      <c r="F190" s="186">
        <f>Data!E$128</f>
        <v>0.23899999999999999</v>
      </c>
      <c r="G190" s="186">
        <f>Data!F$128</f>
        <v>0.78100000000000003</v>
      </c>
      <c r="H190" s="186">
        <f>Data!G$128</f>
        <v>0.56399999999999995</v>
      </c>
      <c r="I190" s="186">
        <f>Data!H$128</f>
        <v>0.16200000000000001</v>
      </c>
      <c r="J190" s="186">
        <f>Data!I$128</f>
        <v>-0.34499999999999997</v>
      </c>
      <c r="K190" s="107">
        <f>Tracks!H$117/1000</f>
        <v>0</v>
      </c>
      <c r="L190" s="107">
        <f>Tracks!I$117/1000</f>
        <v>0</v>
      </c>
      <c r="M190" s="107">
        <f>Tracks!J$117/1000</f>
        <v>0</v>
      </c>
      <c r="N190" s="107">
        <f>Tracks!K$117/1000</f>
        <v>0</v>
      </c>
      <c r="O190" s="107">
        <f>Tracks!L$117/1000</f>
        <v>0</v>
      </c>
      <c r="P190" s="107">
        <f>Tracks!M$117/1000</f>
        <v>0</v>
      </c>
      <c r="Q190" s="107">
        <f>Tracks!N$117/1000</f>
        <v>0</v>
      </c>
      <c r="R190" s="107">
        <f>Tracks!O$117/1000</f>
        <v>0</v>
      </c>
      <c r="S190" s="107">
        <f>Tracks!P$117/1000</f>
        <v>0</v>
      </c>
      <c r="T190" s="107">
        <f>Tracks!Q$117/1000</f>
        <v>0</v>
      </c>
    </row>
    <row r="191" spans="1:20" x14ac:dyDescent="0.2">
      <c r="A191" s="43" t="s">
        <v>257</v>
      </c>
      <c r="B191" s="59"/>
      <c r="C191" s="94"/>
      <c r="D191" s="96">
        <f t="shared" ref="D191:T191" si="100">SUM(D$186:D$190)</f>
        <v>18.538</v>
      </c>
      <c r="E191" s="96">
        <f t="shared" si="100"/>
        <v>22.032</v>
      </c>
      <c r="F191" s="187">
        <f t="shared" si="100"/>
        <v>23.395999999999997</v>
      </c>
      <c r="G191" s="187">
        <f t="shared" si="100"/>
        <v>24.224999999999998</v>
      </c>
      <c r="H191" s="187">
        <f t="shared" si="100"/>
        <v>24.251000000000001</v>
      </c>
      <c r="I191" s="187">
        <f t="shared" si="100"/>
        <v>24.229999999999997</v>
      </c>
      <c r="J191" s="187">
        <f t="shared" si="100"/>
        <v>24.422000000000001</v>
      </c>
      <c r="K191" s="101">
        <f t="shared" ca="1" si="100"/>
        <v>24.493668744633226</v>
      </c>
      <c r="L191" s="101">
        <f t="shared" ca="1" si="100"/>
        <v>24.541181392655837</v>
      </c>
      <c r="M191" s="101">
        <f t="shared" ca="1" si="100"/>
        <v>24.73986595095321</v>
      </c>
      <c r="N191" s="101">
        <f t="shared" ca="1" si="100"/>
        <v>24.92065981846558</v>
      </c>
      <c r="O191" s="101">
        <f t="shared" ca="1" si="100"/>
        <v>25.079204982127756</v>
      </c>
      <c r="P191" s="101">
        <f t="shared" ca="1" si="100"/>
        <v>25.224479129402773</v>
      </c>
      <c r="Q191" s="101">
        <f t="shared" ca="1" si="100"/>
        <v>25.365772670035135</v>
      </c>
      <c r="R191" s="101">
        <f t="shared" ca="1" si="100"/>
        <v>25.494553901590297</v>
      </c>
      <c r="S191" s="101">
        <f t="shared" ca="1" si="100"/>
        <v>25.622215645210385</v>
      </c>
      <c r="T191" s="101">
        <f t="shared" ca="1" si="100"/>
        <v>25.741660150048673</v>
      </c>
    </row>
    <row r="192" spans="1:20" x14ac:dyDescent="0.2">
      <c r="A192" s="259" t="s">
        <v>505</v>
      </c>
      <c r="B192" s="59"/>
      <c r="C192" s="94"/>
      <c r="D192" s="281">
        <f>SUM(Data!C$76,Data!C$77,Data!C$82)-SUM(D$188:D$190)</f>
        <v>5.6680000000000001</v>
      </c>
      <c r="E192" s="281">
        <f>SUM(Data!D$76,Data!D$77,Data!D$82)-SUM(E$188:E$190)</f>
        <v>6.6949999999999985</v>
      </c>
      <c r="F192" s="253">
        <f>SUM(Data!E$76,Data!E$77,Data!E$82)-SUM(F$188:F$190)</f>
        <v>7.8440000000000065</v>
      </c>
      <c r="G192" s="253">
        <f>SUM(Data!F$76,Data!F$77,Data!F$82)-SUM(G$188:G$190)</f>
        <v>7.5750000000000028</v>
      </c>
      <c r="H192" s="253">
        <f>SUM(Data!G$76,Data!G$77,Data!G$82)-SUM(H$188:H$190)</f>
        <v>6.4720000000000013</v>
      </c>
      <c r="I192" s="253">
        <f>SUM(Data!H$76,Data!H$77,Data!H$82)-SUM(I$188:I$190)</f>
        <v>6.127000000000006</v>
      </c>
      <c r="J192" s="253">
        <f>SUM(Data!I$76,Data!I$77,Data!I$82)-SUM(J$188:J$190)</f>
        <v>5.7980000000000018</v>
      </c>
      <c r="K192" s="136">
        <f ca="1">J$192*(1+K$215)</f>
        <v>5.9139600000000021</v>
      </c>
      <c r="L192" s="136">
        <f t="shared" ref="L192:T192" ca="1" si="101">K$192*(1+L$215)</f>
        <v>6.032239200000002</v>
      </c>
      <c r="M192" s="136">
        <f t="shared" ca="1" si="101"/>
        <v>6.1528839840000025</v>
      </c>
      <c r="N192" s="136">
        <f t="shared" ca="1" si="101"/>
        <v>6.2759416636800029</v>
      </c>
      <c r="O192" s="136">
        <f t="shared" ca="1" si="101"/>
        <v>6.4014604969536029</v>
      </c>
      <c r="P192" s="136">
        <f t="shared" ca="1" si="101"/>
        <v>6.5294897068926749</v>
      </c>
      <c r="Q192" s="136">
        <f t="shared" ca="1" si="101"/>
        <v>6.6600795010305287</v>
      </c>
      <c r="R192" s="136">
        <f t="shared" ca="1" si="101"/>
        <v>6.7932810910511394</v>
      </c>
      <c r="S192" s="136">
        <f t="shared" ca="1" si="101"/>
        <v>6.9291467128721624</v>
      </c>
      <c r="T192" s="136">
        <f t="shared" ca="1" si="101"/>
        <v>7.0677296471296058</v>
      </c>
    </row>
    <row r="193" spans="1:20" x14ac:dyDescent="0.2">
      <c r="A193" s="259" t="s">
        <v>502</v>
      </c>
      <c r="B193" s="59"/>
      <c r="C193" s="94"/>
      <c r="D193" s="280">
        <f t="shared" ref="D193:T193" si="102">D$125</f>
        <v>17.417999999999999</v>
      </c>
      <c r="E193" s="280">
        <f t="shared" si="102"/>
        <v>20.484000000000002</v>
      </c>
      <c r="F193" s="186">
        <f t="shared" si="102"/>
        <v>22.399000000000001</v>
      </c>
      <c r="G193" s="186">
        <f t="shared" si="102"/>
        <v>23.842000000000002</v>
      </c>
      <c r="H193" s="186">
        <f t="shared" si="102"/>
        <v>25.319000000000003</v>
      </c>
      <c r="I193" s="186">
        <f t="shared" si="102"/>
        <v>26.87</v>
      </c>
      <c r="J193" s="186">
        <f t="shared" si="102"/>
        <v>28.490000000000002</v>
      </c>
      <c r="K193" s="107">
        <f t="shared" si="102"/>
        <v>30.232620583894441</v>
      </c>
      <c r="L193" s="107">
        <f t="shared" si="102"/>
        <v>32.081830374507469</v>
      </c>
      <c r="M193" s="107">
        <f t="shared" si="102"/>
        <v>34.044149011910996</v>
      </c>
      <c r="N193" s="107">
        <f t="shared" si="102"/>
        <v>36.126494916766227</v>
      </c>
      <c r="O193" s="107">
        <f t="shared" si="102"/>
        <v>38.336209682154596</v>
      </c>
      <c r="P193" s="107">
        <f t="shared" si="102"/>
        <v>40.681083957360485</v>
      </c>
      <c r="Q193" s="107">
        <f t="shared" si="102"/>
        <v>43.169384914862562</v>
      </c>
      <c r="R193" s="107">
        <f t="shared" si="102"/>
        <v>45.80988539737227</v>
      </c>
      <c r="S193" s="107">
        <f t="shared" si="102"/>
        <v>48.611894847681363</v>
      </c>
      <c r="T193" s="107">
        <f t="shared" si="102"/>
        <v>51.585292130365865</v>
      </c>
    </row>
    <row r="194" spans="1:20" x14ac:dyDescent="0.2">
      <c r="A194" s="43" t="s">
        <v>258</v>
      </c>
      <c r="B194" s="59"/>
      <c r="C194" s="94"/>
      <c r="D194" s="96">
        <f t="shared" ref="D194:T194" si="103">SUM(D$191:D$193)</f>
        <v>41.623999999999995</v>
      </c>
      <c r="E194" s="96">
        <f t="shared" si="103"/>
        <v>49.210999999999999</v>
      </c>
      <c r="F194" s="187">
        <f t="shared" si="103"/>
        <v>53.639000000000003</v>
      </c>
      <c r="G194" s="187">
        <f t="shared" si="103"/>
        <v>55.642000000000003</v>
      </c>
      <c r="H194" s="187">
        <f t="shared" si="103"/>
        <v>56.042000000000002</v>
      </c>
      <c r="I194" s="187">
        <f t="shared" si="103"/>
        <v>57.227000000000004</v>
      </c>
      <c r="J194" s="187">
        <f t="shared" si="103"/>
        <v>58.710000000000008</v>
      </c>
      <c r="K194" s="101">
        <f t="shared" ca="1" si="103"/>
        <v>60.640249328527673</v>
      </c>
      <c r="L194" s="101">
        <f t="shared" ca="1" si="103"/>
        <v>62.655250967163312</v>
      </c>
      <c r="M194" s="101">
        <f t="shared" ca="1" si="103"/>
        <v>64.936898946864204</v>
      </c>
      <c r="N194" s="101">
        <f t="shared" ca="1" si="103"/>
        <v>67.323096398911815</v>
      </c>
      <c r="O194" s="101">
        <f t="shared" ca="1" si="103"/>
        <v>69.816875161235956</v>
      </c>
      <c r="P194" s="101">
        <f t="shared" ca="1" si="103"/>
        <v>72.435052793655927</v>
      </c>
      <c r="Q194" s="101">
        <f t="shared" ca="1" si="103"/>
        <v>75.195237085928227</v>
      </c>
      <c r="R194" s="101">
        <f t="shared" ca="1" si="103"/>
        <v>78.097720390013706</v>
      </c>
      <c r="S194" s="101">
        <f t="shared" ca="1" si="103"/>
        <v>81.163257205763912</v>
      </c>
      <c r="T194" s="101">
        <f t="shared" ca="1" si="103"/>
        <v>84.394681927544141</v>
      </c>
    </row>
    <row r="195" spans="1:20" x14ac:dyDescent="0.2">
      <c r="A195" s="43"/>
      <c r="B195" s="59"/>
      <c r="C195" s="100"/>
      <c r="D195" s="97"/>
      <c r="E195" s="97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20" x14ac:dyDescent="0.2">
      <c r="A196" s="147" t="s">
        <v>674</v>
      </c>
      <c r="C196" s="100"/>
      <c r="D196" s="96">
        <f>Data!C$103</f>
        <v>10.734999999999999</v>
      </c>
      <c r="E196" s="96">
        <f>Data!D$103</f>
        <v>12.917999999999999</v>
      </c>
      <c r="F196" s="187">
        <f>Data!E$103</f>
        <v>15.24</v>
      </c>
      <c r="G196" s="187">
        <f>Data!F$103</f>
        <v>17.108000000000001</v>
      </c>
      <c r="H196" s="187">
        <f>Data!G$103</f>
        <v>19.382999999999999</v>
      </c>
      <c r="I196" s="187">
        <f>Data!H$103</f>
        <v>19.960999999999999</v>
      </c>
      <c r="J196" s="187">
        <f>Data!I$103</f>
        <v>21.306000000000001</v>
      </c>
      <c r="K196" s="101" t="e">
        <f ca="1">J$196*(1+K$212)</f>
        <v>#REF!</v>
      </c>
      <c r="L196" s="101" t="e">
        <f t="shared" ref="L196:T196" ca="1" si="104">K$196*(1+L$212)</f>
        <v>#REF!</v>
      </c>
      <c r="M196" s="101" t="e">
        <f t="shared" ca="1" si="104"/>
        <v>#REF!</v>
      </c>
      <c r="N196" s="101" t="e">
        <f t="shared" ca="1" si="104"/>
        <v>#REF!</v>
      </c>
      <c r="O196" s="101" t="e">
        <f t="shared" ca="1" si="104"/>
        <v>#REF!</v>
      </c>
      <c r="P196" s="101" t="e">
        <f t="shared" ca="1" si="104"/>
        <v>#REF!</v>
      </c>
      <c r="Q196" s="101" t="e">
        <f t="shared" ca="1" si="104"/>
        <v>#REF!</v>
      </c>
      <c r="R196" s="101" t="e">
        <f t="shared" ca="1" si="104"/>
        <v>#REF!</v>
      </c>
      <c r="S196" s="101" t="e">
        <f t="shared" ca="1" si="104"/>
        <v>#REF!</v>
      </c>
      <c r="T196" s="101" t="e">
        <f t="shared" ca="1" si="104"/>
        <v>#REF!</v>
      </c>
    </row>
    <row r="197" spans="1:20" x14ac:dyDescent="0.2">
      <c r="A197" s="147"/>
      <c r="C197" s="100"/>
      <c r="D197" s="96"/>
      <c r="E197" s="96"/>
      <c r="F197" s="96"/>
      <c r="G197" s="96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20" x14ac:dyDescent="0.2">
      <c r="A198" s="147" t="s">
        <v>675</v>
      </c>
      <c r="C198" s="100"/>
      <c r="D198" s="96"/>
      <c r="E198" s="96"/>
      <c r="F198" s="187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</row>
    <row r="199" spans="1:20" x14ac:dyDescent="0.2">
      <c r="A199" s="43" t="s">
        <v>545</v>
      </c>
      <c r="C199" s="100"/>
      <c r="D199" s="96">
        <f>Data!C$102</f>
        <v>31.163</v>
      </c>
      <c r="E199" s="96">
        <f>Data!D$102</f>
        <v>33.192</v>
      </c>
      <c r="F199" s="187">
        <f>Data!E$102</f>
        <v>36.076999999999998</v>
      </c>
      <c r="G199" s="187">
        <f>Data!F$102</f>
        <v>39.951999999999998</v>
      </c>
      <c r="H199" s="187">
        <f>Data!G$102</f>
        <v>51.319000000000003</v>
      </c>
      <c r="I199" s="187">
        <f>Data!H$102</f>
        <v>61.548000000000002</v>
      </c>
      <c r="J199" s="187">
        <f>Data!I$102</f>
        <v>73.033999999999992</v>
      </c>
      <c r="K199" s="99" t="e">
        <f ca="1">SUM(J$199,J$200)+(K$33-J$33)-(K$35-J$35)-K$23-K$200</f>
        <v>#REF!</v>
      </c>
      <c r="L199" s="99" t="e">
        <f t="shared" ref="L199:T199" ca="1" si="105">SUM(K$199,K$200)+(L$33-K$33)-(L$35-K$35)-L$23-L$200</f>
        <v>#REF!</v>
      </c>
      <c r="M199" s="99" t="e">
        <f t="shared" ca="1" si="105"/>
        <v>#REF!</v>
      </c>
      <c r="N199" s="99" t="e">
        <f t="shared" ca="1" si="105"/>
        <v>#REF!</v>
      </c>
      <c r="O199" s="99" t="e">
        <f t="shared" ca="1" si="105"/>
        <v>#REF!</v>
      </c>
      <c r="P199" s="99" t="e">
        <f t="shared" ca="1" si="105"/>
        <v>#REF!</v>
      </c>
      <c r="Q199" s="99" t="e">
        <f t="shared" ca="1" si="105"/>
        <v>#REF!</v>
      </c>
      <c r="R199" s="99" t="e">
        <f t="shared" ca="1" si="105"/>
        <v>#REF!</v>
      </c>
      <c r="S199" s="99" t="e">
        <f t="shared" ca="1" si="105"/>
        <v>#REF!</v>
      </c>
      <c r="T199" s="99" t="e">
        <f t="shared" ca="1" si="105"/>
        <v>#REF!</v>
      </c>
    </row>
    <row r="200" spans="1:20" x14ac:dyDescent="0.2">
      <c r="A200" s="259" t="s">
        <v>673</v>
      </c>
      <c r="C200" s="100"/>
      <c r="D200" s="280">
        <f>Data!C$94-Data!C$102</f>
        <v>4.7290000000000028</v>
      </c>
      <c r="E200" s="280">
        <f>Data!D$94-Data!D$102</f>
        <v>4.1439999999999984</v>
      </c>
      <c r="F200" s="186">
        <f>Data!E$94-Data!E$102</f>
        <v>4.4149999999999991</v>
      </c>
      <c r="G200" s="186">
        <f>Data!F$94-Data!F$102</f>
        <v>4.4339999999999975</v>
      </c>
      <c r="H200" s="186">
        <f>Data!G$94-Data!G$102</f>
        <v>4.4819999999999993</v>
      </c>
      <c r="I200" s="186">
        <f>Data!H$94-Data!H$102</f>
        <v>4.2259999999999991</v>
      </c>
      <c r="J200" s="186">
        <f>Data!I$94-Data!I$102</f>
        <v>3.7550000000000097</v>
      </c>
      <c r="K200" s="107">
        <f>SUM(J$200,(K$126-K$127)-(J$126-J$127),(K$135-K$136)-(J$135-J$136))</f>
        <v>4.5469613833009532</v>
      </c>
      <c r="L200" s="107">
        <f t="shared" ref="L200:T200" si="106">SUM(K$200,(L$126-L$127)-(K$126-K$127),(L$135-L$136)-(K$135-K$136))</f>
        <v>4.7683697160006746</v>
      </c>
      <c r="M200" s="107">
        <f t="shared" si="106"/>
        <v>5.0037110380448278</v>
      </c>
      <c r="N200" s="107">
        <f t="shared" si="106"/>
        <v>5.253865302294666</v>
      </c>
      <c r="O200" s="107">
        <f t="shared" si="106"/>
        <v>5.5197682544938802</v>
      </c>
      <c r="P200" s="107">
        <f t="shared" si="106"/>
        <v>5.8024149858165002</v>
      </c>
      <c r="Q200" s="107">
        <f t="shared" si="106"/>
        <v>6.1028637126494489</v>
      </c>
      <c r="R200" s="107">
        <f t="shared" si="106"/>
        <v>6.4222397982149007</v>
      </c>
      <c r="S200" s="107">
        <f t="shared" si="106"/>
        <v>6.761740031580989</v>
      </c>
      <c r="T200" s="107">
        <f t="shared" si="106"/>
        <v>7.122637180614297</v>
      </c>
    </row>
    <row r="201" spans="1:20" x14ac:dyDescent="0.2">
      <c r="A201" s="43" t="s">
        <v>676</v>
      </c>
      <c r="C201" s="100"/>
      <c r="D201" s="96">
        <f t="shared" ref="D201:T201" si="107">SUM(D$199,D$200)</f>
        <v>35.892000000000003</v>
      </c>
      <c r="E201" s="96">
        <f t="shared" si="107"/>
        <v>37.335999999999999</v>
      </c>
      <c r="F201" s="187">
        <f t="shared" si="107"/>
        <v>40.491999999999997</v>
      </c>
      <c r="G201" s="187">
        <f t="shared" si="107"/>
        <v>44.385999999999996</v>
      </c>
      <c r="H201" s="187">
        <f t="shared" si="107"/>
        <v>55.801000000000002</v>
      </c>
      <c r="I201" s="187">
        <f t="shared" si="107"/>
        <v>65.774000000000001</v>
      </c>
      <c r="J201" s="187">
        <f t="shared" si="107"/>
        <v>76.789000000000001</v>
      </c>
      <c r="K201" s="101" t="e">
        <f t="shared" ca="1" si="107"/>
        <v>#REF!</v>
      </c>
      <c r="L201" s="101" t="e">
        <f t="shared" ca="1" si="107"/>
        <v>#REF!</v>
      </c>
      <c r="M201" s="101" t="e">
        <f t="shared" ca="1" si="107"/>
        <v>#REF!</v>
      </c>
      <c r="N201" s="101" t="e">
        <f t="shared" ca="1" si="107"/>
        <v>#REF!</v>
      </c>
      <c r="O201" s="101" t="e">
        <f t="shared" ca="1" si="107"/>
        <v>#REF!</v>
      </c>
      <c r="P201" s="101" t="e">
        <f t="shared" ca="1" si="107"/>
        <v>#REF!</v>
      </c>
      <c r="Q201" s="101" t="e">
        <f t="shared" ca="1" si="107"/>
        <v>#REF!</v>
      </c>
      <c r="R201" s="101" t="e">
        <f t="shared" ca="1" si="107"/>
        <v>#REF!</v>
      </c>
      <c r="S201" s="101" t="e">
        <f t="shared" ca="1" si="107"/>
        <v>#REF!</v>
      </c>
      <c r="T201" s="101" t="e">
        <f t="shared" ca="1" si="107"/>
        <v>#REF!</v>
      </c>
    </row>
    <row r="202" spans="1:20" x14ac:dyDescent="0.2">
      <c r="A202" s="259" t="s">
        <v>396</v>
      </c>
      <c r="C202" s="100"/>
      <c r="D202" s="280">
        <f>Data!C$95</f>
        <v>0.91300000000000003</v>
      </c>
      <c r="E202" s="280">
        <f>Data!D$95</f>
        <v>0.40899999999999997</v>
      </c>
      <c r="F202" s="186">
        <f>Data!E$95</f>
        <v>0.64900000000000002</v>
      </c>
      <c r="G202" s="186">
        <f>Data!F$95</f>
        <v>0.75700000000000001</v>
      </c>
      <c r="H202" s="186">
        <f>Data!G$95</f>
        <v>0.88100000000000001</v>
      </c>
      <c r="I202" s="186">
        <f>Data!H$95</f>
        <v>1.032</v>
      </c>
      <c r="J202" s="186">
        <f>Data!I$95</f>
        <v>1.2070000000000001</v>
      </c>
      <c r="K202" s="107">
        <f>K$120-K$119</f>
        <v>1.0529913138489881</v>
      </c>
      <c r="L202" s="107">
        <f t="shared" ref="L202:T202" si="108">L$120-L$119</f>
        <v>1.1970052986359292</v>
      </c>
      <c r="M202" s="107">
        <f t="shared" si="108"/>
        <v>1.3498646130236338</v>
      </c>
      <c r="N202" s="107">
        <f t="shared" si="108"/>
        <v>1.5116541805883159</v>
      </c>
      <c r="O202" s="107">
        <f t="shared" si="108"/>
        <v>1.6823307540817609</v>
      </c>
      <c r="P202" s="107">
        <f t="shared" si="108"/>
        <v>1.861752846594726</v>
      </c>
      <c r="Q202" s="107">
        <f t="shared" si="108"/>
        <v>2.0499093842033247</v>
      </c>
      <c r="R202" s="107">
        <f t="shared" si="108"/>
        <v>2.2445002107794778</v>
      </c>
      <c r="S202" s="107">
        <f t="shared" si="108"/>
        <v>2.4451982146128302</v>
      </c>
      <c r="T202" s="107">
        <f t="shared" si="108"/>
        <v>2.6515315743452419</v>
      </c>
    </row>
    <row r="203" spans="1:20" x14ac:dyDescent="0.2">
      <c r="A203" s="43" t="s">
        <v>677</v>
      </c>
      <c r="C203" s="100"/>
      <c r="D203" s="96">
        <f t="shared" ref="D203:T203" si="109">SUM(D$201,D$202)</f>
        <v>36.805</v>
      </c>
      <c r="E203" s="96">
        <f t="shared" si="109"/>
        <v>37.744999999999997</v>
      </c>
      <c r="F203" s="187">
        <f t="shared" si="109"/>
        <v>41.140999999999998</v>
      </c>
      <c r="G203" s="187">
        <f t="shared" si="109"/>
        <v>45.142999999999994</v>
      </c>
      <c r="H203" s="187">
        <f t="shared" si="109"/>
        <v>56.682000000000002</v>
      </c>
      <c r="I203" s="187">
        <f t="shared" si="109"/>
        <v>66.805999999999997</v>
      </c>
      <c r="J203" s="187">
        <f t="shared" si="109"/>
        <v>77.995999999999995</v>
      </c>
      <c r="K203" s="101" t="e">
        <f t="shared" ca="1" si="109"/>
        <v>#REF!</v>
      </c>
      <c r="L203" s="101" t="e">
        <f t="shared" ca="1" si="109"/>
        <v>#REF!</v>
      </c>
      <c r="M203" s="101" t="e">
        <f t="shared" ca="1" si="109"/>
        <v>#REF!</v>
      </c>
      <c r="N203" s="101" t="e">
        <f t="shared" ca="1" si="109"/>
        <v>#REF!</v>
      </c>
      <c r="O203" s="101" t="e">
        <f t="shared" ca="1" si="109"/>
        <v>#REF!</v>
      </c>
      <c r="P203" s="101" t="e">
        <f t="shared" ca="1" si="109"/>
        <v>#REF!</v>
      </c>
      <c r="Q203" s="101" t="e">
        <f t="shared" ca="1" si="109"/>
        <v>#REF!</v>
      </c>
      <c r="R203" s="101" t="e">
        <f t="shared" ca="1" si="109"/>
        <v>#REF!</v>
      </c>
      <c r="S203" s="101" t="e">
        <f t="shared" ca="1" si="109"/>
        <v>#REF!</v>
      </c>
      <c r="T203" s="101" t="e">
        <f t="shared" ca="1" si="109"/>
        <v>#REF!</v>
      </c>
    </row>
    <row r="204" spans="1:20" x14ac:dyDescent="0.2">
      <c r="A204" s="43"/>
      <c r="C204" s="100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</row>
    <row r="205" spans="1:20" x14ac:dyDescent="0.2">
      <c r="A205" s="147" t="s">
        <v>417</v>
      </c>
      <c r="C205" s="100"/>
      <c r="D205" s="94">
        <f>SUM(Data!C$78,Data!C$199,-Data!C$200)</f>
        <v>6.1120000000000001</v>
      </c>
      <c r="E205" s="94">
        <f>SUM(Data!D$78,Data!D$199,-Data!D$200)</f>
        <v>6.3550000000000004</v>
      </c>
      <c r="F205" s="142">
        <f>SUM(Data!E$78,Data!E$199,-Data!E$200)</f>
        <v>6.3550000000000004</v>
      </c>
      <c r="G205" s="142">
        <f>SUM(Data!F$78,Data!F$199,-Data!F$200)</f>
        <v>6.3550000000000004</v>
      </c>
      <c r="H205" s="142">
        <f>SUM(Data!G$78,Data!G$199,-Data!G$200)</f>
        <v>6.3550000000000004</v>
      </c>
      <c r="I205" s="142">
        <f>SUM(Data!H$78,Data!H$199,-Data!H$200)</f>
        <v>6.3550000000000004</v>
      </c>
      <c r="J205" s="142">
        <f>SUM(Data!I$78,Data!I$199,-Data!I$200)</f>
        <v>6.3550000000000004</v>
      </c>
      <c r="K205" s="99">
        <f ca="1">OFFSET(Scenarios!$A$47,0,$C$1)</f>
        <v>6.3550000000000004</v>
      </c>
      <c r="L205" s="99">
        <f ca="1">OFFSET(Scenarios!$A$47,0,$C$1)</f>
        <v>6.3550000000000004</v>
      </c>
      <c r="M205" s="99">
        <f ca="1">OFFSET(Scenarios!$A$47,0,$C$1)</f>
        <v>6.3550000000000004</v>
      </c>
      <c r="N205" s="99">
        <f ca="1">OFFSET(Scenarios!$A$47,0,$C$1)</f>
        <v>6.3550000000000004</v>
      </c>
      <c r="O205" s="99">
        <f ca="1">OFFSET(Scenarios!$A$47,0,$C$1)</f>
        <v>6.3550000000000004</v>
      </c>
      <c r="P205" s="99">
        <f ca="1">OFFSET(Scenarios!$A$47,0,$C$1)</f>
        <v>6.3550000000000004</v>
      </c>
      <c r="Q205" s="99">
        <f ca="1">OFFSET(Scenarios!$A$47,0,$C$1)</f>
        <v>6.3550000000000004</v>
      </c>
      <c r="R205" s="99">
        <f ca="1">OFFSET(Scenarios!$A$47,0,$C$1)</f>
        <v>6.3550000000000004</v>
      </c>
      <c r="S205" s="99">
        <f ca="1">OFFSET(Scenarios!$A$47,0,$C$1)</f>
        <v>6.3550000000000004</v>
      </c>
      <c r="T205" s="99">
        <f ca="1">OFFSET(Scenarios!$A$47,0,$C$1)</f>
        <v>6.3550000000000004</v>
      </c>
    </row>
    <row r="206" spans="1:20" x14ac:dyDescent="0.2">
      <c r="A206" s="147" t="s">
        <v>418</v>
      </c>
      <c r="C206" s="100"/>
      <c r="D206" s="94">
        <f t="shared" ref="D206:J206" si="110">C$206</f>
        <v>0</v>
      </c>
      <c r="E206" s="94">
        <f t="shared" si="110"/>
        <v>0</v>
      </c>
      <c r="F206" s="142">
        <f t="shared" si="110"/>
        <v>0</v>
      </c>
      <c r="G206" s="142">
        <f t="shared" si="110"/>
        <v>0</v>
      </c>
      <c r="H206" s="142">
        <f t="shared" si="110"/>
        <v>0</v>
      </c>
      <c r="I206" s="142">
        <f t="shared" si="110"/>
        <v>0</v>
      </c>
      <c r="J206" s="142">
        <f t="shared" si="110"/>
        <v>0</v>
      </c>
      <c r="K206" s="99" t="e">
        <f ca="1">IF(OFFSET(Scenarios!$A$44,0,$C$1)="Yes",MAX(MIN(OFFSET(Scenarios!$A$45,0,$C$1)-SUM($H$206:J$206),SUM(K$157,K$163,K$167,K$171,K$175,K$182)-SUM(J$157,J$163,J$167,J$171,J$182)-(K$35-J$35)-K$23+K$120-J$120),0),0)</f>
        <v>#REF!</v>
      </c>
      <c r="L206" s="99" t="e">
        <f ca="1">IF(OFFSET(Scenarios!$A$44,0,$C$1)="Yes",MAX(MIN(OFFSET(Scenarios!$A$45,0,$C$1)-SUM($H$206:K$206),SUM(L$157,L$163,L$167,L$171,L$175,L$182)-SUM(K$157,K$163,K$167,K$171,K$182)-(L$35-K$35)-L$23+L$120-K$120),0),0)</f>
        <v>#REF!</v>
      </c>
      <c r="M206" s="99" t="e">
        <f ca="1">IF(OFFSET(Scenarios!$A$44,0,$C$1)="Yes",MAX(MIN(OFFSET(Scenarios!$A$45,0,$C$1)-SUM($H$206:L$206),SUM(M$157,M$163,M$167,M$171,M$175,M$182)-SUM(L$157,L$163,L$167,L$171,L$182)-(M$35-L$35)-M$23+M$120-L$120),0),0)</f>
        <v>#REF!</v>
      </c>
      <c r="N206" s="99" t="e">
        <f ca="1">IF(OFFSET(Scenarios!$A$44,0,$C$1)="Yes",MAX(MIN(OFFSET(Scenarios!$A$45,0,$C$1)-SUM($H$206:M$206),SUM(N$157,N$163,N$167,N$171,N$175,N$182)-SUM(M$157,M$163,M$167,M$171,M$182)-(N$35-M$35)-N$23+N$120-M$120),0),0)</f>
        <v>#REF!</v>
      </c>
      <c r="O206" s="99" t="e">
        <f ca="1">IF(OFFSET(Scenarios!$A$44,0,$C$1)="Yes",MAX(MIN(OFFSET(Scenarios!$A$45,0,$C$1)-SUM($H$206:N$206),SUM(O$157,O$163,O$167,O$171,O$175,O$182)-SUM(N$157,N$163,N$167,N$171,N$182)-(O$35-N$35)-O$23+O$120-N$120),0),0)</f>
        <v>#REF!</v>
      </c>
      <c r="P206" s="99" t="e">
        <f ca="1">IF(OFFSET(Scenarios!$A$44,0,$C$1)="Yes",MAX(MIN(OFFSET(Scenarios!$A$45,0,$C$1)-SUM($H$206:O$206),SUM(P$157,P$163,P$167,P$171,P$175,P$182)-SUM(O$157,O$163,O$167,O$171,O$182)-(P$35-O$35)-P$23+P$120-O$120),0),0)</f>
        <v>#REF!</v>
      </c>
      <c r="Q206" s="99" t="e">
        <f ca="1">IF(OFFSET(Scenarios!$A$44,0,$C$1)="Yes",MAX(MIN(OFFSET(Scenarios!$A$45,0,$C$1)-SUM($H$206:P$206),SUM(Q$157,Q$163,Q$167,Q$171,Q$175,Q$182)-SUM(P$157,P$163,P$167,P$171,P$182)-(Q$35-P$35)-Q$23+Q$120-P$120),0),0)</f>
        <v>#REF!</v>
      </c>
      <c r="R206" s="99" t="e">
        <f ca="1">IF(OFFSET(Scenarios!$A$44,0,$C$1)="Yes",MAX(MIN(OFFSET(Scenarios!$A$45,0,$C$1)-SUM($H$206:Q$206),SUM(R$157,R$163,R$167,R$171,R$175,R$182)-SUM(Q$157,Q$163,Q$167,Q$171,Q$182)-(R$35-Q$35)-R$23+R$120-Q$120),0),0)</f>
        <v>#REF!</v>
      </c>
      <c r="S206" s="99" t="e">
        <f ca="1">IF(OFFSET(Scenarios!$A$44,0,$C$1)="Yes",MAX(MIN(OFFSET(Scenarios!$A$45,0,$C$1)-SUM($H$206:R$206),SUM(S$157,S$163,S$167,S$171,S$175,S$182)-SUM(R$157,R$163,R$167,R$171,R$182)-(S$35-R$35)-S$23+S$120-R$120),0),0)</f>
        <v>#REF!</v>
      </c>
      <c r="T206" s="99" t="e">
        <f ca="1">IF(OFFSET(Scenarios!$A$44,0,$C$1)="Yes",MAX(MIN(OFFSET(Scenarios!$A$45,0,$C$1)-SUM($H$206:S$206),SUM(T$157,T$163,T$167,T$171,T$175,T$182)-SUM(S$157,S$163,S$167,S$171,S$182)-(T$35-S$35)-T$23+T$120-S$120),0),0)</f>
        <v>#REF!</v>
      </c>
    </row>
    <row r="207" spans="1:20" x14ac:dyDescent="0.2">
      <c r="A207" s="147"/>
      <c r="C207" s="100"/>
      <c r="D207" s="97"/>
      <c r="E207" s="97"/>
      <c r="F207" s="97"/>
      <c r="G207" s="97"/>
      <c r="H207" s="97"/>
      <c r="I207" s="97"/>
      <c r="J207" s="97"/>
      <c r="K207" s="317"/>
      <c r="L207" s="317"/>
      <c r="M207" s="317"/>
      <c r="N207" s="317"/>
      <c r="O207" s="317"/>
      <c r="P207" s="317"/>
      <c r="Q207" s="317"/>
      <c r="R207" s="317"/>
      <c r="S207" s="317"/>
      <c r="T207" s="317"/>
    </row>
    <row r="208" spans="1:20" ht="15.75" x14ac:dyDescent="0.25">
      <c r="A208" s="249" t="s">
        <v>639</v>
      </c>
      <c r="D208" s="97"/>
      <c r="E208" s="97"/>
      <c r="F208"/>
      <c r="G208"/>
      <c r="H208"/>
      <c r="I208"/>
      <c r="J208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</row>
    <row r="209" spans="1:20" x14ac:dyDescent="0.2">
      <c r="A209" s="43" t="s">
        <v>193</v>
      </c>
      <c r="D209" s="94">
        <f>Data!C$203</f>
        <v>132.38900000000001</v>
      </c>
      <c r="E209" s="94">
        <f>Data!D$203</f>
        <v>135.821</v>
      </c>
      <c r="F209" s="180">
        <f>Data!E$203</f>
        <v>135.94545041674729</v>
      </c>
      <c r="G209" s="180">
        <f>Data!F$203</f>
        <v>137.71374685559184</v>
      </c>
      <c r="H209" s="180">
        <f>Data!G$203</f>
        <v>142.23952817811403</v>
      </c>
      <c r="I209" s="180">
        <f>Data!H$203</f>
        <v>147.9035276342839</v>
      </c>
      <c r="J209" s="180">
        <f>Data!I$203</f>
        <v>153.34078751093</v>
      </c>
      <c r="K209" s="99">
        <f ca="1">J$209*(1+K$228)*(K$220*(1-K$223)*K$226)/(J$220*(1-J$223)*J$226)</f>
        <v>157.24417506671574</v>
      </c>
      <c r="L209" s="99">
        <f t="shared" ref="L209:T209" ca="1" si="111">K$209*(1+L$228)*(L$220*(1-L$223)*L$226)/(K$220*(1-K$223)*K$226)</f>
        <v>161.27520813653311</v>
      </c>
      <c r="M209" s="99">
        <f t="shared" ca="1" si="111"/>
        <v>165.36685835619699</v>
      </c>
      <c r="N209" s="99">
        <f t="shared" ca="1" si="111"/>
        <v>169.38792050000532</v>
      </c>
      <c r="O209" s="99">
        <f t="shared" ca="1" si="111"/>
        <v>173.09322477679015</v>
      </c>
      <c r="P209" s="99">
        <f t="shared" ca="1" si="111"/>
        <v>176.82863482962179</v>
      </c>
      <c r="Q209" s="99">
        <f t="shared" ca="1" si="111"/>
        <v>180.60298388299981</v>
      </c>
      <c r="R209" s="99">
        <f t="shared" ca="1" si="111"/>
        <v>184.40074513748479</v>
      </c>
      <c r="S209" s="99">
        <f t="shared" ca="1" si="111"/>
        <v>188.27241745546362</v>
      </c>
      <c r="T209" s="99">
        <f t="shared" ca="1" si="111"/>
        <v>192.13595615051429</v>
      </c>
    </row>
    <row r="210" spans="1:20" x14ac:dyDescent="0.2">
      <c r="A210" s="260" t="s">
        <v>172</v>
      </c>
      <c r="D210" s="174"/>
      <c r="E210" s="174">
        <f t="shared" ref="E210:K210" si="112">E$209/D$209-1</f>
        <v>2.5923603924797201E-2</v>
      </c>
      <c r="F210" s="178">
        <f t="shared" si="112"/>
        <v>9.1628258330667123E-4</v>
      </c>
      <c r="G210" s="178">
        <f t="shared" si="112"/>
        <v>1.3007396962706252E-2</v>
      </c>
      <c r="H210" s="178">
        <f t="shared" si="112"/>
        <v>3.2863685912692286E-2</v>
      </c>
      <c r="I210" s="178">
        <f t="shared" si="112"/>
        <v>3.98201507606053E-2</v>
      </c>
      <c r="J210" s="178">
        <f t="shared" si="112"/>
        <v>3.6762205497157696E-2</v>
      </c>
      <c r="K210" s="175">
        <f t="shared" ca="1" si="112"/>
        <v>2.5455637858306401E-2</v>
      </c>
      <c r="L210" s="175">
        <f t="shared" ref="L210:T210" ca="1" si="113">L$209/K$209-1</f>
        <v>2.5635500126520272E-2</v>
      </c>
      <c r="M210" s="175">
        <f t="shared" ca="1" si="113"/>
        <v>2.5370608830341368E-2</v>
      </c>
      <c r="N210" s="175">
        <f t="shared" ca="1" si="113"/>
        <v>2.4316009772327174E-2</v>
      </c>
      <c r="O210" s="175">
        <f t="shared" ca="1" si="113"/>
        <v>2.1874666539664522E-2</v>
      </c>
      <c r="P210" s="175">
        <f t="shared" ca="1" si="113"/>
        <v>2.1580336594043903E-2</v>
      </c>
      <c r="Q210" s="175">
        <f t="shared" ca="1" si="113"/>
        <v>2.1344671110618885E-2</v>
      </c>
      <c r="R210" s="175">
        <f t="shared" ca="1" si="113"/>
        <v>2.1028230945205673E-2</v>
      </c>
      <c r="S210" s="175">
        <f t="shared" ca="1" si="113"/>
        <v>2.0995968943033239E-2</v>
      </c>
      <c r="T210" s="175">
        <f t="shared" ca="1" si="113"/>
        <v>2.0521002211938866E-2</v>
      </c>
    </row>
    <row r="211" spans="1:20" x14ac:dyDescent="0.2">
      <c r="A211" s="43" t="s">
        <v>148</v>
      </c>
      <c r="D211" s="94">
        <f>Data!C$204</f>
        <v>168.571</v>
      </c>
      <c r="E211" s="94">
        <f>Data!D$204</f>
        <v>179.048</v>
      </c>
      <c r="F211" s="180">
        <f>Data!E$204</f>
        <v>181.13885057739157</v>
      </c>
      <c r="G211" s="180">
        <f>Data!F$204</f>
        <v>184.50602822682566</v>
      </c>
      <c r="H211" s="180">
        <f>Data!G$204</f>
        <v>193.90799432322186</v>
      </c>
      <c r="I211" s="180">
        <f>Data!H$204</f>
        <v>205.38873623897788</v>
      </c>
      <c r="J211" s="180">
        <f>Data!I$204</f>
        <v>216.52261434577596</v>
      </c>
      <c r="K211" s="99" t="e">
        <f ca="1">IF(OFFSET(Scenarios!#REF!,0,$C$1)="YES",Tracks!D$121,K$209*(J$211/J$209)*(1+K$215))</f>
        <v>#REF!</v>
      </c>
      <c r="L211" s="99" t="e">
        <f ca="1">IF(OFFSET(Scenarios!#REF!,0,$C$1)="YES",Tracks!E$121,L$209*(K$211/K$209)*(1+L$215))</f>
        <v>#REF!</v>
      </c>
      <c r="M211" s="99" t="e">
        <f ca="1">IF(OFFSET(Scenarios!#REF!,0,$C$1)="YES",Tracks!F$121,M$209*(L$211/L$209)*(1+M$215))</f>
        <v>#REF!</v>
      </c>
      <c r="N211" s="99" t="e">
        <f ca="1">IF(OFFSET(Scenarios!#REF!,0,$C$1)="YES",Tracks!G$121,N$209*(M$211/M$209)*(1+N$215))</f>
        <v>#REF!</v>
      </c>
      <c r="O211" s="99" t="e">
        <f ca="1">IF(OFFSET(Scenarios!#REF!,0,$C$1)="YES",Tracks!H$121,O$209*(N$211/N$209)*(1+O$215))</f>
        <v>#REF!</v>
      </c>
      <c r="P211" s="99" t="e">
        <f ca="1">IF(OFFSET(Scenarios!#REF!,0,$C$1)="YES",Tracks!I$121,P$209*(O$211/O$209)*(1+P$215))</f>
        <v>#REF!</v>
      </c>
      <c r="Q211" s="99" t="e">
        <f ca="1">IF(OFFSET(Scenarios!#REF!,0,$C$1)="YES",Tracks!J$121,Q$209*(P$211/P$209)*(1+Q$215))</f>
        <v>#REF!</v>
      </c>
      <c r="R211" s="99" t="e">
        <f ca="1">IF(OFFSET(Scenarios!#REF!,0,$C$1)="YES",Tracks!K$121,R$209*(Q$211/Q$209)*(1+R$215))</f>
        <v>#REF!</v>
      </c>
      <c r="S211" s="99" t="e">
        <f ca="1">IF(OFFSET(Scenarios!#REF!,0,$C$1)="YES",Tracks!L$121,S$209*(R$211/R$209)*(1+S$215))</f>
        <v>#REF!</v>
      </c>
      <c r="T211" s="99" t="e">
        <f ca="1">IF(OFFSET(Scenarios!#REF!,0,$C$1)="YES",Tracks!M$121,T$209*(S$211/S$209)*(1+T$215))</f>
        <v>#REF!</v>
      </c>
    </row>
    <row r="212" spans="1:20" x14ac:dyDescent="0.2">
      <c r="A212" s="260" t="s">
        <v>172</v>
      </c>
      <c r="D212" s="174"/>
      <c r="E212" s="174">
        <f t="shared" ref="E212:K212" si="114">E$211/D$211-1</f>
        <v>6.2151852928439721E-2</v>
      </c>
      <c r="F212" s="178">
        <f t="shared" si="114"/>
        <v>1.1677598059691041E-2</v>
      </c>
      <c r="G212" s="178">
        <f t="shared" si="114"/>
        <v>1.8588931301600997E-2</v>
      </c>
      <c r="H212" s="178">
        <f t="shared" si="114"/>
        <v>5.0957500883590301E-2</v>
      </c>
      <c r="I212" s="178">
        <f t="shared" si="114"/>
        <v>5.9207161395414154E-2</v>
      </c>
      <c r="J212" s="178">
        <f t="shared" si="114"/>
        <v>5.4208805753804157E-2</v>
      </c>
      <c r="K212" s="175" t="e">
        <f t="shared" ca="1" si="114"/>
        <v>#REF!</v>
      </c>
      <c r="L212" s="175" t="e">
        <f t="shared" ref="L212:T212" ca="1" si="115">L$211/K$211-1</f>
        <v>#REF!</v>
      </c>
      <c r="M212" s="175" t="e">
        <f t="shared" ca="1" si="115"/>
        <v>#REF!</v>
      </c>
      <c r="N212" s="175" t="e">
        <f t="shared" ca="1" si="115"/>
        <v>#REF!</v>
      </c>
      <c r="O212" s="175" t="e">
        <f t="shared" ca="1" si="115"/>
        <v>#REF!</v>
      </c>
      <c r="P212" s="175" t="e">
        <f t="shared" ca="1" si="115"/>
        <v>#REF!</v>
      </c>
      <c r="Q212" s="175" t="e">
        <f t="shared" ca="1" si="115"/>
        <v>#REF!</v>
      </c>
      <c r="R212" s="175" t="e">
        <f t="shared" ca="1" si="115"/>
        <v>#REF!</v>
      </c>
      <c r="S212" s="175" t="e">
        <f t="shared" ca="1" si="115"/>
        <v>#REF!</v>
      </c>
      <c r="T212" s="175" t="e">
        <f t="shared" ca="1" si="115"/>
        <v>#REF!</v>
      </c>
    </row>
    <row r="213" spans="1:20" x14ac:dyDescent="0.2">
      <c r="A213" s="48" t="s">
        <v>163</v>
      </c>
      <c r="D213" s="97"/>
      <c r="E213" s="97"/>
      <c r="T213" s="99"/>
    </row>
    <row r="214" spans="1:20" x14ac:dyDescent="0.2">
      <c r="A214" s="47" t="s">
        <v>149</v>
      </c>
      <c r="D214" s="284">
        <f>Data!C$205</f>
        <v>1020</v>
      </c>
      <c r="E214" s="284">
        <f>Data!D$205</f>
        <v>1061</v>
      </c>
      <c r="F214" s="273">
        <f>Data!E$205</f>
        <v>1085.6289999999999</v>
      </c>
      <c r="G214" s="273">
        <f>Data!F$205</f>
        <v>1110.3489999999999</v>
      </c>
      <c r="H214" s="273">
        <f>Data!G$205</f>
        <v>1131.556</v>
      </c>
      <c r="I214" s="273">
        <f>Data!H$205</f>
        <v>1153.1769999999999</v>
      </c>
      <c r="J214" s="273">
        <f>Data!I$205</f>
        <v>1174.567</v>
      </c>
      <c r="K214" s="274">
        <f ca="1">J$214*(1+K$215)</f>
        <v>1198.05834</v>
      </c>
      <c r="L214" s="274">
        <f t="shared" ref="L214:T214" ca="1" si="116">K$214*(1+L$215)</f>
        <v>1222.0195068</v>
      </c>
      <c r="M214" s="274">
        <f t="shared" ca="1" si="116"/>
        <v>1246.4598969360002</v>
      </c>
      <c r="N214" s="274">
        <f t="shared" ca="1" si="116"/>
        <v>1271.3890948747203</v>
      </c>
      <c r="O214" s="274">
        <f t="shared" ca="1" si="116"/>
        <v>1296.8168767722148</v>
      </c>
      <c r="P214" s="274">
        <f t="shared" ca="1" si="116"/>
        <v>1322.7532143076592</v>
      </c>
      <c r="Q214" s="274">
        <f t="shared" ca="1" si="116"/>
        <v>1349.2082785938123</v>
      </c>
      <c r="R214" s="274">
        <f t="shared" ca="1" si="116"/>
        <v>1376.1924441656886</v>
      </c>
      <c r="S214" s="274">
        <f t="shared" ca="1" si="116"/>
        <v>1403.7162930490024</v>
      </c>
      <c r="T214" s="274">
        <f t="shared" ca="1" si="116"/>
        <v>1431.7906189099824</v>
      </c>
    </row>
    <row r="215" spans="1:20" x14ac:dyDescent="0.2">
      <c r="A215" s="260" t="s">
        <v>172</v>
      </c>
      <c r="D215" s="174"/>
      <c r="E215" s="174">
        <f t="shared" ref="E215:J215" si="117">E$214/D$214-1</f>
        <v>4.0196078431372628E-2</v>
      </c>
      <c r="F215" s="178">
        <f t="shared" si="117"/>
        <v>2.3213006597549324E-2</v>
      </c>
      <c r="G215" s="178">
        <f t="shared" si="117"/>
        <v>2.277020971252619E-2</v>
      </c>
      <c r="H215" s="178">
        <f t="shared" si="117"/>
        <v>1.9099400278651313E-2</v>
      </c>
      <c r="I215" s="178">
        <f t="shared" si="117"/>
        <v>1.91073177111869E-2</v>
      </c>
      <c r="J215" s="178">
        <f t="shared" si="117"/>
        <v>1.8548757042500919E-2</v>
      </c>
      <c r="K215" s="175">
        <f ca="1">IF(J$215&lt;OFFSET(Scenarios!$A$7,0,$C$1),MIN(J$215+OFFSET(Scenarios!$A$13,0,$C$1),OFFSET(Scenarios!$A$7,0,$C$1)),MAX(J$215-OFFSET(Scenarios!$A$13,0,$C$1),OFFSET(Scenarios!$A$7,0,$C$1)))</f>
        <v>0.02</v>
      </c>
      <c r="L215" s="175">
        <f ca="1">IF(K$215&lt;OFFSET(Scenarios!$A$7,0,$C$1),MIN(K$215+OFFSET(Scenarios!$A$13,0,$C$1),OFFSET(Scenarios!$A$7,0,$C$1)),MAX(K$215-OFFSET(Scenarios!$A$13,0,$C$1),OFFSET(Scenarios!$A$7,0,$C$1)))</f>
        <v>0.02</v>
      </c>
      <c r="M215" s="175">
        <f ca="1">IF(L$215&lt;OFFSET(Scenarios!$A$7,0,$C$1),MIN(L$215+OFFSET(Scenarios!$A$13,0,$C$1),OFFSET(Scenarios!$A$7,0,$C$1)),MAX(L$215-OFFSET(Scenarios!$A$13,0,$C$1),OFFSET(Scenarios!$A$7,0,$C$1)))</f>
        <v>0.02</v>
      </c>
      <c r="N215" s="175">
        <f ca="1">IF(M$215&lt;OFFSET(Scenarios!$A$7,0,$C$1),MIN(M$215+OFFSET(Scenarios!$A$13,0,$C$1),OFFSET(Scenarios!$A$7,0,$C$1)),MAX(M$215-OFFSET(Scenarios!$A$13,0,$C$1),OFFSET(Scenarios!$A$7,0,$C$1)))</f>
        <v>0.02</v>
      </c>
      <c r="O215" s="175">
        <f ca="1">IF(N$215&lt;OFFSET(Scenarios!$A$7,0,$C$1),MIN(N$215+OFFSET(Scenarios!$A$13,0,$C$1),OFFSET(Scenarios!$A$7,0,$C$1)),MAX(N$215-OFFSET(Scenarios!$A$13,0,$C$1),OFFSET(Scenarios!$A$7,0,$C$1)))</f>
        <v>0.02</v>
      </c>
      <c r="P215" s="175">
        <f ca="1">IF(O$215&lt;OFFSET(Scenarios!$A$7,0,$C$1),MIN(O$215+OFFSET(Scenarios!$A$13,0,$C$1),OFFSET(Scenarios!$A$7,0,$C$1)),MAX(O$215-OFFSET(Scenarios!$A$13,0,$C$1),OFFSET(Scenarios!$A$7,0,$C$1)))</f>
        <v>0.02</v>
      </c>
      <c r="Q215" s="175">
        <f ca="1">IF(P$215&lt;OFFSET(Scenarios!$A$7,0,$C$1),MIN(P$215+OFFSET(Scenarios!$A$13,0,$C$1),OFFSET(Scenarios!$A$7,0,$C$1)),MAX(P$215-OFFSET(Scenarios!$A$13,0,$C$1),OFFSET(Scenarios!$A$7,0,$C$1)))</f>
        <v>0.02</v>
      </c>
      <c r="R215" s="175">
        <f ca="1">IF(Q$215&lt;OFFSET(Scenarios!$A$7,0,$C$1),MIN(Q$215+OFFSET(Scenarios!$A$13,0,$C$1),OFFSET(Scenarios!$A$7,0,$C$1)),MAX(Q$215-OFFSET(Scenarios!$A$13,0,$C$1),OFFSET(Scenarios!$A$7,0,$C$1)))</f>
        <v>0.02</v>
      </c>
      <c r="S215" s="175">
        <f ca="1">IF(R$215&lt;OFFSET(Scenarios!$A$7,0,$C$1),MIN(R$215+OFFSET(Scenarios!$A$13,0,$C$1),OFFSET(Scenarios!$A$7,0,$C$1)),MAX(R$215-OFFSET(Scenarios!$A$13,0,$C$1),OFFSET(Scenarios!$A$7,0,$C$1)))</f>
        <v>0.02</v>
      </c>
      <c r="T215" s="175">
        <f ca="1">IF(S$215&lt;OFFSET(Scenarios!$A$7,0,$C$1),MIN(S$215+OFFSET(Scenarios!$A$13,0,$C$1),OFFSET(Scenarios!$A$7,0,$C$1)),MAX(S$215-OFFSET(Scenarios!$A$13,0,$C$1),OFFSET(Scenarios!$A$7,0,$C$1)))</f>
        <v>0.02</v>
      </c>
    </row>
    <row r="216" spans="1:20" x14ac:dyDescent="0.2">
      <c r="A216" s="47" t="s">
        <v>192</v>
      </c>
      <c r="D216" s="174">
        <f>Data!C$206</f>
        <v>6.3100000000000003E-2</v>
      </c>
      <c r="E216" s="174">
        <f>Data!D$206</f>
        <v>6.4399999999999999E-2</v>
      </c>
      <c r="F216" s="178">
        <f>Data!E$206</f>
        <v>5.8999999999999997E-2</v>
      </c>
      <c r="G216" s="178">
        <f>Data!F$206</f>
        <v>5.7000000000000002E-2</v>
      </c>
      <c r="H216" s="178">
        <f>Data!G$206</f>
        <v>5.8999999999999997E-2</v>
      </c>
      <c r="I216" s="178">
        <f>Data!H$206</f>
        <v>0.06</v>
      </c>
      <c r="J216" s="178">
        <f>Data!I$206</f>
        <v>0.06</v>
      </c>
      <c r="K216" s="175">
        <f ca="1">IF(J$216&lt;OFFSET(Scenarios!$A$8,0,$C$1),MIN(J$216+OFFSET(Scenarios!$A$14,0,$C$1),OFFSET(Scenarios!$A$8,0,$C$1)),MAX(J$216-OFFSET(Scenarios!$A$14,0,$C$1),OFFSET(Scenarios!$A$8,0,$C$1)))</f>
        <v>0.06</v>
      </c>
      <c r="L216" s="175">
        <f ca="1">IF(K$216&lt;OFFSET(Scenarios!$A$8,0,$C$1),MIN(K$216+OFFSET(Scenarios!$A$14,0,$C$1),OFFSET(Scenarios!$A$8,0,$C$1)),MAX(K$216-OFFSET(Scenarios!$A$14,0,$C$1),OFFSET(Scenarios!$A$8,0,$C$1)))</f>
        <v>0.06</v>
      </c>
      <c r="M216" s="175">
        <f ca="1">IF(L$216&lt;OFFSET(Scenarios!$A$8,0,$C$1),MIN(L$216+OFFSET(Scenarios!$A$14,0,$C$1),OFFSET(Scenarios!$A$8,0,$C$1)),MAX(L$216-OFFSET(Scenarios!$A$14,0,$C$1),OFFSET(Scenarios!$A$8,0,$C$1)))</f>
        <v>0.06</v>
      </c>
      <c r="N216" s="175">
        <f ca="1">IF(M$216&lt;OFFSET(Scenarios!$A$8,0,$C$1),MIN(M$216+OFFSET(Scenarios!$A$14,0,$C$1),OFFSET(Scenarios!$A$8,0,$C$1)),MAX(M$216-OFFSET(Scenarios!$A$14,0,$C$1),OFFSET(Scenarios!$A$8,0,$C$1)))</f>
        <v>0.06</v>
      </c>
      <c r="O216" s="175">
        <f ca="1">IF(N$216&lt;OFFSET(Scenarios!$A$8,0,$C$1),MIN(N$216+OFFSET(Scenarios!$A$14,0,$C$1),OFFSET(Scenarios!$A$8,0,$C$1)),MAX(N$216-OFFSET(Scenarios!$A$14,0,$C$1),OFFSET(Scenarios!$A$8,0,$C$1)))</f>
        <v>0.06</v>
      </c>
      <c r="P216" s="175">
        <f ca="1">IF(O$216&lt;OFFSET(Scenarios!$A$8,0,$C$1),MIN(O$216+OFFSET(Scenarios!$A$14,0,$C$1),OFFSET(Scenarios!$A$8,0,$C$1)),MAX(O$216-OFFSET(Scenarios!$A$14,0,$C$1),OFFSET(Scenarios!$A$8,0,$C$1)))</f>
        <v>0.06</v>
      </c>
      <c r="Q216" s="175">
        <f ca="1">IF(P$216&lt;OFFSET(Scenarios!$A$8,0,$C$1),MIN(P$216+OFFSET(Scenarios!$A$14,0,$C$1),OFFSET(Scenarios!$A$8,0,$C$1)),MAX(P$216-OFFSET(Scenarios!$A$14,0,$C$1),OFFSET(Scenarios!$A$8,0,$C$1)))</f>
        <v>0.06</v>
      </c>
      <c r="R216" s="175">
        <f ca="1">IF(Q$216&lt;OFFSET(Scenarios!$A$8,0,$C$1),MIN(Q$216+OFFSET(Scenarios!$A$14,0,$C$1),OFFSET(Scenarios!$A$8,0,$C$1)),MAX(Q$216-OFFSET(Scenarios!$A$14,0,$C$1),OFFSET(Scenarios!$A$8,0,$C$1)))</f>
        <v>0.06</v>
      </c>
      <c r="S216" s="175">
        <f ca="1">IF(R$216&lt;OFFSET(Scenarios!$A$8,0,$C$1),MIN(R$216+OFFSET(Scenarios!$A$14,0,$C$1),OFFSET(Scenarios!$A$8,0,$C$1)),MAX(R$216-OFFSET(Scenarios!$A$14,0,$C$1),OFFSET(Scenarios!$A$8,0,$C$1)))</f>
        <v>0.06</v>
      </c>
      <c r="T216" s="175">
        <f ca="1">IF(S$216&lt;OFFSET(Scenarios!$A$8,0,$C$1),MIN(S$216+OFFSET(Scenarios!$A$14,0,$C$1),OFFSET(Scenarios!$A$8,0,$C$1)),MAX(S$216-OFFSET(Scenarios!$A$14,0,$C$1),OFFSET(Scenarios!$A$8,0,$C$1)))</f>
        <v>0.06</v>
      </c>
    </row>
    <row r="217" spans="1:20" x14ac:dyDescent="0.2">
      <c r="A217" s="48" t="s">
        <v>164</v>
      </c>
      <c r="D217" s="285"/>
      <c r="E217" s="285"/>
      <c r="F217" s="188"/>
      <c r="G217" s="188"/>
      <c r="H217" s="188"/>
      <c r="I217" s="188"/>
      <c r="J217" s="188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</row>
    <row r="218" spans="1:20" x14ac:dyDescent="0.2">
      <c r="A218" s="47" t="s">
        <v>270</v>
      </c>
      <c r="D218" s="94">
        <f>SUM(Popn!D$24:D$99,Popn!D$118:D$193)/1000000</f>
        <v>3.3398500000000002</v>
      </c>
      <c r="E218" s="94">
        <f>SUM(Popn!E$24:E$99,Popn!E$118:E$193)/1000000</f>
        <v>3.3793000000000002</v>
      </c>
      <c r="F218" s="180">
        <f>SUM(Popn!F$24:F$99,Popn!F$118:F$193)/1000000</f>
        <v>3.4188000000000001</v>
      </c>
      <c r="G218" s="180">
        <f>SUM(Popn!G$24:G$99,Popn!G$118:G$193)/1000000</f>
        <v>3.45933</v>
      </c>
      <c r="H218" s="180">
        <f>SUM(Popn!H$24:H$99,Popn!H$118:H$193)/1000000</f>
        <v>3.49865</v>
      </c>
      <c r="I218" s="180">
        <f>SUM(Popn!I$24:I$99,Popn!I$118:I$193)/1000000</f>
        <v>3.5358900000000002</v>
      </c>
      <c r="J218" s="180">
        <f>SUM(Popn!J$24:J$99,Popn!J$118:J$193)/1000000</f>
        <v>3.5729700000000002</v>
      </c>
      <c r="K218" s="99">
        <f>SUM(Popn!K$24:K$99,Popn!K$118:K$193)/1000000</f>
        <v>3.6087799999999999</v>
      </c>
      <c r="L218" s="99">
        <f>SUM(Popn!L$24:L$99,Popn!L$118:L$193)/1000000</f>
        <v>3.64608</v>
      </c>
      <c r="M218" s="99">
        <f>SUM(Popn!M$24:M$99,Popn!M$118:M$193)/1000000</f>
        <v>3.6820400000000002</v>
      </c>
      <c r="N218" s="99">
        <f>SUM(Popn!N$24:N$99,Popn!N$118:N$193)/1000000</f>
        <v>3.7154400000000001</v>
      </c>
      <c r="O218" s="99">
        <f>SUM(Popn!O$24:O$99,Popn!O$118:O$193)/1000000</f>
        <v>3.7489699999999999</v>
      </c>
      <c r="P218" s="99">
        <f>SUM(Popn!P$24:P$99,Popn!P$118:P$193)/1000000</f>
        <v>3.78362</v>
      </c>
      <c r="Q218" s="99">
        <f>SUM(Popn!Q$24:Q$99,Popn!Q$118:Q$193)/1000000</f>
        <v>3.8177400000000001</v>
      </c>
      <c r="R218" s="99">
        <f>SUM(Popn!R$24:R$99,Popn!R$118:R$193)/1000000</f>
        <v>3.8532299999999999</v>
      </c>
      <c r="S218" s="99">
        <f>SUM(Popn!S$24:S$99,Popn!S$118:S$193)/1000000</f>
        <v>3.89066</v>
      </c>
      <c r="T218" s="99">
        <f>SUM(Popn!T$24:T$99,Popn!T$118:T$193)/1000000</f>
        <v>3.9278599999999999</v>
      </c>
    </row>
    <row r="219" spans="1:20" x14ac:dyDescent="0.2">
      <c r="A219" s="260" t="s">
        <v>172</v>
      </c>
      <c r="D219" s="174"/>
      <c r="E219" s="174">
        <f t="shared" ref="E219:K219" si="118">E$218/D$218-1</f>
        <v>1.1811907720406634E-2</v>
      </c>
      <c r="F219" s="178">
        <f t="shared" si="118"/>
        <v>1.16888112922795E-2</v>
      </c>
      <c r="G219" s="178">
        <f t="shared" si="118"/>
        <v>1.1855036855036749E-2</v>
      </c>
      <c r="H219" s="178">
        <f t="shared" si="118"/>
        <v>1.1366362850609768E-2</v>
      </c>
      <c r="I219" s="178">
        <f t="shared" si="118"/>
        <v>1.0644105583582197E-2</v>
      </c>
      <c r="J219" s="178">
        <f t="shared" si="118"/>
        <v>1.0486751567497787E-2</v>
      </c>
      <c r="K219" s="175">
        <f t="shared" si="118"/>
        <v>1.0022474300092066E-2</v>
      </c>
      <c r="L219" s="175">
        <f t="shared" ref="L219:T219" si="119">L$218/K$218-1</f>
        <v>1.0335902992147039E-2</v>
      </c>
      <c r="M219" s="175">
        <f t="shared" si="119"/>
        <v>9.8626470071967454E-3</v>
      </c>
      <c r="N219" s="175">
        <f t="shared" si="119"/>
        <v>9.0710584349980028E-3</v>
      </c>
      <c r="O219" s="175">
        <f t="shared" si="119"/>
        <v>9.0245031544042842E-3</v>
      </c>
      <c r="P219" s="175">
        <f t="shared" si="119"/>
        <v>9.2425386172736435E-3</v>
      </c>
      <c r="Q219" s="175">
        <f t="shared" si="119"/>
        <v>9.017818914161646E-3</v>
      </c>
      <c r="R219" s="175">
        <f t="shared" si="119"/>
        <v>9.2960756887581208E-3</v>
      </c>
      <c r="S219" s="175">
        <f t="shared" si="119"/>
        <v>9.7139283146867594E-3</v>
      </c>
      <c r="T219" s="175">
        <f t="shared" si="119"/>
        <v>9.5613597692936203E-3</v>
      </c>
    </row>
    <row r="220" spans="1:20" x14ac:dyDescent="0.2">
      <c r="A220" s="47" t="s">
        <v>271</v>
      </c>
      <c r="D220" s="94">
        <f>Data!C$207</f>
        <v>2.2168000000000001</v>
      </c>
      <c r="E220" s="94">
        <f>Data!D$207</f>
        <v>2.2395</v>
      </c>
      <c r="F220" s="180">
        <f>Data!E$207</f>
        <v>2.2664</v>
      </c>
      <c r="G220" s="180">
        <f>Data!F$207</f>
        <v>2.2530000000000001</v>
      </c>
      <c r="H220" s="180">
        <f>Data!G$207</f>
        <v>2.2458</v>
      </c>
      <c r="I220" s="180">
        <f>Data!H$207</f>
        <v>2.2711000000000001</v>
      </c>
      <c r="J220" s="180">
        <f>Data!I$207</f>
        <v>2.3178000000000001</v>
      </c>
      <c r="K220" s="99">
        <f>Popn!K$259</f>
        <v>2.3392216086824771</v>
      </c>
      <c r="L220" s="99">
        <f>Popn!L$259</f>
        <v>2.3612578798619479</v>
      </c>
      <c r="M220" s="99">
        <f>Popn!M$259</f>
        <v>2.382888764524083</v>
      </c>
      <c r="N220" s="99">
        <f>Popn!N$259</f>
        <v>2.4024981857666261</v>
      </c>
      <c r="O220" s="99">
        <f>Popn!O$259</f>
        <v>2.418770475312729</v>
      </c>
      <c r="P220" s="99">
        <f>Popn!P$259</f>
        <v>2.4344515825750874</v>
      </c>
      <c r="Q220" s="99">
        <f>Popn!Q$259</f>
        <v>2.4496691142264813</v>
      </c>
      <c r="R220" s="99">
        <f>Popn!R$259</f>
        <v>2.464218051329826</v>
      </c>
      <c r="S220" s="99">
        <f>Popn!S$259</f>
        <v>2.4787750709403045</v>
      </c>
      <c r="T220" s="99">
        <f>Popn!T$259</f>
        <v>2.4922581474423349</v>
      </c>
    </row>
    <row r="221" spans="1:20" x14ac:dyDescent="0.2">
      <c r="A221" s="260" t="s">
        <v>172</v>
      </c>
      <c r="D221" s="174"/>
      <c r="E221" s="174">
        <f t="shared" ref="E221:K221" si="120">E$220/D$220-1</f>
        <v>1.023998556477812E-2</v>
      </c>
      <c r="F221" s="178">
        <f t="shared" si="120"/>
        <v>1.2011609734315698E-2</v>
      </c>
      <c r="G221" s="178">
        <f t="shared" si="120"/>
        <v>-5.9124602894458089E-3</v>
      </c>
      <c r="H221" s="178">
        <f t="shared" si="120"/>
        <v>-3.1957390146472031E-3</v>
      </c>
      <c r="I221" s="178">
        <f t="shared" si="120"/>
        <v>1.1265473327989994E-2</v>
      </c>
      <c r="J221" s="178">
        <f t="shared" si="120"/>
        <v>2.0562722909603259E-2</v>
      </c>
      <c r="K221" s="175">
        <f t="shared" si="120"/>
        <v>9.2422161888330301E-3</v>
      </c>
      <c r="L221" s="175">
        <f t="shared" ref="L221:T221" si="121">L$220/K$220-1</f>
        <v>9.4203435440571859E-3</v>
      </c>
      <c r="M221" s="175">
        <f t="shared" si="121"/>
        <v>9.160746416820853E-3</v>
      </c>
      <c r="N221" s="175">
        <f t="shared" si="121"/>
        <v>8.2292642168126928E-3</v>
      </c>
      <c r="O221" s="175">
        <f t="shared" si="121"/>
        <v>6.7730704824280341E-3</v>
      </c>
      <c r="P221" s="175">
        <f t="shared" si="121"/>
        <v>6.4830902404375834E-3</v>
      </c>
      <c r="Q221" s="175">
        <f t="shared" si="121"/>
        <v>6.2509074981467183E-3</v>
      </c>
      <c r="R221" s="175">
        <f t="shared" si="121"/>
        <v>5.939143788380008E-3</v>
      </c>
      <c r="S221" s="175">
        <f t="shared" si="121"/>
        <v>5.907358564564813E-3</v>
      </c>
      <c r="T221" s="175">
        <f t="shared" si="121"/>
        <v>5.439411046245457E-3</v>
      </c>
    </row>
    <row r="222" spans="1:20" x14ac:dyDescent="0.2">
      <c r="A222" s="47" t="s">
        <v>174</v>
      </c>
      <c r="D222" s="174">
        <f t="shared" ref="D222:T222" si="122">D$220/D$218</f>
        <v>0.66374238363998384</v>
      </c>
      <c r="E222" s="174">
        <f t="shared" si="122"/>
        <v>0.6627112123812624</v>
      </c>
      <c r="F222" s="178">
        <f t="shared" si="122"/>
        <v>0.66292266292266289</v>
      </c>
      <c r="G222" s="178">
        <f t="shared" si="122"/>
        <v>0.65128218470050558</v>
      </c>
      <c r="H222" s="178">
        <f t="shared" si="122"/>
        <v>0.64190473468337783</v>
      </c>
      <c r="I222" s="178">
        <f t="shared" si="122"/>
        <v>0.64229939279785286</v>
      </c>
      <c r="J222" s="178">
        <f t="shared" si="122"/>
        <v>0.64870401934525057</v>
      </c>
      <c r="K222" s="175">
        <f t="shared" si="122"/>
        <v>0.64820288537469095</v>
      </c>
      <c r="L222" s="175">
        <f t="shared" si="122"/>
        <v>0.64761548837709204</v>
      </c>
      <c r="M222" s="175">
        <f t="shared" si="122"/>
        <v>0.64716536608078212</v>
      </c>
      <c r="N222" s="175">
        <f t="shared" si="122"/>
        <v>0.64662548332542746</v>
      </c>
      <c r="O222" s="175">
        <f t="shared" si="122"/>
        <v>0.64518267025682496</v>
      </c>
      <c r="P222" s="175">
        <f t="shared" si="122"/>
        <v>0.64341862622966561</v>
      </c>
      <c r="Q222" s="175">
        <f t="shared" si="122"/>
        <v>0.64165425467069026</v>
      </c>
      <c r="R222" s="175">
        <f t="shared" si="122"/>
        <v>0.63952010425794104</v>
      </c>
      <c r="S222" s="175">
        <f t="shared" si="122"/>
        <v>0.63710914624775861</v>
      </c>
      <c r="T222" s="175">
        <f t="shared" si="122"/>
        <v>0.63450788659533053</v>
      </c>
    </row>
    <row r="223" spans="1:20" x14ac:dyDescent="0.2">
      <c r="A223" s="47" t="s">
        <v>150</v>
      </c>
      <c r="D223" s="174">
        <f>Data!C$208</f>
        <v>3.73E-2</v>
      </c>
      <c r="E223" s="174">
        <f>Data!D$208</f>
        <v>3.6299999999999999E-2</v>
      </c>
      <c r="F223" s="178">
        <f>Data!E$208</f>
        <v>4.6699999999999998E-2</v>
      </c>
      <c r="G223" s="178">
        <f>Data!F$208</f>
        <v>6.2399999999999997E-2</v>
      </c>
      <c r="H223" s="178">
        <f>Data!G$208</f>
        <v>6.3E-2</v>
      </c>
      <c r="I223" s="178">
        <f>Data!H$208</f>
        <v>5.5100000000000003E-2</v>
      </c>
      <c r="J223" s="178">
        <f>Data!I$208</f>
        <v>4.6899999999999997E-2</v>
      </c>
      <c r="K223" s="175">
        <f ca="1">IF(J$223&lt;OFFSET(Scenarios!$A$9,0,$C$1),MIN(J$223+OFFSET(Scenarios!$A$15,0,$C$1),OFFSET(Scenarios!$A$9,0,$C$1)),MAX(J$223-OFFSET(Scenarios!$A$15,0,$C$1),OFFSET(Scenarios!$A$9,0,$C$1)))</f>
        <v>4.5899999999999996E-2</v>
      </c>
      <c r="L223" s="175">
        <f ca="1">IF(K$223&lt;OFFSET(Scenarios!$A$9,0,$C$1),MIN(K$223+OFFSET(Scenarios!$A$15,0,$C$1),OFFSET(Scenarios!$A$9,0,$C$1)),MAX(K$223-OFFSET(Scenarios!$A$15,0,$C$1),OFFSET(Scenarios!$A$9,0,$C$1)))</f>
        <v>4.4899999999999995E-2</v>
      </c>
      <c r="M223" s="175">
        <f ca="1">IF(L$223&lt;OFFSET(Scenarios!$A$9,0,$C$1),MIN(L$223+OFFSET(Scenarios!$A$15,0,$C$1),OFFSET(Scenarios!$A$9,0,$C$1)),MAX(L$223-OFFSET(Scenarios!$A$15,0,$C$1),OFFSET(Scenarios!$A$9,0,$C$1)))</f>
        <v>4.3899999999999995E-2</v>
      </c>
      <c r="N223" s="175">
        <f ca="1">IF(M$223&lt;OFFSET(Scenarios!$A$9,0,$C$1),MIN(M$223+OFFSET(Scenarios!$A$15,0,$C$1),OFFSET(Scenarios!$A$9,0,$C$1)),MAX(M$223-OFFSET(Scenarios!$A$15,0,$C$1),OFFSET(Scenarios!$A$9,0,$C$1)))</f>
        <v>4.2999999999999997E-2</v>
      </c>
      <c r="O223" s="175">
        <f ca="1">IF(N$223&lt;OFFSET(Scenarios!$A$9,0,$C$1),MIN(N$223+OFFSET(Scenarios!$A$15,0,$C$1),OFFSET(Scenarios!$A$9,0,$C$1)),MAX(N$223-OFFSET(Scenarios!$A$15,0,$C$1),OFFSET(Scenarios!$A$9,0,$C$1)))</f>
        <v>4.2999999999999997E-2</v>
      </c>
      <c r="P223" s="175">
        <f ca="1">IF(O$223&lt;OFFSET(Scenarios!$A$9,0,$C$1),MIN(O$223+OFFSET(Scenarios!$A$15,0,$C$1),OFFSET(Scenarios!$A$9,0,$C$1)),MAX(O$223-OFFSET(Scenarios!$A$15,0,$C$1),OFFSET(Scenarios!$A$9,0,$C$1)))</f>
        <v>4.2999999999999997E-2</v>
      </c>
      <c r="Q223" s="175">
        <f ca="1">IF(P$223&lt;OFFSET(Scenarios!$A$9,0,$C$1),MIN(P$223+OFFSET(Scenarios!$A$15,0,$C$1),OFFSET(Scenarios!$A$9,0,$C$1)),MAX(P$223-OFFSET(Scenarios!$A$15,0,$C$1),OFFSET(Scenarios!$A$9,0,$C$1)))</f>
        <v>4.2999999999999997E-2</v>
      </c>
      <c r="R223" s="175">
        <f ca="1">IF(Q$223&lt;OFFSET(Scenarios!$A$9,0,$C$1),MIN(Q$223+OFFSET(Scenarios!$A$15,0,$C$1),OFFSET(Scenarios!$A$9,0,$C$1)),MAX(Q$223-OFFSET(Scenarios!$A$15,0,$C$1),OFFSET(Scenarios!$A$9,0,$C$1)))</f>
        <v>4.2999999999999997E-2</v>
      </c>
      <c r="S223" s="175">
        <f ca="1">IF(R$223&lt;OFFSET(Scenarios!$A$9,0,$C$1),MIN(R$223+OFFSET(Scenarios!$A$15,0,$C$1),OFFSET(Scenarios!$A$9,0,$C$1)),MAX(R$223-OFFSET(Scenarios!$A$15,0,$C$1),OFFSET(Scenarios!$A$9,0,$C$1)))</f>
        <v>4.2999999999999997E-2</v>
      </c>
      <c r="T223" s="175">
        <f ca="1">IF(S$223&lt;OFFSET(Scenarios!$A$9,0,$C$1),MIN(S$223+OFFSET(Scenarios!$A$15,0,$C$1),OFFSET(Scenarios!$A$9,0,$C$1)),MAX(S$223-OFFSET(Scenarios!$A$15,0,$C$1),OFFSET(Scenarios!$A$9,0,$C$1)))</f>
        <v>4.2999999999999997E-2</v>
      </c>
    </row>
    <row r="224" spans="1:20" x14ac:dyDescent="0.2">
      <c r="A224" s="47" t="s">
        <v>842</v>
      </c>
      <c r="D224" s="94">
        <f t="shared" ref="D224:T224" si="123">D$220*(1-D$223)</f>
        <v>2.1341133600000002</v>
      </c>
      <c r="E224" s="94">
        <f t="shared" si="123"/>
        <v>2.1582061500000003</v>
      </c>
      <c r="F224" s="180">
        <f t="shared" si="123"/>
        <v>2.1605591199999998</v>
      </c>
      <c r="G224" s="180">
        <f t="shared" si="123"/>
        <v>2.1124128</v>
      </c>
      <c r="H224" s="180">
        <f t="shared" si="123"/>
        <v>2.1043145999999999</v>
      </c>
      <c r="I224" s="180">
        <f t="shared" si="123"/>
        <v>2.1459623900000002</v>
      </c>
      <c r="J224" s="180">
        <f t="shared" si="123"/>
        <v>2.2090951800000003</v>
      </c>
      <c r="K224" s="99">
        <f t="shared" ca="1" si="123"/>
        <v>2.2318513368439512</v>
      </c>
      <c r="L224" s="99">
        <f t="shared" ca="1" si="123"/>
        <v>2.2552374010561467</v>
      </c>
      <c r="M224" s="99">
        <f t="shared" ca="1" si="123"/>
        <v>2.2782799477614755</v>
      </c>
      <c r="N224" s="99">
        <f t="shared" ca="1" si="123"/>
        <v>2.2991907637786611</v>
      </c>
      <c r="O224" s="99">
        <f t="shared" ca="1" si="123"/>
        <v>2.3147633448742817</v>
      </c>
      <c r="P224" s="99">
        <f t="shared" ca="1" si="123"/>
        <v>2.3297701645243585</v>
      </c>
      <c r="Q224" s="99">
        <f t="shared" ca="1" si="123"/>
        <v>2.3443333423147426</v>
      </c>
      <c r="R224" s="99">
        <f t="shared" ca="1" si="123"/>
        <v>2.3582566751226435</v>
      </c>
      <c r="S224" s="99">
        <f t="shared" ca="1" si="123"/>
        <v>2.3721877428898712</v>
      </c>
      <c r="T224" s="99">
        <f t="shared" ca="1" si="123"/>
        <v>2.3850910471023146</v>
      </c>
    </row>
    <row r="225" spans="1:20" x14ac:dyDescent="0.2">
      <c r="A225" s="260" t="s">
        <v>172</v>
      </c>
      <c r="D225" s="174"/>
      <c r="E225" s="174">
        <f t="shared" ref="E225:K225" si="124">E$224/D$224-1</f>
        <v>1.1289367496392089E-2</v>
      </c>
      <c r="F225" s="178">
        <f t="shared" si="124"/>
        <v>1.0902433949599999E-3</v>
      </c>
      <c r="G225" s="178">
        <f t="shared" si="124"/>
        <v>-2.2284194657908651E-2</v>
      </c>
      <c r="H225" s="178">
        <f t="shared" si="124"/>
        <v>-3.8336257004313312E-3</v>
      </c>
      <c r="I225" s="178">
        <f t="shared" si="124"/>
        <v>1.9791617660211314E-2</v>
      </c>
      <c r="J225" s="178">
        <f t="shared" si="124"/>
        <v>2.9419336654823658E-2</v>
      </c>
      <c r="K225" s="175">
        <f t="shared" ca="1" si="124"/>
        <v>1.030112104266645E-2</v>
      </c>
      <c r="L225" s="175">
        <f t="shared" ref="L225:T225" ca="1" si="125">L$224/K$224-1</f>
        <v>1.0478325247803344E-2</v>
      </c>
      <c r="M225" s="175">
        <f t="shared" ca="1" si="125"/>
        <v>1.0217348601321508E-2</v>
      </c>
      <c r="N225" s="175">
        <f t="shared" ca="1" si="125"/>
        <v>9.1783347510614455E-3</v>
      </c>
      <c r="O225" s="175">
        <f t="shared" ca="1" si="125"/>
        <v>6.7730704824280341E-3</v>
      </c>
      <c r="P225" s="175">
        <f t="shared" ca="1" si="125"/>
        <v>6.4830902404373614E-3</v>
      </c>
      <c r="Q225" s="175">
        <f t="shared" ca="1" si="125"/>
        <v>6.2509074981467183E-3</v>
      </c>
      <c r="R225" s="175">
        <f t="shared" ca="1" si="125"/>
        <v>5.939143788380008E-3</v>
      </c>
      <c r="S225" s="175">
        <f t="shared" ca="1" si="125"/>
        <v>5.907358564564813E-3</v>
      </c>
      <c r="T225" s="175">
        <f t="shared" ca="1" si="125"/>
        <v>5.439411046245457E-3</v>
      </c>
    </row>
    <row r="226" spans="1:20" x14ac:dyDescent="0.2">
      <c r="A226" s="47" t="s">
        <v>151</v>
      </c>
      <c r="D226" s="286">
        <f>Data!C$209</f>
        <v>38.1</v>
      </c>
      <c r="E226" s="286">
        <f>Data!D$209</f>
        <v>38</v>
      </c>
      <c r="F226" s="189">
        <f>Data!E$209</f>
        <v>37.700000000000003</v>
      </c>
      <c r="G226" s="189">
        <f>Data!F$209</f>
        <v>37.799999999999997</v>
      </c>
      <c r="H226" s="189">
        <f>Data!G$209</f>
        <v>37.799999999999997</v>
      </c>
      <c r="I226" s="189">
        <f>Data!H$209</f>
        <v>37.799999999999997</v>
      </c>
      <c r="J226" s="189">
        <f>Data!I$209</f>
        <v>37.799999999999997</v>
      </c>
      <c r="K226" s="223">
        <f>J$226</f>
        <v>37.799999999999997</v>
      </c>
      <c r="L226" s="223">
        <f t="shared" ref="L226:T226" si="126">K$226</f>
        <v>37.799999999999997</v>
      </c>
      <c r="M226" s="223">
        <f t="shared" si="126"/>
        <v>37.799999999999997</v>
      </c>
      <c r="N226" s="223">
        <f t="shared" si="126"/>
        <v>37.799999999999997</v>
      </c>
      <c r="O226" s="223">
        <f t="shared" si="126"/>
        <v>37.799999999999997</v>
      </c>
      <c r="P226" s="223">
        <f t="shared" si="126"/>
        <v>37.799999999999997</v>
      </c>
      <c r="Q226" s="223">
        <f t="shared" si="126"/>
        <v>37.799999999999997</v>
      </c>
      <c r="R226" s="223">
        <f t="shared" si="126"/>
        <v>37.799999999999997</v>
      </c>
      <c r="S226" s="223">
        <f t="shared" si="126"/>
        <v>37.799999999999997</v>
      </c>
      <c r="T226" s="223">
        <f t="shared" si="126"/>
        <v>37.799999999999997</v>
      </c>
    </row>
    <row r="227" spans="1:20" x14ac:dyDescent="0.2">
      <c r="A227" s="47" t="s">
        <v>275</v>
      </c>
      <c r="D227" s="174">
        <f>Data!C$211</f>
        <v>4.7199999999999999E-2</v>
      </c>
      <c r="E227" s="174">
        <f>Data!D$211</f>
        <v>4.5100000000000001E-2</v>
      </c>
      <c r="F227" s="178">
        <f>Data!E$211</f>
        <v>5.21E-2</v>
      </c>
      <c r="G227" s="178">
        <f>Data!F$211</f>
        <v>4.1200000000000001E-2</v>
      </c>
      <c r="H227" s="178">
        <f>Data!G$211</f>
        <v>3.4500000000000003E-2</v>
      </c>
      <c r="I227" s="178">
        <f>Data!H$211</f>
        <v>2.9399999999999999E-2</v>
      </c>
      <c r="J227" s="178">
        <f>Data!I$211</f>
        <v>2.9499999999999998E-2</v>
      </c>
      <c r="K227" s="175">
        <f t="shared" ref="K227:T227" ca="1" si="127">(1+K$215)*(1+K$228)-1</f>
        <v>3.5299999999999887E-2</v>
      </c>
      <c r="L227" s="175">
        <f t="shared" ca="1" si="127"/>
        <v>3.5299999999999887E-2</v>
      </c>
      <c r="M227" s="175">
        <f t="shared" ca="1" si="127"/>
        <v>3.5299999999999887E-2</v>
      </c>
      <c r="N227" s="175">
        <f t="shared" ca="1" si="127"/>
        <v>3.5299999999999887E-2</v>
      </c>
      <c r="O227" s="175">
        <f t="shared" ca="1" si="127"/>
        <v>3.5299999999999887E-2</v>
      </c>
      <c r="P227" s="175">
        <f t="shared" ca="1" si="127"/>
        <v>3.5299999999999887E-2</v>
      </c>
      <c r="Q227" s="175">
        <f t="shared" ca="1" si="127"/>
        <v>3.5299999999999887E-2</v>
      </c>
      <c r="R227" s="175">
        <f t="shared" ca="1" si="127"/>
        <v>3.5299999999999887E-2</v>
      </c>
      <c r="S227" s="175">
        <f t="shared" ca="1" si="127"/>
        <v>3.5299999999999887E-2</v>
      </c>
      <c r="T227" s="175">
        <f t="shared" ca="1" si="127"/>
        <v>3.5299999999999887E-2</v>
      </c>
    </row>
    <row r="228" spans="1:20" x14ac:dyDescent="0.2">
      <c r="A228" s="47" t="s">
        <v>394</v>
      </c>
      <c r="B228" s="174"/>
      <c r="D228" s="174">
        <f>Data!C$210</f>
        <v>1.6E-2</v>
      </c>
      <c r="E228" s="174">
        <f>Data!D$210</f>
        <v>2.6499999999999999E-2</v>
      </c>
      <c r="F228" s="178">
        <f>Data!E$210</f>
        <v>5.4000000000000003E-3</v>
      </c>
      <c r="G228" s="178">
        <f>Data!F$210</f>
        <v>3.5299999999999998E-2</v>
      </c>
      <c r="H228" s="178">
        <f>Data!G$210</f>
        <v>3.5999999999999997E-2</v>
      </c>
      <c r="I228" s="178">
        <f>Data!H$210</f>
        <v>1.9199999999999998E-2</v>
      </c>
      <c r="J228" s="178">
        <f>Data!I$210</f>
        <v>6.8999999999999999E-3</v>
      </c>
      <c r="K228" s="175">
        <f ca="1">OFFSET(Scenarios!$A$6,0,$C$1)</f>
        <v>1.4999999999999999E-2</v>
      </c>
      <c r="L228" s="175">
        <f ca="1">OFFSET(Scenarios!$A$6,0,$C$1)</f>
        <v>1.4999999999999999E-2</v>
      </c>
      <c r="M228" s="175">
        <f ca="1">OFFSET(Scenarios!$A$6,0,$C$1)</f>
        <v>1.4999999999999999E-2</v>
      </c>
      <c r="N228" s="175">
        <f ca="1">OFFSET(Scenarios!$A$6,0,$C$1)</f>
        <v>1.4999999999999999E-2</v>
      </c>
      <c r="O228" s="175">
        <f ca="1">OFFSET(Scenarios!$A$6,0,$C$1)</f>
        <v>1.4999999999999999E-2</v>
      </c>
      <c r="P228" s="175">
        <f ca="1">OFFSET(Scenarios!$A$6,0,$C$1)</f>
        <v>1.4999999999999999E-2</v>
      </c>
      <c r="Q228" s="175">
        <f ca="1">OFFSET(Scenarios!$A$6,0,$C$1)</f>
        <v>1.4999999999999999E-2</v>
      </c>
      <c r="R228" s="175">
        <f ca="1">OFFSET(Scenarios!$A$6,0,$C$1)</f>
        <v>1.4999999999999999E-2</v>
      </c>
      <c r="S228" s="175">
        <f ca="1">OFFSET(Scenarios!$A$6,0,$C$1)</f>
        <v>1.4999999999999999E-2</v>
      </c>
      <c r="T228" s="175">
        <f ca="1">OFFSET(Scenarios!$A$6,0,$C$1)</f>
        <v>1.4999999999999999E-2</v>
      </c>
    </row>
    <row r="229" spans="1:20" x14ac:dyDescent="0.2">
      <c r="D229" s="97"/>
      <c r="E229" s="97"/>
      <c r="T229" s="99"/>
    </row>
    <row r="230" spans="1:20" ht="15.75" x14ac:dyDescent="0.25">
      <c r="A230" s="249" t="s">
        <v>395</v>
      </c>
      <c r="D230" s="97"/>
      <c r="E230" s="97"/>
      <c r="T230" s="99"/>
    </row>
    <row r="231" spans="1:20" x14ac:dyDescent="0.2">
      <c r="A231" s="43" t="s">
        <v>352</v>
      </c>
      <c r="D231" s="97"/>
      <c r="E231" s="97"/>
      <c r="T231" s="99"/>
    </row>
    <row r="232" spans="1:20" x14ac:dyDescent="0.2">
      <c r="A232" s="44" t="s">
        <v>250</v>
      </c>
      <c r="D232" s="97"/>
      <c r="E232" s="95">
        <f>Popn!E$201</f>
        <v>2.1017258073702694E-2</v>
      </c>
      <c r="F232" s="184">
        <f>Popn!F$201</f>
        <v>2.7055673323663987E-2</v>
      </c>
      <c r="G232" s="184">
        <f>Popn!G$201</f>
        <v>2.8497456230876406E-2</v>
      </c>
      <c r="H232" s="184">
        <f>Popn!H$201</f>
        <v>3.0647631453870172E-2</v>
      </c>
      <c r="I232" s="184">
        <f>Popn!I$201</f>
        <v>4.12823666051787E-2</v>
      </c>
      <c r="J232" s="184">
        <f>Popn!J$201</f>
        <v>3.8071024358238281E-2</v>
      </c>
      <c r="K232" s="224">
        <f>Popn!K$201</f>
        <v>3.5063047119426205E-2</v>
      </c>
      <c r="L232" s="224">
        <f>Popn!L$201</f>
        <v>3.4623311197618412E-2</v>
      </c>
      <c r="M232" s="224">
        <f>Popn!M$201</f>
        <v>3.2313753264574308E-2</v>
      </c>
      <c r="N232" s="224">
        <f>Popn!N$201</f>
        <v>3.1802524191358206E-2</v>
      </c>
      <c r="O232" s="224">
        <f>Popn!O$201</f>
        <v>3.0836150052640399E-2</v>
      </c>
      <c r="P232" s="224">
        <f>Popn!P$201</f>
        <v>3.1351627381944303E-2</v>
      </c>
      <c r="Q232" s="224">
        <f>Popn!Q$201</f>
        <v>3.1336729774453786E-2</v>
      </c>
      <c r="R232" s="224">
        <f>Popn!R$201</f>
        <v>3.2216494845360932E-2</v>
      </c>
      <c r="S232" s="224">
        <f>Popn!S$201</f>
        <v>3.1798487185136226E-2</v>
      </c>
      <c r="T232" s="224">
        <f>Popn!T$201</f>
        <v>3.1008303677342752E-2</v>
      </c>
    </row>
    <row r="233" spans="1:20" x14ac:dyDescent="0.2">
      <c r="A233" s="44" t="s">
        <v>314</v>
      </c>
      <c r="D233" s="97"/>
      <c r="E233" s="95">
        <f t="shared" ref="E233:T233" si="128">E$215</f>
        <v>4.0196078431372628E-2</v>
      </c>
      <c r="F233" s="184">
        <f t="shared" si="128"/>
        <v>2.3213006597549324E-2</v>
      </c>
      <c r="G233" s="184">
        <f t="shared" si="128"/>
        <v>2.277020971252619E-2</v>
      </c>
      <c r="H233" s="184">
        <f t="shared" si="128"/>
        <v>1.9099400278651313E-2</v>
      </c>
      <c r="I233" s="184">
        <f t="shared" si="128"/>
        <v>1.91073177111869E-2</v>
      </c>
      <c r="J233" s="184">
        <f t="shared" si="128"/>
        <v>1.8548757042500919E-2</v>
      </c>
      <c r="K233" s="224">
        <f t="shared" ca="1" si="128"/>
        <v>0.02</v>
      </c>
      <c r="L233" s="224">
        <f t="shared" ca="1" si="128"/>
        <v>0.02</v>
      </c>
      <c r="M233" s="224">
        <f t="shared" ca="1" si="128"/>
        <v>0.02</v>
      </c>
      <c r="N233" s="224">
        <f t="shared" ca="1" si="128"/>
        <v>0.02</v>
      </c>
      <c r="O233" s="224">
        <f t="shared" ca="1" si="128"/>
        <v>0.02</v>
      </c>
      <c r="P233" s="224">
        <f t="shared" ca="1" si="128"/>
        <v>0.02</v>
      </c>
      <c r="Q233" s="224">
        <f t="shared" ca="1" si="128"/>
        <v>0.02</v>
      </c>
      <c r="R233" s="224">
        <f t="shared" ca="1" si="128"/>
        <v>0.02</v>
      </c>
      <c r="S233" s="224">
        <f t="shared" ca="1" si="128"/>
        <v>0.02</v>
      </c>
      <c r="T233" s="224">
        <f t="shared" ca="1" si="128"/>
        <v>0.02</v>
      </c>
    </row>
    <row r="234" spans="1:20" x14ac:dyDescent="0.2">
      <c r="A234" s="44" t="s">
        <v>251</v>
      </c>
      <c r="D234" s="97"/>
      <c r="E234" s="374">
        <f t="shared" ref="E234:K234" si="129">E$73/D$73 -(1+E$232+E$233)</f>
        <v>1.7788131923705874E-2</v>
      </c>
      <c r="F234" s="225">
        <f t="shared" si="129"/>
        <v>4.7122672753028283E-3</v>
      </c>
      <c r="G234" s="225">
        <f t="shared" si="129"/>
        <v>2.0326761301179497E-2</v>
      </c>
      <c r="H234" s="225">
        <f t="shared" si="129"/>
        <v>2.3444252726368742E-2</v>
      </c>
      <c r="I234" s="225">
        <f t="shared" si="129"/>
        <v>1.925137008632638E-2</v>
      </c>
      <c r="J234" s="225">
        <f t="shared" si="129"/>
        <v>9.0425562615983335E-3</v>
      </c>
      <c r="K234" s="226">
        <f t="shared" ca="1" si="129"/>
        <v>1.3213180860967011E-2</v>
      </c>
      <c r="L234" s="226">
        <f t="shared" ref="L234:T234" ca="1" si="130">L$73/K$73 -(1+L$232+L$233)</f>
        <v>1.3160062709861364E-2</v>
      </c>
      <c r="M234" s="226">
        <f t="shared" ca="1" si="130"/>
        <v>1.3034857600878746E-2</v>
      </c>
      <c r="N234" s="226">
        <f t="shared" ca="1" si="130"/>
        <v>1.2966393725068803E-2</v>
      </c>
      <c r="O234" s="226">
        <f t="shared" ca="1" si="130"/>
        <v>1.288249412246012E-2</v>
      </c>
      <c r="P234" s="226">
        <f t="shared" ca="1" si="130"/>
        <v>1.284489491138685E-2</v>
      </c>
      <c r="Q234" s="226">
        <f t="shared" ca="1" si="130"/>
        <v>1.2789362657928516E-2</v>
      </c>
      <c r="R234" s="226">
        <f t="shared" ca="1" si="130"/>
        <v>1.6437242268040997E-2</v>
      </c>
      <c r="S234" s="226">
        <f t="shared" ca="1" si="130"/>
        <v>1.6422486597635233E-2</v>
      </c>
      <c r="T234" s="226">
        <f t="shared" ca="1" si="130"/>
        <v>1.6394593119809953E-2</v>
      </c>
    </row>
    <row r="235" spans="1:20" x14ac:dyDescent="0.2">
      <c r="A235" s="108" t="s">
        <v>252</v>
      </c>
      <c r="D235" s="97"/>
      <c r="E235" s="375">
        <f t="shared" ref="E235:K235" si="131">E$73/D$73 -1</f>
        <v>7.9001468428781196E-2</v>
      </c>
      <c r="F235" s="177">
        <f t="shared" si="131"/>
        <v>5.4980947196516139E-2</v>
      </c>
      <c r="G235" s="177">
        <f t="shared" si="131"/>
        <v>7.1594427244582093E-2</v>
      </c>
      <c r="H235" s="177">
        <f t="shared" si="131"/>
        <v>7.3191284458890227E-2</v>
      </c>
      <c r="I235" s="177">
        <f t="shared" si="131"/>
        <v>7.964105440269198E-2</v>
      </c>
      <c r="J235" s="177">
        <f t="shared" si="131"/>
        <v>6.5662337662337533E-2</v>
      </c>
      <c r="K235" s="176">
        <f t="shared" ca="1" si="131"/>
        <v>6.8276227980393234E-2</v>
      </c>
      <c r="L235" s="176">
        <f t="shared" ref="L235:T235" ca="1" si="132">L$73/K$73 -1</f>
        <v>6.7783373907479794E-2</v>
      </c>
      <c r="M235" s="176">
        <f t="shared" ca="1" si="132"/>
        <v>6.5348610865453072E-2</v>
      </c>
      <c r="N235" s="176">
        <f t="shared" ca="1" si="132"/>
        <v>6.4768917916427027E-2</v>
      </c>
      <c r="O235" s="176">
        <f t="shared" ca="1" si="132"/>
        <v>6.3718644175100536E-2</v>
      </c>
      <c r="P235" s="176">
        <f t="shared" ca="1" si="132"/>
        <v>6.4196522293331171E-2</v>
      </c>
      <c r="Q235" s="176">
        <f t="shared" ca="1" si="132"/>
        <v>6.412609243238232E-2</v>
      </c>
      <c r="R235" s="176">
        <f t="shared" ca="1" si="132"/>
        <v>6.8653737113401947E-2</v>
      </c>
      <c r="S235" s="176">
        <f t="shared" ca="1" si="132"/>
        <v>6.8220973782771477E-2</v>
      </c>
      <c r="T235" s="176">
        <f t="shared" ca="1" si="132"/>
        <v>6.7402896797152723E-2</v>
      </c>
    </row>
    <row r="236" spans="1:20" x14ac:dyDescent="0.2">
      <c r="A236" s="43" t="s">
        <v>253</v>
      </c>
      <c r="D236" s="97"/>
      <c r="E236" s="97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20" x14ac:dyDescent="0.2">
      <c r="A237" s="44" t="s">
        <v>250</v>
      </c>
      <c r="D237" s="97"/>
      <c r="E237" s="95">
        <f>SUM(D$74*(E$86/D$86-1),D$75*(SUMPRODUCT(Popn!E$204:E$214,Tracks!$H$91:$H$101)+SUMPRODUCT(Popn!E$215:E$225,Tracks!$I$91:$I$101)),D$76*AVERAGE(Popn!E$197,Popn!E$202))/(D$77-D$73)</f>
        <v>-1.0968259568539349E-2</v>
      </c>
      <c r="F237" s="184">
        <f>SUM(E$74*(F$86/E$86-1),E$75*(SUMPRODUCT(Popn!F$204:F$214,Tracks!$H$91:$H$101)+SUMPRODUCT(Popn!F$215:F$225,Tracks!$I$91:$I$101)),E$76*AVERAGE(Popn!F$197,Popn!F$202))/(E$77-E$73)</f>
        <v>1.4828751408045359E-2</v>
      </c>
      <c r="G237" s="184">
        <f>SUM(F$74*(G$86/F$86-1),F$75*(SUMPRODUCT(Popn!G$204:G$214,Tracks!$H$91:$H$101)+SUMPRODUCT(Popn!G$215:G$225,Tracks!$I$91:$I$101)),F$76*AVERAGE(Popn!G$197,Popn!G$202))/(F$77-F$73)</f>
        <v>2.2826595907253968E-2</v>
      </c>
      <c r="H237" s="184">
        <f>SUM(G$74*(H$86/G$86-1),G$75*(SUMPRODUCT(Popn!H$204:H$214,Tracks!$H$91:$H$101)+SUMPRODUCT(Popn!H$215:H$225,Tracks!$I$91:$I$101)),G$76*AVERAGE(Popn!H$197,Popn!H$202))/(G$77-G$73)</f>
        <v>7.9013871239890909E-3</v>
      </c>
      <c r="I237" s="184">
        <f>SUM(H$74*(I$86/H$86-1),H$75*(SUMPRODUCT(Popn!I$204:I$214,Tracks!$H$91:$H$101)+SUMPRODUCT(Popn!I$215:I$225,Tracks!$I$91:$I$101)),H$76*AVERAGE(Popn!I$197,Popn!I$202))/(H$77-H$73)</f>
        <v>-2.4386035723690624E-3</v>
      </c>
      <c r="J237" s="184">
        <f>SUM(I$74*(J$86/I$86-1),I$75*(SUMPRODUCT(Popn!J$204:J$214,Tracks!$H$91:$H$101)+SUMPRODUCT(Popn!J$215:J$225,Tracks!$I$91:$I$101)),I$76*AVERAGE(Popn!J$197,Popn!J$202))/(I$77-I$73)</f>
        <v>-3.5797611545508598E-3</v>
      </c>
      <c r="K237" s="224">
        <f ca="1">SUM(J$74*(K$86/J$86-1),J$75*(SUMPRODUCT(Popn!K$204:K$214,Tracks!$H$91:$H$101)+SUMPRODUCT(Popn!K$215:K$225,Tracks!$I$91:$I$101)),J$76*AVERAGE(Popn!K$197,Popn!K$202))/(J$77-J$73)</f>
        <v>3.5963051183841611E-3</v>
      </c>
      <c r="L237" s="224">
        <f ca="1">SUM(K$74*(L$86/K$86-1),K$75*(SUMPRODUCT(Popn!L$204:L$214,Tracks!$H$91:$H$101)+SUMPRODUCT(Popn!L$215:L$225,Tracks!$I$91:$I$101)),K$76*AVERAGE(Popn!L$197,Popn!L$202))/(K$77-K$73)</f>
        <v>3.399750373100632E-3</v>
      </c>
      <c r="M237" s="224">
        <f ca="1">SUM(L$74*(M$86/L$86-1),L$75*(SUMPRODUCT(Popn!M$204:M$214,Tracks!$H$91:$H$101)+SUMPRODUCT(Popn!M$215:M$225,Tracks!$I$91:$I$101)),L$76*AVERAGE(Popn!M$197,Popn!M$202))/(L$77-L$73)</f>
        <v>3.5736471909377501E-3</v>
      </c>
      <c r="N237" s="224">
        <f ca="1">SUM(M$74*(N$86/M$86-1),M$75*(SUMPRODUCT(Popn!N$204:N$214,Tracks!$H$91:$H$101)+SUMPRODUCT(Popn!N$215:N$225,Tracks!$I$91:$I$101)),M$76*AVERAGE(Popn!N$197,Popn!N$202))/(M$77-M$73)</f>
        <v>3.7378021676178195E-3</v>
      </c>
      <c r="O237" s="224">
        <f ca="1">SUM(N$74*(O$86/N$86-1),N$75*(SUMPRODUCT(Popn!O$204:O$214,Tracks!$H$91:$H$101)+SUMPRODUCT(Popn!O$215:O$225,Tracks!$I$91:$I$101)),N$76*AVERAGE(Popn!O$197,Popn!O$202))/(N$77-N$73)</f>
        <v>4.7643165323413813E-3</v>
      </c>
      <c r="P237" s="224">
        <f ca="1">SUM(O$74*(P$86/O$86-1),O$75*(SUMPRODUCT(Popn!P$204:P$214,Tracks!$H$91:$H$101)+SUMPRODUCT(Popn!P$215:P$225,Tracks!$I$91:$I$101)),O$76*AVERAGE(Popn!P$197,Popn!P$202))/(O$77-O$73)</f>
        <v>4.7024326405649625E-3</v>
      </c>
      <c r="Q237" s="224">
        <f ca="1">SUM(P$74*(Q$86/P$86-1),P$75*(SUMPRODUCT(Popn!Q$204:Q$214,Tracks!$H$91:$H$101)+SUMPRODUCT(Popn!Q$215:Q$225,Tracks!$I$91:$I$101)),P$76*AVERAGE(Popn!Q$197,Popn!Q$202))/(P$77-P$73)</f>
        <v>4.0347644979651098E-3</v>
      </c>
      <c r="R237" s="224">
        <f ca="1">SUM(Q$74*(R$86/Q$86-1),Q$75*(SUMPRODUCT(Popn!R$204:R$214,Tracks!$H$91:$H$101)+SUMPRODUCT(Popn!R$215:R$225,Tracks!$I$91:$I$101)),Q$76*AVERAGE(Popn!R$197,Popn!R$202))/(Q$77-Q$73)</f>
        <v>4.0921225137020524E-3</v>
      </c>
      <c r="S237" s="224">
        <f ca="1">SUM(R$74*(S$86/R$86-1),R$75*(SUMPRODUCT(Popn!S$204:S$214,Tracks!$H$91:$H$101)+SUMPRODUCT(Popn!S$215:S$225,Tracks!$I$91:$I$101)),R$76*AVERAGE(Popn!S$197,Popn!S$202))/(R$77-R$73)</f>
        <v>4.5417190196854465E-3</v>
      </c>
      <c r="T237" s="224">
        <f ca="1">SUM(S$74*(T$86/S$86-1),S$75*(SUMPRODUCT(Popn!T$204:T$214,Tracks!$H$91:$H$101)+SUMPRODUCT(Popn!T$215:T$225,Tracks!$I$91:$I$101)),S$76*AVERAGE(Popn!T$197,Popn!T$202))/(S$77-S$73)</f>
        <v>4.2489438718986278E-3</v>
      </c>
    </row>
    <row r="238" spans="1:20" x14ac:dyDescent="0.2">
      <c r="A238" s="44" t="s">
        <v>314</v>
      </c>
      <c r="D238" s="97"/>
      <c r="E238" s="95">
        <f t="shared" ref="E238:T238" si="133">E$215</f>
        <v>4.0196078431372628E-2</v>
      </c>
      <c r="F238" s="184">
        <f t="shared" si="133"/>
        <v>2.3213006597549324E-2</v>
      </c>
      <c r="G238" s="184">
        <f t="shared" si="133"/>
        <v>2.277020971252619E-2</v>
      </c>
      <c r="H238" s="184">
        <f t="shared" si="133"/>
        <v>1.9099400278651313E-2</v>
      </c>
      <c r="I238" s="184">
        <f t="shared" si="133"/>
        <v>1.91073177111869E-2</v>
      </c>
      <c r="J238" s="184">
        <f t="shared" si="133"/>
        <v>1.8548757042500919E-2</v>
      </c>
      <c r="K238" s="224">
        <f t="shared" ca="1" si="133"/>
        <v>0.02</v>
      </c>
      <c r="L238" s="224">
        <f t="shared" ca="1" si="133"/>
        <v>0.02</v>
      </c>
      <c r="M238" s="224">
        <f t="shared" ca="1" si="133"/>
        <v>0.02</v>
      </c>
      <c r="N238" s="224">
        <f t="shared" ca="1" si="133"/>
        <v>0.02</v>
      </c>
      <c r="O238" s="224">
        <f t="shared" ca="1" si="133"/>
        <v>0.02</v>
      </c>
      <c r="P238" s="224">
        <f t="shared" ca="1" si="133"/>
        <v>0.02</v>
      </c>
      <c r="Q238" s="224">
        <f t="shared" ca="1" si="133"/>
        <v>0.02</v>
      </c>
      <c r="R238" s="224">
        <f t="shared" ca="1" si="133"/>
        <v>0.02</v>
      </c>
      <c r="S238" s="224">
        <f t="shared" ca="1" si="133"/>
        <v>0.02</v>
      </c>
      <c r="T238" s="224">
        <f t="shared" ca="1" si="133"/>
        <v>0.02</v>
      </c>
    </row>
    <row r="239" spans="1:20" x14ac:dyDescent="0.2">
      <c r="A239" s="44" t="s">
        <v>259</v>
      </c>
      <c r="D239" s="97"/>
      <c r="E239" s="374">
        <f t="shared" ref="E239:K239" si="134">(E$77-E$73)/(D$77-D$73) -(1+E$237+E$238)</f>
        <v>2.8113012629433998E-2</v>
      </c>
      <c r="F239" s="225">
        <f t="shared" si="134"/>
        <v>5.0475670050250887E-2</v>
      </c>
      <c r="G239" s="225">
        <f t="shared" si="134"/>
        <v>1.6940067002617631E-3</v>
      </c>
      <c r="H239" s="225">
        <f t="shared" si="134"/>
        <v>-3.8399109550852906E-3</v>
      </c>
      <c r="I239" s="225">
        <f t="shared" si="134"/>
        <v>-1.4419410747352757E-3</v>
      </c>
      <c r="J239" s="225">
        <f t="shared" si="134"/>
        <v>-1.4945011815012954E-3</v>
      </c>
      <c r="K239" s="226">
        <f t="shared" ca="1" si="134"/>
        <v>7.192610236761432E-5</v>
      </c>
      <c r="L239" s="226">
        <f t="shared" ref="L239:T239" ca="1" si="135">(L$77-L$73)/(K$77-K$73) -(1+L$237+L$238)</f>
        <v>6.7995007462018364E-5</v>
      </c>
      <c r="M239" s="226">
        <f t="shared" ca="1" si="135"/>
        <v>7.147294381848468E-5</v>
      </c>
      <c r="N239" s="226">
        <f t="shared" ca="1" si="135"/>
        <v>7.4756043352497414E-5</v>
      </c>
      <c r="O239" s="226">
        <f t="shared" ca="1" si="135"/>
        <v>9.5286330646704442E-5</v>
      </c>
      <c r="P239" s="226">
        <f t="shared" ca="1" si="135"/>
        <v>9.4048652811373756E-5</v>
      </c>
      <c r="Q239" s="226">
        <f t="shared" ca="1" si="135"/>
        <v>8.06952899592428E-5</v>
      </c>
      <c r="R239" s="226">
        <f t="shared" ca="1" si="135"/>
        <v>8.1842450274427492E-5</v>
      </c>
      <c r="S239" s="226">
        <f t="shared" ca="1" si="135"/>
        <v>9.0834380393145508E-5</v>
      </c>
      <c r="T239" s="226">
        <f t="shared" ca="1" si="135"/>
        <v>8.4978877438413036E-5</v>
      </c>
    </row>
    <row r="240" spans="1:20" x14ac:dyDescent="0.2">
      <c r="A240" s="108" t="s">
        <v>252</v>
      </c>
      <c r="D240" s="97"/>
      <c r="E240" s="375">
        <f t="shared" ref="E240:K240" si="136">(E$77-E$73)/(D$77-D$73) -1</f>
        <v>5.7340831492267208E-2</v>
      </c>
      <c r="F240" s="177">
        <f t="shared" si="136"/>
        <v>8.8517428055845615E-2</v>
      </c>
      <c r="G240" s="177">
        <f t="shared" si="136"/>
        <v>4.7290812320041953E-2</v>
      </c>
      <c r="H240" s="177">
        <f t="shared" si="136"/>
        <v>2.3160876447555045E-2</v>
      </c>
      <c r="I240" s="177">
        <f t="shared" si="136"/>
        <v>1.522677306408271E-2</v>
      </c>
      <c r="J240" s="177">
        <f t="shared" si="136"/>
        <v>1.3474494706448681E-2</v>
      </c>
      <c r="K240" s="176">
        <f t="shared" ca="1" si="136"/>
        <v>2.3668231220751901E-2</v>
      </c>
      <c r="L240" s="176">
        <f t="shared" ref="L240:T240" ca="1" si="137">(L$77-L$73)/(K$77-K$73) -1</f>
        <v>2.3467745380562732E-2</v>
      </c>
      <c r="M240" s="176">
        <f t="shared" ca="1" si="137"/>
        <v>2.3645120134756281E-2</v>
      </c>
      <c r="N240" s="176">
        <f t="shared" ca="1" si="137"/>
        <v>2.381255821097028E-2</v>
      </c>
      <c r="O240" s="176">
        <f t="shared" ca="1" si="137"/>
        <v>2.4859602862988162E-2</v>
      </c>
      <c r="P240" s="176">
        <f t="shared" ca="1" si="137"/>
        <v>2.4796481293376305E-2</v>
      </c>
      <c r="Q240" s="176">
        <f t="shared" ca="1" si="137"/>
        <v>2.4115459787924287E-2</v>
      </c>
      <c r="R240" s="176">
        <f t="shared" ca="1" si="137"/>
        <v>2.4173964963976502E-2</v>
      </c>
      <c r="S240" s="176">
        <f t="shared" ca="1" si="137"/>
        <v>2.4632553400078638E-2</v>
      </c>
      <c r="T240" s="176">
        <f t="shared" ca="1" si="137"/>
        <v>2.43339227493371E-2</v>
      </c>
    </row>
    <row r="241" spans="1:20" x14ac:dyDescent="0.2">
      <c r="A241" s="43" t="s">
        <v>765</v>
      </c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</row>
    <row r="242" spans="1:20" x14ac:dyDescent="0.2">
      <c r="A242" s="44" t="s">
        <v>250</v>
      </c>
      <c r="D242" s="97"/>
      <c r="E242" s="95">
        <f t="shared" ref="E242:K242" si="138">SUM(E$91,E$92)/SUM(D$91,D$92)-1</f>
        <v>1.7189491730500661E-2</v>
      </c>
      <c r="F242" s="184">
        <f t="shared" si="138"/>
        <v>1.7116123193545496E-2</v>
      </c>
      <c r="G242" s="184">
        <f t="shared" si="138"/>
        <v>1.7717756031882415E-2</v>
      </c>
      <c r="H242" s="184">
        <f t="shared" si="138"/>
        <v>1.7519659920443464E-2</v>
      </c>
      <c r="I242" s="184">
        <f t="shared" si="138"/>
        <v>1.6973788783800847E-2</v>
      </c>
      <c r="J242" s="184">
        <f t="shared" si="138"/>
        <v>1.6121499056821476E-2</v>
      </c>
      <c r="K242" s="224">
        <f t="shared" si="138"/>
        <v>1.6197606456280766E-2</v>
      </c>
      <c r="L242" s="224">
        <f t="shared" ref="L242:T242" si="139">SUM(L$91,L$92)/SUM(K$91,K$92)-1</f>
        <v>1.6692235372061548E-2</v>
      </c>
      <c r="M242" s="224">
        <f t="shared" si="139"/>
        <v>1.7093357878688709E-2</v>
      </c>
      <c r="N242" s="224">
        <f t="shared" si="139"/>
        <v>1.7432305055226083E-2</v>
      </c>
      <c r="O242" s="224">
        <f t="shared" si="139"/>
        <v>1.651879722039995E-2</v>
      </c>
      <c r="P242" s="224">
        <f t="shared" si="139"/>
        <v>1.6744988062017852E-2</v>
      </c>
      <c r="Q242" s="224">
        <f t="shared" si="139"/>
        <v>1.7097695378263333E-2</v>
      </c>
      <c r="R242" s="224">
        <f t="shared" si="139"/>
        <v>1.7694794762528332E-2</v>
      </c>
      <c r="S242" s="224">
        <f t="shared" si="139"/>
        <v>1.8463304765096833E-2</v>
      </c>
      <c r="T242" s="224">
        <f t="shared" si="139"/>
        <v>1.7172709574364786E-2</v>
      </c>
    </row>
    <row r="243" spans="1:20" x14ac:dyDescent="0.2">
      <c r="A243" s="44" t="s">
        <v>314</v>
      </c>
      <c r="D243" s="97"/>
      <c r="E243" s="95">
        <f t="shared" ref="E243:T243" si="140">E$215</f>
        <v>4.0196078431372628E-2</v>
      </c>
      <c r="F243" s="184">
        <f t="shared" si="140"/>
        <v>2.3213006597549324E-2</v>
      </c>
      <c r="G243" s="184">
        <f t="shared" si="140"/>
        <v>2.277020971252619E-2</v>
      </c>
      <c r="H243" s="184">
        <f t="shared" si="140"/>
        <v>1.9099400278651313E-2</v>
      </c>
      <c r="I243" s="184">
        <f t="shared" si="140"/>
        <v>1.91073177111869E-2</v>
      </c>
      <c r="J243" s="184">
        <f t="shared" si="140"/>
        <v>1.8548757042500919E-2</v>
      </c>
      <c r="K243" s="224">
        <f t="shared" ca="1" si="140"/>
        <v>0.02</v>
      </c>
      <c r="L243" s="224">
        <f t="shared" ca="1" si="140"/>
        <v>0.02</v>
      </c>
      <c r="M243" s="224">
        <f t="shared" ca="1" si="140"/>
        <v>0.02</v>
      </c>
      <c r="N243" s="224">
        <f t="shared" ca="1" si="140"/>
        <v>0.02</v>
      </c>
      <c r="O243" s="224">
        <f t="shared" ca="1" si="140"/>
        <v>0.02</v>
      </c>
      <c r="P243" s="224">
        <f t="shared" ca="1" si="140"/>
        <v>0.02</v>
      </c>
      <c r="Q243" s="224">
        <f t="shared" ca="1" si="140"/>
        <v>0.02</v>
      </c>
      <c r="R243" s="224">
        <f t="shared" ca="1" si="140"/>
        <v>0.02</v>
      </c>
      <c r="S243" s="224">
        <f t="shared" ca="1" si="140"/>
        <v>0.02</v>
      </c>
      <c r="T243" s="224">
        <f t="shared" ca="1" si="140"/>
        <v>0.02</v>
      </c>
    </row>
    <row r="244" spans="1:20" x14ac:dyDescent="0.2">
      <c r="A244" s="44" t="s">
        <v>262</v>
      </c>
      <c r="D244" s="97"/>
      <c r="E244" s="374">
        <f t="shared" ref="E244:K244" ca="1" si="141">E$89/D$89 -(1+E$242+E$243)</f>
        <v>3.3584975468257117E-2</v>
      </c>
      <c r="F244" s="225">
        <f t="shared" ca="1" si="141"/>
        <v>8.1561637669292919E-2</v>
      </c>
      <c r="G244" s="225">
        <f t="shared" ca="1" si="141"/>
        <v>-3.4964847549679323E-2</v>
      </c>
      <c r="H244" s="225">
        <f t="shared" ca="1" si="141"/>
        <v>-3.8737704266891382E-2</v>
      </c>
      <c r="I244" s="225">
        <f t="shared" ca="1" si="141"/>
        <v>-3.6474280985826835E-2</v>
      </c>
      <c r="J244" s="225">
        <f t="shared" ca="1" si="141"/>
        <v>-3.0343635583274686E-2</v>
      </c>
      <c r="K244" s="226">
        <f t="shared" ca="1" si="141"/>
        <v>-2.0000000000000018E-2</v>
      </c>
      <c r="L244" s="226">
        <f t="shared" ref="L244:T244" ca="1" si="142">L$89/K$89 -(1+L$242+L$243)</f>
        <v>-2.0000000000000018E-2</v>
      </c>
      <c r="M244" s="226">
        <f t="shared" ca="1" si="142"/>
        <v>-1.9999999999999796E-2</v>
      </c>
      <c r="N244" s="226">
        <f t="shared" ca="1" si="142"/>
        <v>-2.0000000000000018E-2</v>
      </c>
      <c r="O244" s="226">
        <f t="shared" ca="1" si="142"/>
        <v>-1.9999999999999796E-2</v>
      </c>
      <c r="P244" s="226">
        <f t="shared" ca="1" si="142"/>
        <v>-2.0000000000000018E-2</v>
      </c>
      <c r="Q244" s="226">
        <f t="shared" ca="1" si="142"/>
        <v>-1.9999999999999796E-2</v>
      </c>
      <c r="R244" s="226">
        <f t="shared" ca="1" si="142"/>
        <v>-2.0000000000000018E-2</v>
      </c>
      <c r="S244" s="226">
        <f t="shared" ca="1" si="142"/>
        <v>-2.000000000000024E-2</v>
      </c>
      <c r="T244" s="226">
        <f t="shared" ca="1" si="142"/>
        <v>-2.0000000000000018E-2</v>
      </c>
    </row>
    <row r="245" spans="1:20" x14ac:dyDescent="0.2">
      <c r="A245" s="108" t="s">
        <v>252</v>
      </c>
      <c r="D245" s="97"/>
      <c r="E245" s="375">
        <f t="shared" ref="E245:K245" ca="1" si="143">E$89/D$89 -1</f>
        <v>9.0970545630130406E-2</v>
      </c>
      <c r="F245" s="177">
        <f t="shared" ca="1" si="143"/>
        <v>0.12189076746038774</v>
      </c>
      <c r="G245" s="177">
        <f t="shared" ca="1" si="143"/>
        <v>5.5231181947292818E-3</v>
      </c>
      <c r="H245" s="177">
        <f t="shared" ca="1" si="143"/>
        <v>-2.1186440677966045E-3</v>
      </c>
      <c r="I245" s="177">
        <f t="shared" ca="1" si="143"/>
        <v>-3.9317449083908773E-4</v>
      </c>
      <c r="J245" s="177">
        <f t="shared" ca="1" si="143"/>
        <v>4.3266205160477078E-3</v>
      </c>
      <c r="K245" s="176">
        <f t="shared" ca="1" si="143"/>
        <v>1.6197606456280766E-2</v>
      </c>
      <c r="L245" s="176">
        <f t="shared" ref="L245:T245" ca="1" si="144">L$89/K$89 -1</f>
        <v>1.6692235372061548E-2</v>
      </c>
      <c r="M245" s="176">
        <f t="shared" ca="1" si="144"/>
        <v>1.7093357878688931E-2</v>
      </c>
      <c r="N245" s="176">
        <f t="shared" ca="1" si="144"/>
        <v>1.7432305055226083E-2</v>
      </c>
      <c r="O245" s="176">
        <f t="shared" ca="1" si="144"/>
        <v>1.6518797220400172E-2</v>
      </c>
      <c r="P245" s="176">
        <f t="shared" ca="1" si="144"/>
        <v>1.6744988062017852E-2</v>
      </c>
      <c r="Q245" s="176">
        <f t="shared" ca="1" si="144"/>
        <v>1.7097695378263555E-2</v>
      </c>
      <c r="R245" s="176">
        <f t="shared" ca="1" si="144"/>
        <v>1.7694794762528332E-2</v>
      </c>
      <c r="S245" s="176">
        <f t="shared" ca="1" si="144"/>
        <v>1.8463304765096611E-2</v>
      </c>
      <c r="T245" s="176">
        <f t="shared" ca="1" si="144"/>
        <v>1.7172709574364786E-2</v>
      </c>
    </row>
    <row r="246" spans="1:20" x14ac:dyDescent="0.2">
      <c r="A246" s="43" t="s">
        <v>869</v>
      </c>
      <c r="D246" s="97"/>
      <c r="E246" s="95"/>
      <c r="F246" s="184"/>
      <c r="G246" s="184"/>
      <c r="H246" s="184"/>
      <c r="I246" s="184"/>
      <c r="J246" s="18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</row>
    <row r="247" spans="1:20" x14ac:dyDescent="0.2">
      <c r="A247" s="44" t="s">
        <v>250</v>
      </c>
      <c r="D247" s="97"/>
      <c r="E247" s="95">
        <f>AVERAGE(Popn!E$198:E$200)</f>
        <v>1.050387508174703E-2</v>
      </c>
      <c r="F247" s="184">
        <f>AVERAGE(Popn!F$198:F$200)</f>
        <v>9.2898060522879442E-3</v>
      </c>
      <c r="G247" s="184">
        <f>AVERAGE(Popn!G$198:G$200)</f>
        <v>9.1964106861265327E-3</v>
      </c>
      <c r="H247" s="184">
        <f>AVERAGE(Popn!H$198:H$200)</f>
        <v>6.4813484864216413E-3</v>
      </c>
      <c r="I247" s="184">
        <f>AVERAGE(Popn!I$198:I$200)</f>
        <v>2.9676004591795793E-3</v>
      </c>
      <c r="J247" s="184">
        <f>AVERAGE(Popn!J$198:J$200)</f>
        <v>4.3921875583396996E-4</v>
      </c>
      <c r="K247" s="224">
        <f>AVERAGE(Popn!K$198:K$200)</f>
        <v>-1.4129918535461898E-3</v>
      </c>
      <c r="L247" s="224">
        <f>AVERAGE(Popn!L$198:L$200)</f>
        <v>-3.4698319497405241E-3</v>
      </c>
      <c r="M247" s="224">
        <f>AVERAGE(Popn!M$198:M$200)</f>
        <v>-4.333652502099457E-3</v>
      </c>
      <c r="N247" s="224">
        <f>AVERAGE(Popn!N$198:N$200)</f>
        <v>-3.2994203536862074E-3</v>
      </c>
      <c r="O247" s="224">
        <f>AVERAGE(Popn!O$198:O$200)</f>
        <v>-2.251851116172543E-3</v>
      </c>
      <c r="P247" s="224">
        <f>AVERAGE(Popn!P$198:P$200)</f>
        <v>-1.3752784673047118E-3</v>
      </c>
      <c r="Q247" s="224">
        <f>AVERAGE(Popn!Q$198:Q$200)</f>
        <v>-2.0440162551587835E-3</v>
      </c>
      <c r="R247" s="224">
        <f>AVERAGE(Popn!R$198:R$200)</f>
        <v>-1.0197037167458307E-3</v>
      </c>
      <c r="S247" s="224">
        <f>AVERAGE(Popn!S$198:S$200)</f>
        <v>9.4720968538338412E-4</v>
      </c>
      <c r="T247" s="224">
        <f>AVERAGE(Popn!T$198:T$200)</f>
        <v>7.7574878958667581E-4</v>
      </c>
    </row>
    <row r="248" spans="1:20" x14ac:dyDescent="0.2">
      <c r="A248" s="44" t="s">
        <v>314</v>
      </c>
      <c r="D248" s="97"/>
      <c r="E248" s="95">
        <f t="shared" ref="E248:T248" si="145">E$215</f>
        <v>4.0196078431372628E-2</v>
      </c>
      <c r="F248" s="184">
        <f t="shared" si="145"/>
        <v>2.3213006597549324E-2</v>
      </c>
      <c r="G248" s="184">
        <f t="shared" si="145"/>
        <v>2.277020971252619E-2</v>
      </c>
      <c r="H248" s="184">
        <f t="shared" si="145"/>
        <v>1.9099400278651313E-2</v>
      </c>
      <c r="I248" s="184">
        <f t="shared" si="145"/>
        <v>1.91073177111869E-2</v>
      </c>
      <c r="J248" s="184">
        <f t="shared" si="145"/>
        <v>1.8548757042500919E-2</v>
      </c>
      <c r="K248" s="224">
        <f t="shared" ca="1" si="145"/>
        <v>0.02</v>
      </c>
      <c r="L248" s="224">
        <f t="shared" ca="1" si="145"/>
        <v>0.02</v>
      </c>
      <c r="M248" s="224">
        <f t="shared" ca="1" si="145"/>
        <v>0.02</v>
      </c>
      <c r="N248" s="224">
        <f t="shared" ca="1" si="145"/>
        <v>0.02</v>
      </c>
      <c r="O248" s="224">
        <f t="shared" ca="1" si="145"/>
        <v>0.02</v>
      </c>
      <c r="P248" s="224">
        <f t="shared" ca="1" si="145"/>
        <v>0.02</v>
      </c>
      <c r="Q248" s="224">
        <f t="shared" ca="1" si="145"/>
        <v>0.02</v>
      </c>
      <c r="R248" s="224">
        <f t="shared" ca="1" si="145"/>
        <v>0.02</v>
      </c>
      <c r="S248" s="224">
        <f t="shared" ca="1" si="145"/>
        <v>0.02</v>
      </c>
      <c r="T248" s="224">
        <f t="shared" ca="1" si="145"/>
        <v>0.02</v>
      </c>
    </row>
    <row r="249" spans="1:20" x14ac:dyDescent="0.2">
      <c r="A249" s="44" t="s">
        <v>179</v>
      </c>
      <c r="D249" s="97"/>
      <c r="E249" s="374">
        <f t="shared" ref="E249:K249" ca="1" si="146">E$95/D$95 -(1+E$247+E$248)</f>
        <v>-2.0275959554763912E-2</v>
      </c>
      <c r="F249" s="225">
        <f t="shared" ca="1" si="146"/>
        <v>9.1882068514438808E-2</v>
      </c>
      <c r="G249" s="225">
        <f t="shared" ca="1" si="146"/>
        <v>3.2321876840364361E-3</v>
      </c>
      <c r="H249" s="225">
        <f t="shared" ca="1" si="146"/>
        <v>-8.9395685905655498E-3</v>
      </c>
      <c r="I249" s="225">
        <f t="shared" ca="1" si="146"/>
        <v>-1.1722768108430426E-2</v>
      </c>
      <c r="J249" s="225">
        <f t="shared" ca="1" si="146"/>
        <v>-1.2945415153795103E-2</v>
      </c>
      <c r="K249" s="226">
        <f t="shared" ca="1" si="146"/>
        <v>-2.0000000000000018E-2</v>
      </c>
      <c r="L249" s="226">
        <f t="shared" ref="L249:T249" ca="1" si="147">L$95/K$95 -(1+L$247+L$248)</f>
        <v>-2.0000000000000018E-2</v>
      </c>
      <c r="M249" s="226">
        <f t="shared" ca="1" si="147"/>
        <v>-1.9999999999999907E-2</v>
      </c>
      <c r="N249" s="226">
        <f t="shared" ca="1" si="147"/>
        <v>-1.9999999999999907E-2</v>
      </c>
      <c r="O249" s="226">
        <f t="shared" ca="1" si="147"/>
        <v>-1.9999999999999796E-2</v>
      </c>
      <c r="P249" s="226">
        <f t="shared" ca="1" si="147"/>
        <v>-2.0000000000000018E-2</v>
      </c>
      <c r="Q249" s="226">
        <f t="shared" ca="1" si="147"/>
        <v>-1.9999999999999907E-2</v>
      </c>
      <c r="R249" s="226">
        <f t="shared" ca="1" si="147"/>
        <v>-2.0000000000000129E-2</v>
      </c>
      <c r="S249" s="226">
        <f t="shared" ca="1" si="147"/>
        <v>-2.0000000000000018E-2</v>
      </c>
      <c r="T249" s="226">
        <f t="shared" ca="1" si="147"/>
        <v>-2.0000000000000018E-2</v>
      </c>
    </row>
    <row r="250" spans="1:20" x14ac:dyDescent="0.2">
      <c r="A250" s="108" t="s">
        <v>252</v>
      </c>
      <c r="D250" s="97"/>
      <c r="E250" s="375">
        <f t="shared" ref="E250:K250" ca="1" si="148">E$95/D$95 -1</f>
        <v>3.0423993958355711E-2</v>
      </c>
      <c r="F250" s="177">
        <f t="shared" ca="1" si="148"/>
        <v>0.12438488116427604</v>
      </c>
      <c r="G250" s="177">
        <f t="shared" ca="1" si="148"/>
        <v>3.519880808268927E-2</v>
      </c>
      <c r="H250" s="177">
        <f t="shared" ca="1" si="148"/>
        <v>1.6641180174507442E-2</v>
      </c>
      <c r="I250" s="177">
        <f t="shared" ca="1" si="148"/>
        <v>1.0352150061936127E-2</v>
      </c>
      <c r="J250" s="177">
        <f t="shared" ca="1" si="148"/>
        <v>6.042560644539785E-3</v>
      </c>
      <c r="K250" s="176">
        <f t="shared" ca="1" si="148"/>
        <v>-1.4129918535461528E-3</v>
      </c>
      <c r="L250" s="176">
        <f t="shared" ref="L250:T250" ca="1" si="149">L$95/K$95 -1</f>
        <v>-3.4698319497405983E-3</v>
      </c>
      <c r="M250" s="176">
        <f t="shared" ca="1" si="149"/>
        <v>-4.3336525020994943E-3</v>
      </c>
      <c r="N250" s="176">
        <f t="shared" ca="1" si="149"/>
        <v>-3.2994203536861333E-3</v>
      </c>
      <c r="O250" s="176">
        <f t="shared" ca="1" si="149"/>
        <v>-2.2518511161724319E-3</v>
      </c>
      <c r="P250" s="176">
        <f t="shared" ca="1" si="149"/>
        <v>-1.3752784673046747E-3</v>
      </c>
      <c r="Q250" s="176">
        <f t="shared" ca="1" si="149"/>
        <v>-2.0440162551588203E-3</v>
      </c>
      <c r="R250" s="176">
        <f t="shared" ca="1" si="149"/>
        <v>-1.0197037167459788E-3</v>
      </c>
      <c r="S250" s="176">
        <f t="shared" ca="1" si="149"/>
        <v>9.4720968538331007E-4</v>
      </c>
      <c r="T250" s="176">
        <f t="shared" ca="1" si="149"/>
        <v>7.7574878958674987E-4</v>
      </c>
    </row>
    <row r="251" spans="1:20" x14ac:dyDescent="0.2">
      <c r="A251" s="43" t="s">
        <v>263</v>
      </c>
      <c r="D251" s="97"/>
      <c r="E251" s="95"/>
      <c r="F251" s="184"/>
      <c r="G251" s="184"/>
      <c r="H251" s="184"/>
      <c r="I251" s="184"/>
      <c r="J251" s="18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</row>
    <row r="252" spans="1:20" x14ac:dyDescent="0.2">
      <c r="A252" s="44" t="s">
        <v>314</v>
      </c>
      <c r="D252" s="97"/>
      <c r="E252" s="95">
        <f t="shared" ref="E252:T252" si="150">E$215</f>
        <v>4.0196078431372628E-2</v>
      </c>
      <c r="F252" s="184">
        <f t="shared" si="150"/>
        <v>2.3213006597549324E-2</v>
      </c>
      <c r="G252" s="184">
        <f t="shared" si="150"/>
        <v>2.277020971252619E-2</v>
      </c>
      <c r="H252" s="184">
        <f t="shared" si="150"/>
        <v>1.9099400278651313E-2</v>
      </c>
      <c r="I252" s="184">
        <f t="shared" si="150"/>
        <v>1.91073177111869E-2</v>
      </c>
      <c r="J252" s="184">
        <f t="shared" si="150"/>
        <v>1.8548757042500919E-2</v>
      </c>
      <c r="K252" s="224">
        <f t="shared" ca="1" si="150"/>
        <v>0.02</v>
      </c>
      <c r="L252" s="224">
        <f t="shared" ca="1" si="150"/>
        <v>0.02</v>
      </c>
      <c r="M252" s="224">
        <f t="shared" ca="1" si="150"/>
        <v>0.02</v>
      </c>
      <c r="N252" s="224">
        <f t="shared" ca="1" si="150"/>
        <v>0.02</v>
      </c>
      <c r="O252" s="224">
        <f t="shared" ca="1" si="150"/>
        <v>0.02</v>
      </c>
      <c r="P252" s="224">
        <f t="shared" ca="1" si="150"/>
        <v>0.02</v>
      </c>
      <c r="Q252" s="224">
        <f t="shared" ca="1" si="150"/>
        <v>0.02</v>
      </c>
      <c r="R252" s="224">
        <f t="shared" ca="1" si="150"/>
        <v>0.02</v>
      </c>
      <c r="S252" s="224">
        <f t="shared" ca="1" si="150"/>
        <v>0.02</v>
      </c>
      <c r="T252" s="224">
        <f t="shared" ca="1" si="150"/>
        <v>0.02</v>
      </c>
    </row>
    <row r="253" spans="1:20" x14ac:dyDescent="0.2">
      <c r="A253" s="44" t="s">
        <v>758</v>
      </c>
      <c r="D253" s="97"/>
      <c r="E253" s="374">
        <f t="shared" ref="E253:K253" ca="1" si="151">E$103/D$103 -(1+E$252)</f>
        <v>-5.5147539973978699E-3</v>
      </c>
      <c r="F253" s="225">
        <f t="shared" ca="1" si="151"/>
        <v>7.5825698183629608E-2</v>
      </c>
      <c r="G253" s="225">
        <f t="shared" ca="1" si="151"/>
        <v>-3.4221469926590031E-2</v>
      </c>
      <c r="H253" s="225">
        <f t="shared" ca="1" si="151"/>
        <v>-3.4525210861339528E-2</v>
      </c>
      <c r="I253" s="225">
        <f t="shared" ca="1" si="151"/>
        <v>-1.5264347390742117E-2</v>
      </c>
      <c r="J253" s="225">
        <f t="shared" ca="1" si="151"/>
        <v>2.0381686446514724E-2</v>
      </c>
      <c r="K253" s="226">
        <f t="shared" ca="1" si="151"/>
        <v>-3.0191558319734302E-3</v>
      </c>
      <c r="L253" s="226">
        <f t="shared" ref="L253:T253" ca="1" si="152">L$103/K$103 -(1+L$252)</f>
        <v>-1.9162677697192487E-2</v>
      </c>
      <c r="M253" s="226">
        <f t="shared" ca="1" si="152"/>
        <v>-1.8896815285580848E-2</v>
      </c>
      <c r="N253" s="226">
        <f t="shared" ca="1" si="152"/>
        <v>-1.8634509643066011E-2</v>
      </c>
      <c r="O253" s="226">
        <f t="shared" ca="1" si="152"/>
        <v>-1.8741709722621014E-2</v>
      </c>
      <c r="P253" s="226">
        <f t="shared" ca="1" si="152"/>
        <v>-2.4424045656633919E-2</v>
      </c>
      <c r="Q253" s="226">
        <f t="shared" ca="1" si="152"/>
        <v>-2.5126025360741822E-2</v>
      </c>
      <c r="R253" s="226">
        <f t="shared" ca="1" si="152"/>
        <v>-2.5272619728276546E-2</v>
      </c>
      <c r="S253" s="226">
        <f t="shared" ca="1" si="152"/>
        <v>-2.5399242813247347E-2</v>
      </c>
      <c r="T253" s="226">
        <f t="shared" ca="1" si="152"/>
        <v>-2.5488912934493957E-2</v>
      </c>
    </row>
    <row r="254" spans="1:20" x14ac:dyDescent="0.2">
      <c r="A254" s="108" t="s">
        <v>252</v>
      </c>
      <c r="D254" s="97"/>
      <c r="E254" s="375">
        <f t="shared" ref="E254:K254" ca="1" si="153">E$103/D$103 -1</f>
        <v>3.4681324433974758E-2</v>
      </c>
      <c r="F254" s="177">
        <f t="shared" ca="1" si="153"/>
        <v>9.9038704781178932E-2</v>
      </c>
      <c r="G254" s="177">
        <f t="shared" ca="1" si="153"/>
        <v>-1.1451260214063841E-2</v>
      </c>
      <c r="H254" s="177">
        <f t="shared" ca="1" si="153"/>
        <v>-1.5425810582688215E-2</v>
      </c>
      <c r="I254" s="177">
        <f t="shared" ca="1" si="153"/>
        <v>3.8429703204447829E-3</v>
      </c>
      <c r="J254" s="177">
        <f t="shared" ca="1" si="153"/>
        <v>3.8930443489015643E-2</v>
      </c>
      <c r="K254" s="176">
        <f t="shared" ca="1" si="153"/>
        <v>1.6980844168026588E-2</v>
      </c>
      <c r="L254" s="176">
        <f t="shared" ref="L254:T254" ca="1" si="154">L$103/K$103 -1</f>
        <v>8.3732230280753051E-4</v>
      </c>
      <c r="M254" s="176">
        <f t="shared" ca="1" si="154"/>
        <v>1.1031847144191698E-3</v>
      </c>
      <c r="N254" s="176">
        <f t="shared" ca="1" si="154"/>
        <v>1.3654903569340071E-3</v>
      </c>
      <c r="O254" s="176">
        <f t="shared" ca="1" si="154"/>
        <v>1.2582902773790039E-3</v>
      </c>
      <c r="P254" s="176">
        <f t="shared" ca="1" si="154"/>
        <v>-4.4240456566339015E-3</v>
      </c>
      <c r="Q254" s="176">
        <f t="shared" ca="1" si="154"/>
        <v>-5.1260253607418038E-3</v>
      </c>
      <c r="R254" s="176">
        <f t="shared" ca="1" si="154"/>
        <v>-5.2726197282765286E-3</v>
      </c>
      <c r="S254" s="176">
        <f t="shared" ca="1" si="154"/>
        <v>-5.3992428132473291E-3</v>
      </c>
      <c r="T254" s="176">
        <f t="shared" ca="1" si="154"/>
        <v>-5.4889129344939391E-3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1665" r:id="rId4" name="Drop Down 1">
              <controlPr defaultSize="0" autoLine="0" autoPict="0">
                <anchor moveWithCells="1">
                  <from>
                    <xdr:col>0</xdr:col>
                    <xdr:colOff>19050</xdr:colOff>
                    <xdr:row>4</xdr:row>
                    <xdr:rowOff>152400</xdr:rowOff>
                  </from>
                  <to>
                    <xdr:col>0</xdr:col>
                    <xdr:colOff>4362450</xdr:colOff>
                    <xdr:row>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7"/>
  <sheetViews>
    <sheetView workbookViewId="0">
      <pane xSplit="1" ySplit="6" topLeftCell="L7" activePane="bottomRight" state="frozen"/>
      <selection pane="topRight" activeCell="B1" sqref="B1"/>
      <selection pane="bottomLeft" activeCell="A7" sqref="A7"/>
      <selection pane="bottomRight" activeCell="Q2" sqref="Q2"/>
    </sheetView>
  </sheetViews>
  <sheetFormatPr defaultRowHeight="12.75" x14ac:dyDescent="0.2"/>
  <cols>
    <col min="1" max="1" width="65.7109375" style="179" customWidth="1"/>
    <col min="2" max="2" width="8.7109375" customWidth="1"/>
    <col min="3" max="3" width="8.7109375" style="97" customWidth="1"/>
    <col min="4" max="10" width="8.7109375" style="182" customWidth="1"/>
    <col min="11" max="19" width="8.7109375" style="99" customWidth="1"/>
  </cols>
  <sheetData>
    <row r="1" spans="1:20" ht="15.75" x14ac:dyDescent="0.25">
      <c r="A1" s="263" t="s">
        <v>652</v>
      </c>
      <c r="B1" s="40" t="s">
        <v>733</v>
      </c>
      <c r="C1" s="262">
        <f>MATCH($B$1,Scenarios!$B$3:$C$3,0)</f>
        <v>1</v>
      </c>
      <c r="D1" s="385"/>
      <c r="J1" s="386"/>
      <c r="K1" s="171" t="s">
        <v>188</v>
      </c>
    </row>
    <row r="2" spans="1:20" ht="13.5" x14ac:dyDescent="0.25">
      <c r="A2" s="264" t="s">
        <v>264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20" ht="15.75" x14ac:dyDescent="0.25">
      <c r="A3" s="74" t="s">
        <v>171</v>
      </c>
      <c r="B3" s="261"/>
      <c r="C3" s="261"/>
      <c r="D3" s="261" t="s">
        <v>781</v>
      </c>
      <c r="E3" s="261" t="s">
        <v>782</v>
      </c>
      <c r="F3" s="199" t="s">
        <v>783</v>
      </c>
      <c r="G3" s="199" t="s">
        <v>784</v>
      </c>
      <c r="H3" s="199" t="s">
        <v>785</v>
      </c>
      <c r="I3" s="199" t="s">
        <v>786</v>
      </c>
      <c r="J3" s="199" t="s">
        <v>787</v>
      </c>
      <c r="K3" s="198" t="s">
        <v>788</v>
      </c>
      <c r="L3" s="198" t="s">
        <v>789</v>
      </c>
      <c r="M3" s="198" t="s">
        <v>790</v>
      </c>
      <c r="N3" s="198" t="s">
        <v>791</v>
      </c>
      <c r="O3" s="198" t="s">
        <v>792</v>
      </c>
      <c r="P3" s="198" t="s">
        <v>793</v>
      </c>
      <c r="Q3" s="198" t="s">
        <v>794</v>
      </c>
      <c r="R3" s="198" t="s">
        <v>795</v>
      </c>
      <c r="S3" s="198" t="s">
        <v>796</v>
      </c>
      <c r="T3" s="198" t="s">
        <v>797</v>
      </c>
    </row>
    <row r="4" spans="1:20" ht="15.75" x14ac:dyDescent="0.25">
      <c r="A4" s="249" t="s">
        <v>636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20" ht="13.5" x14ac:dyDescent="0.25">
      <c r="A5" s="254" t="s">
        <v>553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20" ht="21" customHeight="1" x14ac:dyDescent="0.2">
      <c r="A6" s="43"/>
      <c r="C6"/>
      <c r="D6" s="174">
        <f ca="1">OFFSET(D$8,Offsets!$B$1,0)/D$214</f>
        <v>2.4375485700387386E-2</v>
      </c>
      <c r="E6" s="174">
        <f ca="1">OFFSET(E$8,Offsets!$B$1,0)/E$214</f>
        <v>-1.0611679549617979E-4</v>
      </c>
      <c r="F6" s="178">
        <f ca="1">OFFSET(F$8,Offsets!$B$1,0)/F$214</f>
        <v>3.1086649727823882E-2</v>
      </c>
      <c r="G6" s="178">
        <f ca="1">OFFSET(G$8,Offsets!$B$1,0)/G$214</f>
        <v>7.2349939610586445E-2</v>
      </c>
      <c r="H6" s="178">
        <f ca="1">OFFSET(H$8,Offsets!$B$1,0)/H$214</f>
        <v>0.12131526645976368</v>
      </c>
      <c r="I6" s="178">
        <f ca="1">OFFSET(I$8,Offsets!$B$1,0)/I$214</f>
        <v>0.16486298430991556</v>
      </c>
      <c r="J6" s="178">
        <f ca="1">OFFSET(J$8,Offsets!$B$1,0)/J$214</f>
        <v>0.20666663450007874</v>
      </c>
      <c r="K6" s="175">
        <f ca="1">OFFSET(K$8,Offsets!$B$1,0)/K$214</f>
        <v>0.24670688481838565</v>
      </c>
      <c r="L6" s="175">
        <f ca="1">OFFSET(L$8,Offsets!$B$1,0)/L$214</f>
        <v>0.28454635246033694</v>
      </c>
      <c r="M6" s="175">
        <f ca="1">OFFSET(M$8,Offsets!$B$1,0)/M$214</f>
        <v>0.31811819119717788</v>
      </c>
      <c r="N6" s="175">
        <f ca="1">OFFSET(N$8,Offsets!$B$1,0)/N$214</f>
        <v>0.3458759128243401</v>
      </c>
      <c r="O6" s="175">
        <f ca="1">OFFSET(O$8,Offsets!$B$1,0)/O$214</f>
        <v>0.37174680435753982</v>
      </c>
      <c r="P6" s="175">
        <f ca="1">OFFSET(P$8,Offsets!$B$1,0)/P$214</f>
        <v>0.3950133035078201</v>
      </c>
      <c r="Q6" s="175">
        <f ca="1">OFFSET(Q$8,Offsets!$B$1,0)/Q$214</f>
        <v>0.41544113295034873</v>
      </c>
      <c r="R6" s="175">
        <f ca="1">OFFSET(R$8,Offsets!$B$1,0)/R$214</f>
        <v>0.43467820527996143</v>
      </c>
      <c r="S6" s="175">
        <f ca="1">OFFSET(S$8,Offsets!$B$1,0)/S$214</f>
        <v>0.4526250345408166</v>
      </c>
      <c r="T6" s="175">
        <f ca="1">OFFSET(T$8,Offsets!$B$1,0)/T$214</f>
        <v>0.46942702181346613</v>
      </c>
    </row>
    <row r="7" spans="1:20" ht="15.75" customHeight="1" x14ac:dyDescent="0.25">
      <c r="A7" s="249" t="s">
        <v>637</v>
      </c>
      <c r="C7"/>
      <c r="D7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</row>
    <row r="8" spans="1:20" x14ac:dyDescent="0.2">
      <c r="A8" s="43" t="s">
        <v>210</v>
      </c>
      <c r="C8"/>
      <c r="D8" s="97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0" x14ac:dyDescent="0.2">
      <c r="A9" s="47" t="s">
        <v>190</v>
      </c>
      <c r="B9" s="94"/>
      <c r="C9"/>
      <c r="D9" s="94">
        <f t="shared" ref="D9:T9" si="0">D$50</f>
        <v>53.064000000000007</v>
      </c>
      <c r="E9" s="94">
        <f t="shared" si="0"/>
        <v>56.372</v>
      </c>
      <c r="F9" s="180">
        <f t="shared" si="0"/>
        <v>54.88</v>
      </c>
      <c r="G9" s="180">
        <f t="shared" si="0"/>
        <v>53.739999999999995</v>
      </c>
      <c r="H9" s="180">
        <f t="shared" si="0"/>
        <v>54.704000000000001</v>
      </c>
      <c r="I9" s="180">
        <f t="shared" si="0"/>
        <v>57.679000000000002</v>
      </c>
      <c r="J9" s="180">
        <f t="shared" si="0"/>
        <v>61.168999999999997</v>
      </c>
      <c r="K9" s="99">
        <f t="shared" ca="1" si="0"/>
        <v>64.579956279017637</v>
      </c>
      <c r="L9" s="99">
        <f t="shared" ca="1" si="0"/>
        <v>67.900864432439363</v>
      </c>
      <c r="M9" s="99">
        <f t="shared" ca="1" si="0"/>
        <v>71.37660985190881</v>
      </c>
      <c r="N9" s="99">
        <f t="shared" ca="1" si="0"/>
        <v>74.955739140712154</v>
      </c>
      <c r="O9" s="99">
        <f t="shared" ca="1" si="0"/>
        <v>78.529499630162562</v>
      </c>
      <c r="P9" s="99">
        <f t="shared" ca="1" si="0"/>
        <v>82.252854932692983</v>
      </c>
      <c r="Q9" s="99">
        <f t="shared" ca="1" si="0"/>
        <v>86.135916367935948</v>
      </c>
      <c r="R9" s="99">
        <f t="shared" ca="1" si="0"/>
        <v>89.706146356197777</v>
      </c>
      <c r="S9" s="99">
        <f t="shared" ca="1" si="0"/>
        <v>93.421406095473543</v>
      </c>
      <c r="T9" s="99">
        <f t="shared" ca="1" si="0"/>
        <v>97.245277116133224</v>
      </c>
    </row>
    <row r="10" spans="1:20" x14ac:dyDescent="0.2">
      <c r="A10" s="47" t="s">
        <v>514</v>
      </c>
      <c r="B10" s="94"/>
      <c r="C10"/>
      <c r="D10" s="94">
        <f t="shared" ref="D10:T10" si="1">SUM(D$9,D$55,D$57,D$67)</f>
        <v>74.589000000000013</v>
      </c>
      <c r="E10" s="94">
        <f t="shared" si="1"/>
        <v>81.478999999999999</v>
      </c>
      <c r="F10" s="180">
        <f t="shared" si="1"/>
        <v>81.450999999999979</v>
      </c>
      <c r="G10" s="180">
        <f t="shared" si="1"/>
        <v>81.538999999999987</v>
      </c>
      <c r="H10" s="180">
        <f t="shared" si="1"/>
        <v>84.446000000000012</v>
      </c>
      <c r="I10" s="180">
        <f t="shared" si="1"/>
        <v>88.367000000000004</v>
      </c>
      <c r="J10" s="180">
        <f t="shared" si="1"/>
        <v>93.561999999999983</v>
      </c>
      <c r="K10" s="99">
        <f t="shared" ca="1" si="1"/>
        <v>97.860680358354557</v>
      </c>
      <c r="L10" s="99">
        <f t="shared" ca="1" si="1"/>
        <v>102.6741357125216</v>
      </c>
      <c r="M10" s="99">
        <f t="shared" ca="1" si="1"/>
        <v>107.70301963513172</v>
      </c>
      <c r="N10" s="99">
        <f t="shared" ca="1" si="1"/>
        <v>112.87250393373438</v>
      </c>
      <c r="O10" s="99">
        <f t="shared" ca="1" si="1"/>
        <v>118.02545000759774</v>
      </c>
      <c r="P10" s="99">
        <f t="shared" ca="1" si="1"/>
        <v>123.28270188455164</v>
      </c>
      <c r="Q10" s="99">
        <f t="shared" ca="1" si="1"/>
        <v>128.75996780783956</v>
      </c>
      <c r="R10" s="99">
        <f t="shared" ca="1" si="1"/>
        <v>133.98261684629642</v>
      </c>
      <c r="S10" s="99">
        <f t="shared" ca="1" si="1"/>
        <v>139.42031405777297</v>
      </c>
      <c r="T10" s="99">
        <f t="shared" ca="1" si="1"/>
        <v>145.02081884008567</v>
      </c>
    </row>
    <row r="11" spans="1:20" x14ac:dyDescent="0.2">
      <c r="A11" s="47" t="s">
        <v>515</v>
      </c>
      <c r="B11" s="94"/>
      <c r="C11"/>
      <c r="D11" s="94">
        <f t="shared" ref="D11:T11" ca="1" si="2">SUM(D$12,D$111)</f>
        <v>68.729000000000013</v>
      </c>
      <c r="E11" s="94">
        <f t="shared" ca="1" si="2"/>
        <v>75.841999999999999</v>
      </c>
      <c r="F11" s="180">
        <f t="shared" ca="1" si="2"/>
        <v>82.001000000000005</v>
      </c>
      <c r="G11" s="180">
        <f t="shared" ca="1" si="2"/>
        <v>85.648999999999987</v>
      </c>
      <c r="H11" s="180">
        <f t="shared" ca="1" si="2"/>
        <v>90.454000000000008</v>
      </c>
      <c r="I11" s="180">
        <f t="shared" ca="1" si="2"/>
        <v>94.672000000000011</v>
      </c>
      <c r="J11" s="180">
        <f t="shared" ca="1" si="2"/>
        <v>99.887</v>
      </c>
      <c r="K11" s="99">
        <f t="shared" ca="1" si="2"/>
        <v>104.36585864114166</v>
      </c>
      <c r="L11" s="99">
        <f t="shared" ca="1" si="2"/>
        <v>109.11946398892161</v>
      </c>
      <c r="M11" s="99">
        <f t="shared" ca="1" si="2"/>
        <v>114.02125627325428</v>
      </c>
      <c r="N11" s="99">
        <f t="shared" ca="1" si="2"/>
        <v>119.03908114075529</v>
      </c>
      <c r="O11" s="99">
        <f t="shared" ca="1" si="2"/>
        <v>124.09066277693992</v>
      </c>
      <c r="P11" s="99">
        <f t="shared" ca="1" si="2"/>
        <v>129.20143495978348</v>
      </c>
      <c r="Q11" s="99">
        <f t="shared" ca="1" si="2"/>
        <v>134.42964353065233</v>
      </c>
      <c r="R11" s="99">
        <f t="shared" ca="1" si="2"/>
        <v>139.89515700123405</v>
      </c>
      <c r="S11" s="99">
        <f t="shared" ca="1" si="2"/>
        <v>145.59203048118064</v>
      </c>
      <c r="T11" s="99">
        <f t="shared" ca="1" si="2"/>
        <v>151.43116415836695</v>
      </c>
    </row>
    <row r="12" spans="1:20" x14ac:dyDescent="0.2">
      <c r="A12" s="47" t="s">
        <v>521</v>
      </c>
      <c r="B12" s="94"/>
      <c r="C12"/>
      <c r="D12" s="94">
        <f ca="1">SUM($D$69:D$69,D$80,D$90,D$96,D$107)</f>
        <v>65.844000000000008</v>
      </c>
      <c r="E12" s="94">
        <f ca="1">SUM($D$69:E$69,E$80,E$90,E$96,E$107)</f>
        <v>72.741</v>
      </c>
      <c r="F12" s="180">
        <f ca="1">SUM($D$69:F$69,F$80,F$90,F$96,F$107)</f>
        <v>78.782000000000011</v>
      </c>
      <c r="G12" s="180">
        <f ca="1">SUM($D$69:G$69,G$80,G$90,G$96,G$107)</f>
        <v>82.333999999999989</v>
      </c>
      <c r="H12" s="180">
        <f ca="1">SUM($D$69:H$69,H$80,H$90,H$96,H$107)</f>
        <v>86.521000000000001</v>
      </c>
      <c r="I12" s="180">
        <f ca="1">SUM($D$69:I$69,I$80,I$90,I$96,I$107)</f>
        <v>90.13600000000001</v>
      </c>
      <c r="J12" s="180">
        <f ca="1">SUM($D$69:J$69,J$80,J$90,J$96,J$107)</f>
        <v>94.507000000000005</v>
      </c>
      <c r="K12" s="99">
        <f ca="1">SUM($D$69:K$69,K$80,K$90,K$96,K$107)</f>
        <v>98.705458641141661</v>
      </c>
      <c r="L12" s="99">
        <f ca="1">SUM($D$69:L$69,L$80,L$90,L$96,L$107)</f>
        <v>102.73773492117215</v>
      </c>
      <c r="M12" s="99">
        <f ca="1">SUM($D$69:M$69,M$80,M$90,M$96,M$107)</f>
        <v>106.87381085916421</v>
      </c>
      <c r="N12" s="99">
        <f ca="1">SUM($D$69:N$69,N$80,N$90,N$96,N$107)</f>
        <v>111.13283470231309</v>
      </c>
      <c r="O12" s="99">
        <f ca="1">SUM($D$69:O$69,O$80,O$90,O$96,O$107)</f>
        <v>115.46767275417463</v>
      </c>
      <c r="P12" s="99">
        <f ca="1">SUM($D$69:P$69,P$80,P$90,P$96,P$107)</f>
        <v>119.86126319201402</v>
      </c>
      <c r="Q12" s="99">
        <f ca="1">SUM($D$69:Q$69,Q$80,Q$90,Q$96,Q$107)</f>
        <v>124.37256967672144</v>
      </c>
      <c r="R12" s="99">
        <f ca="1">SUM($D$69:R$69,R$80,R$90,R$96,R$107)</f>
        <v>129.12866757707803</v>
      </c>
      <c r="S12" s="99">
        <f ca="1">SUM($D$69:S$69,S$80,S$90,S$96,S$107)</f>
        <v>134.0983433514927</v>
      </c>
      <c r="T12" s="99">
        <f ca="1">SUM($D$69:T$69,T$80,T$90,T$96,T$107)</f>
        <v>139.1925840426232</v>
      </c>
    </row>
    <row r="13" spans="1:20" x14ac:dyDescent="0.2">
      <c r="A13" s="47" t="s">
        <v>517</v>
      </c>
      <c r="B13" s="94"/>
      <c r="C13"/>
      <c r="D13" s="94">
        <f t="shared" ref="D13:T13" ca="1" si="3">D$10-D$11</f>
        <v>5.8599999999999994</v>
      </c>
      <c r="E13" s="94">
        <f t="shared" ca="1" si="3"/>
        <v>5.6370000000000005</v>
      </c>
      <c r="F13" s="180">
        <f t="shared" ca="1" si="3"/>
        <v>-0.55000000000002558</v>
      </c>
      <c r="G13" s="180">
        <f t="shared" ca="1" si="3"/>
        <v>-4.1099999999999994</v>
      </c>
      <c r="H13" s="180">
        <f t="shared" ca="1" si="3"/>
        <v>-6.0079999999999956</v>
      </c>
      <c r="I13" s="180">
        <f t="shared" ca="1" si="3"/>
        <v>-6.3050000000000068</v>
      </c>
      <c r="J13" s="180">
        <f t="shared" ca="1" si="3"/>
        <v>-6.3250000000000171</v>
      </c>
      <c r="K13" s="99">
        <f t="shared" ca="1" si="3"/>
        <v>-6.5051782827870994</v>
      </c>
      <c r="L13" s="99">
        <f t="shared" ca="1" si="3"/>
        <v>-6.4453282764000051</v>
      </c>
      <c r="M13" s="99">
        <f t="shared" ca="1" si="3"/>
        <v>-6.3182366381225563</v>
      </c>
      <c r="N13" s="99">
        <f t="shared" ca="1" si="3"/>
        <v>-6.1665772070209073</v>
      </c>
      <c r="O13" s="99">
        <f t="shared" ca="1" si="3"/>
        <v>-6.0652127693421818</v>
      </c>
      <c r="P13" s="99">
        <f t="shared" ca="1" si="3"/>
        <v>-5.9187330752318417</v>
      </c>
      <c r="Q13" s="99">
        <f t="shared" ca="1" si="3"/>
        <v>-5.6696757228127694</v>
      </c>
      <c r="R13" s="99">
        <f t="shared" ca="1" si="3"/>
        <v>-5.9125401549376306</v>
      </c>
      <c r="S13" s="99">
        <f t="shared" ca="1" si="3"/>
        <v>-6.1717164234076733</v>
      </c>
      <c r="T13" s="99">
        <f t="shared" ca="1" si="3"/>
        <v>-6.4103453182812871</v>
      </c>
    </row>
    <row r="14" spans="1:20" x14ac:dyDescent="0.2">
      <c r="A14" s="47" t="s">
        <v>721</v>
      </c>
      <c r="B14" s="94"/>
      <c r="C14"/>
      <c r="D14" s="94">
        <f t="shared" ref="D14:T14" ca="1" si="4">D$13-(D$116-D$125-D$119)</f>
        <v>6.2499999999999991</v>
      </c>
      <c r="E14" s="94">
        <f t="shared" ca="1" si="4"/>
        <v>5.5860000000000003</v>
      </c>
      <c r="F14" s="180">
        <f t="shared" ca="1" si="4"/>
        <v>-0.81200000000002559</v>
      </c>
      <c r="G14" s="180">
        <f t="shared" ca="1" si="4"/>
        <v>-4.0269999999999992</v>
      </c>
      <c r="H14" s="180">
        <f t="shared" ca="1" si="4"/>
        <v>-5.902999999999996</v>
      </c>
      <c r="I14" s="180">
        <f t="shared" ca="1" si="4"/>
        <v>-6.1750000000000069</v>
      </c>
      <c r="J14" s="180">
        <f t="shared" ca="1" si="4"/>
        <v>-6.1750000000000167</v>
      </c>
      <c r="K14" s="99">
        <f t="shared" ca="1" si="4"/>
        <v>-6.3888750735058446</v>
      </c>
      <c r="L14" s="99">
        <f t="shared" ca="1" si="4"/>
        <v>-6.3348837359353061</v>
      </c>
      <c r="M14" s="99">
        <f t="shared" ca="1" si="4"/>
        <v>-6.2140033539353787</v>
      </c>
      <c r="N14" s="99">
        <f t="shared" ca="1" si="4"/>
        <v>-6.0689275413286481</v>
      </c>
      <c r="O14" s="99">
        <f t="shared" ca="1" si="4"/>
        <v>-5.974520089345039</v>
      </c>
      <c r="P14" s="99">
        <f t="shared" ca="1" si="4"/>
        <v>-5.8353669783973174</v>
      </c>
      <c r="Q14" s="99">
        <f t="shared" ca="1" si="4"/>
        <v>-5.5940024759720677</v>
      </c>
      <c r="R14" s="99">
        <f t="shared" ca="1" si="4"/>
        <v>-5.8448799509132492</v>
      </c>
      <c r="S14" s="99">
        <f t="shared" ca="1" si="4"/>
        <v>-6.1123323781657</v>
      </c>
      <c r="T14" s="99">
        <f t="shared" ca="1" si="4"/>
        <v>-6.3594839565895249</v>
      </c>
    </row>
    <row r="15" spans="1:20" x14ac:dyDescent="0.2">
      <c r="A15" s="47" t="s">
        <v>516</v>
      </c>
      <c r="B15" s="94"/>
      <c r="C15"/>
      <c r="D15" s="94">
        <f>SUM(Data!C$35:C$37)</f>
        <v>2.2429999999999999</v>
      </c>
      <c r="E15" s="94">
        <f>SUM(Data!D$35:D$37)</f>
        <v>-3.2079999999999997</v>
      </c>
      <c r="F15" s="180">
        <f>SUM(Data!E$35:E$37)</f>
        <v>-3.7789999999999995</v>
      </c>
      <c r="G15" s="180">
        <f>SUM(Data!F$35:F$37)</f>
        <v>2.12</v>
      </c>
      <c r="H15" s="180">
        <f>SUM(Data!G$35:G$37)</f>
        <v>2.4099999999999997</v>
      </c>
      <c r="I15" s="180">
        <f>SUM(Data!H$35:H$37)</f>
        <v>2.6960000000000002</v>
      </c>
      <c r="J15" s="180">
        <f>SUM(Data!I$35:I$37)</f>
        <v>2.992</v>
      </c>
      <c r="K15" s="99">
        <f ca="1">SUM(J$15,K$22-J$22,(K$131-K$132-(J$131-J$132))*(1-OFFSET(Scenarios!$A$21,0,$C$1)),(K$140-K$141-(J$140-J$141))*(1-OFFSET(Scenarios!$A$22,0,$C$1)))</f>
        <v>3.0615779859577956</v>
      </c>
      <c r="L15" s="99">
        <f ca="1">SUM(K$15,L$22-K$22,(L$131-L$132-(K$131-K$132))*(1-OFFSET(Scenarios!$A$21,0,$C$1)),(L$140-L$141-(K$140-K$141))*(1-OFFSET(Scenarios!$A$22,0,$C$1)))</f>
        <v>3.3646508389131853</v>
      </c>
      <c r="M15" s="99">
        <f ca="1">SUM(L$15,M$22-L$22,(M$131-M$132-(L$131-L$132))*(1-OFFSET(Scenarios!$A$21,0,$C$1)),(M$140-M$141-(L$140-L$141))*(1-OFFSET(Scenarios!$A$22,0,$C$1)))</f>
        <v>3.6860010106512786</v>
      </c>
      <c r="N15" s="99">
        <f ca="1">SUM(M$15,N$22-M$22,(N$131-N$132-(M$131-M$132))*(1-OFFSET(Scenarios!$A$21,0,$C$1)),(N$140-N$141-(M$140-M$141))*(1-OFFSET(Scenarios!$A$22,0,$C$1)))</f>
        <v>4.0266609967999987</v>
      </c>
      <c r="O15" s="99">
        <f ca="1">SUM(N$15,O$22-N$22,(O$131-O$132-(N$131-N$132))*(1-OFFSET(Scenarios!$A$21,0,$C$1)),(O$140-O$141-(N$140-N$141))*(1-OFFSET(Scenarios!$A$22,0,$C$1)))</f>
        <v>4.3867587073896175</v>
      </c>
      <c r="P15" s="99">
        <f ca="1">SUM(O$15,P$22-O$22,(P$131-P$132-(O$131-O$132))*(1-OFFSET(Scenarios!$A$21,0,$C$1)),(P$140-P$141-(O$140-O$141))*(1-OFFSET(Scenarios!$A$22,0,$C$1)))</f>
        <v>4.7661957041285978</v>
      </c>
      <c r="Q15" s="99">
        <f ca="1">SUM(P$15,Q$22-P$22,(Q$131-Q$132-(P$131-P$132))*(1-OFFSET(Scenarios!$A$21,0,$C$1)),(Q$140-Q$141-(P$140-P$141))*(1-OFFSET(Scenarios!$A$22,0,$C$1)))</f>
        <v>5.16490007664465</v>
      </c>
      <c r="R15" s="99">
        <f ca="1">SUM(Q$15,R$22-Q$22,(R$131-R$132-(Q$131-Q$132))*(1-OFFSET(Scenarios!$A$21,0,$C$1)),(R$140-R$141-(Q$140-Q$141))*(1-OFFSET(Scenarios!$A$22,0,$C$1)))</f>
        <v>5.5807349354070919</v>
      </c>
      <c r="S15" s="99">
        <f ca="1">SUM(R$15,S$22-R$22,(S$131-S$132-(R$131-R$132))*(1-OFFSET(Scenarios!$A$21,0,$C$1)),(S$140-S$141-(R$140-R$141))*(1-OFFSET(Scenarios!$A$22,0,$C$1)))</f>
        <v>6.0110363297451004</v>
      </c>
      <c r="T15" s="99">
        <f ca="1">SUM(S$15,T$22-S$22,(T$131-T$132-(S$131-S$132))*(1-OFFSET(Scenarios!$A$21,0,$C$1)),(T$140-T$141-(S$140-S$141))*(1-OFFSET(Scenarios!$A$22,0,$C$1)))</f>
        <v>6.4551078155435206</v>
      </c>
    </row>
    <row r="16" spans="1:20" x14ac:dyDescent="0.2">
      <c r="A16" s="47" t="s">
        <v>160</v>
      </c>
      <c r="B16" s="95"/>
      <c r="C16"/>
      <c r="D16" s="94">
        <f t="shared" ref="D16:T16" ca="1" si="5">SUM(D$13,D$15)</f>
        <v>8.1029999999999998</v>
      </c>
      <c r="E16" s="94">
        <f t="shared" ca="1" si="5"/>
        <v>2.4290000000000007</v>
      </c>
      <c r="F16" s="180">
        <f t="shared" ca="1" si="5"/>
        <v>-4.3290000000000255</v>
      </c>
      <c r="G16" s="180">
        <f t="shared" ca="1" si="5"/>
        <v>-1.9899999999999993</v>
      </c>
      <c r="H16" s="180">
        <f t="shared" ca="1" si="5"/>
        <v>-3.5979999999999959</v>
      </c>
      <c r="I16" s="180">
        <f t="shared" ca="1" si="5"/>
        <v>-3.6090000000000066</v>
      </c>
      <c r="J16" s="180">
        <f t="shared" ca="1" si="5"/>
        <v>-3.3330000000000171</v>
      </c>
      <c r="K16" s="99">
        <f t="shared" ca="1" si="5"/>
        <v>-3.4436002968293038</v>
      </c>
      <c r="L16" s="99">
        <f t="shared" ca="1" si="5"/>
        <v>-3.0806774374868198</v>
      </c>
      <c r="M16" s="99">
        <f t="shared" ca="1" si="5"/>
        <v>-2.6322356274712777</v>
      </c>
      <c r="N16" s="99">
        <f t="shared" ca="1" si="5"/>
        <v>-2.1399162102209086</v>
      </c>
      <c r="O16" s="99">
        <f t="shared" ca="1" si="5"/>
        <v>-1.6784540619525643</v>
      </c>
      <c r="P16" s="99">
        <f t="shared" ca="1" si="5"/>
        <v>-1.1525373711032438</v>
      </c>
      <c r="Q16" s="99">
        <f t="shared" ca="1" si="5"/>
        <v>-0.50477564616811943</v>
      </c>
      <c r="R16" s="99">
        <f t="shared" ca="1" si="5"/>
        <v>-0.33180521953053876</v>
      </c>
      <c r="S16" s="99">
        <f t="shared" ca="1" si="5"/>
        <v>-0.16068009366257296</v>
      </c>
      <c r="T16" s="99">
        <f t="shared" ca="1" si="5"/>
        <v>4.476249726223358E-2</v>
      </c>
    </row>
    <row r="17" spans="1:20" x14ac:dyDescent="0.2">
      <c r="A17" s="43" t="s">
        <v>213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</row>
    <row r="18" spans="1:20" x14ac:dyDescent="0.2">
      <c r="A18" s="47" t="s">
        <v>190</v>
      </c>
      <c r="B18" s="94"/>
      <c r="C18"/>
      <c r="D18" s="94">
        <f t="shared" ref="D18:T18" si="6">D$52</f>
        <v>53.476999999999997</v>
      </c>
      <c r="E18" s="94">
        <f t="shared" si="6"/>
        <v>56.747</v>
      </c>
      <c r="F18" s="180">
        <f t="shared" si="6"/>
        <v>55.4</v>
      </c>
      <c r="G18" s="180">
        <f t="shared" si="6"/>
        <v>54.354999999999997</v>
      </c>
      <c r="H18" s="180">
        <f t="shared" si="6"/>
        <v>55.298000000000002</v>
      </c>
      <c r="I18" s="180">
        <f t="shared" si="6"/>
        <v>58.302999999999997</v>
      </c>
      <c r="J18" s="180">
        <f t="shared" si="6"/>
        <v>61.879000000000005</v>
      </c>
      <c r="K18" s="99">
        <f t="shared" ca="1" si="6"/>
        <v>65.322591251954634</v>
      </c>
      <c r="L18" s="99">
        <f t="shared" ca="1" si="6"/>
        <v>68.677770680156641</v>
      </c>
      <c r="M18" s="99">
        <f t="shared" ca="1" si="6"/>
        <v>72.189159020779286</v>
      </c>
      <c r="N18" s="99">
        <f t="shared" ca="1" si="6"/>
        <v>75.804692405561397</v>
      </c>
      <c r="O18" s="99">
        <f t="shared" ca="1" si="6"/>
        <v>79.414373941276665</v>
      </c>
      <c r="P18" s="99">
        <f t="shared" ca="1" si="6"/>
        <v>83.174904533216178</v>
      </c>
      <c r="Q18" s="99">
        <f t="shared" ca="1" si="6"/>
        <v>87.096481422849862</v>
      </c>
      <c r="R18" s="99">
        <f t="shared" ca="1" si="6"/>
        <v>90.706525675698842</v>
      </c>
      <c r="S18" s="99">
        <f t="shared" ca="1" si="6"/>
        <v>94.463217013150597</v>
      </c>
      <c r="T18" s="99">
        <f t="shared" ca="1" si="6"/>
        <v>98.329730836392812</v>
      </c>
    </row>
    <row r="19" spans="1:20" x14ac:dyDescent="0.2">
      <c r="A19" s="47" t="s">
        <v>514</v>
      </c>
      <c r="B19" s="94"/>
      <c r="C19"/>
      <c r="D19" s="94">
        <f t="shared" ref="D19:T19" si="7">SUM(D$18,D$56,D$57,D$64)</f>
        <v>58.210999999999999</v>
      </c>
      <c r="E19" s="94">
        <f t="shared" si="7"/>
        <v>61.819000000000003</v>
      </c>
      <c r="F19" s="180">
        <f t="shared" si="7"/>
        <v>60.805999999999997</v>
      </c>
      <c r="G19" s="180">
        <f t="shared" si="7"/>
        <v>59.783000000000001</v>
      </c>
      <c r="H19" s="180">
        <f t="shared" si="7"/>
        <v>61.212000000000003</v>
      </c>
      <c r="I19" s="180">
        <f t="shared" si="7"/>
        <v>64.573999999999998</v>
      </c>
      <c r="J19" s="180">
        <f t="shared" si="7"/>
        <v>68.835000000000008</v>
      </c>
      <c r="K19" s="99">
        <f t="shared" ca="1" si="7"/>
        <v>71.943268279593568</v>
      </c>
      <c r="L19" s="99">
        <f t="shared" ca="1" si="7"/>
        <v>75.484863021564991</v>
      </c>
      <c r="M19" s="99">
        <f t="shared" ca="1" si="7"/>
        <v>79.189119904499137</v>
      </c>
      <c r="N19" s="99">
        <f t="shared" ca="1" si="7"/>
        <v>83.003949522096462</v>
      </c>
      <c r="O19" s="99">
        <f t="shared" ca="1" si="7"/>
        <v>86.818683002975092</v>
      </c>
      <c r="P19" s="99">
        <f t="shared" ca="1" si="7"/>
        <v>90.688939498906493</v>
      </c>
      <c r="Q19" s="99">
        <f t="shared" ca="1" si="7"/>
        <v>94.727051245286319</v>
      </c>
      <c r="R19" s="99">
        <f t="shared" ca="1" si="7"/>
        <v>98.459768232942537</v>
      </c>
      <c r="S19" s="99">
        <f t="shared" ca="1" si="7"/>
        <v>102.34464427303195</v>
      </c>
      <c r="T19" s="99">
        <f t="shared" ca="1" si="7"/>
        <v>106.34446021825677</v>
      </c>
    </row>
    <row r="20" spans="1:20" x14ac:dyDescent="0.2">
      <c r="A20" s="47" t="s">
        <v>515</v>
      </c>
      <c r="B20" s="94"/>
      <c r="C20"/>
      <c r="D20" s="94">
        <f t="shared" ref="D20:T20" ca="1" si="8">SUM(D$21,D$110)</f>
        <v>54.003000000000007</v>
      </c>
      <c r="E20" s="94">
        <f t="shared" ca="1" si="8"/>
        <v>56.997000000000007</v>
      </c>
      <c r="F20" s="180">
        <f t="shared" ca="1" si="8"/>
        <v>62.741</v>
      </c>
      <c r="G20" s="180">
        <f t="shared" ca="1" si="8"/>
        <v>65.427999999999997</v>
      </c>
      <c r="H20" s="180">
        <f t="shared" ca="1" si="8"/>
        <v>68.524000000000001</v>
      </c>
      <c r="I20" s="180">
        <f t="shared" ca="1" si="8"/>
        <v>71.953000000000003</v>
      </c>
      <c r="J20" s="180">
        <f t="shared" ca="1" si="8"/>
        <v>76.158000000000001</v>
      </c>
      <c r="K20" s="99">
        <f t="shared" ca="1" si="8"/>
        <v>79.624555258138642</v>
      </c>
      <c r="L20" s="99">
        <f t="shared" ca="1" si="8"/>
        <v>83.300949122901557</v>
      </c>
      <c r="M20" s="99">
        <f t="shared" ca="1" si="8"/>
        <v>87.046532331942316</v>
      </c>
      <c r="N20" s="99">
        <f t="shared" ca="1" si="8"/>
        <v>90.881767221427836</v>
      </c>
      <c r="O20" s="99">
        <f t="shared" ca="1" si="8"/>
        <v>94.763780498173659</v>
      </c>
      <c r="P20" s="99">
        <f t="shared" ca="1" si="8"/>
        <v>98.666551648003178</v>
      </c>
      <c r="Q20" s="99">
        <f t="shared" ca="1" si="8"/>
        <v>102.64445685513019</v>
      </c>
      <c r="R20" s="99">
        <f t="shared" ca="1" si="8"/>
        <v>106.8168873702698</v>
      </c>
      <c r="S20" s="99">
        <f t="shared" ca="1" si="8"/>
        <v>111.16708555056729</v>
      </c>
      <c r="T20" s="99">
        <f t="shared" ca="1" si="8"/>
        <v>115.61876282728873</v>
      </c>
    </row>
    <row r="21" spans="1:20" x14ac:dyDescent="0.2">
      <c r="A21" s="47" t="s">
        <v>521</v>
      </c>
      <c r="B21" s="94"/>
      <c r="C21"/>
      <c r="D21" s="94">
        <f ca="1">SUM($D$69:D$69,D$77,D$89,D$95,D$106)</f>
        <v>51.674000000000007</v>
      </c>
      <c r="E21" s="94">
        <f ca="1">SUM($D$69:E$69,E$77,E$89,E$95,E$106)</f>
        <v>54.537000000000006</v>
      </c>
      <c r="F21" s="180">
        <f ca="1">SUM($D$69:F$69,F$77,F$89,F$95,F$106)</f>
        <v>60.176000000000002</v>
      </c>
      <c r="G21" s="180">
        <f ca="1">SUM($D$69:G$69,G$77,G$89,G$95,G$106)</f>
        <v>62.944000000000003</v>
      </c>
      <c r="H21" s="180">
        <f ca="1">SUM($D$69:H$69,H$77,H$89,H$95,H$106)</f>
        <v>65.539000000000001</v>
      </c>
      <c r="I21" s="180">
        <f ca="1">SUM($D$69:I$69,I$77,I$89,I$95,I$106)</f>
        <v>68.396000000000001</v>
      </c>
      <c r="J21" s="180">
        <f ca="1">SUM($D$69:J$69,J$77,J$89,J$95,J$106)</f>
        <v>71.835999999999999</v>
      </c>
      <c r="K21" s="99">
        <f ca="1">SUM($D$69:K$69,K$77,K$89,K$95,K$106)</f>
        <v>75.017215258138648</v>
      </c>
      <c r="L21" s="99">
        <f ca="1">SUM($D$69:L$69,L$77,L$89,L$95,L$106)</f>
        <v>77.983521870750835</v>
      </c>
      <c r="M21" s="99">
        <f ca="1">SUM($D$69:M$69,M$77,M$89,M$95,M$106)</f>
        <v>81.011809905077897</v>
      </c>
      <c r="N21" s="99">
        <f ca="1">SUM($D$69:N$69,N$77,N$89,N$95,N$106)</f>
        <v>84.138298621431474</v>
      </c>
      <c r="O21" s="99">
        <f ca="1">SUM($D$69:O$69,O$77,O$89,O$95,O$106)</f>
        <v>87.354104889175858</v>
      </c>
      <c r="P21" s="99">
        <f ca="1">SUM($D$69:P$69,P$77,P$89,P$95,P$106)</f>
        <v>90.588416213634233</v>
      </c>
      <c r="Q21" s="99">
        <f ca="1">SUM($D$69:Q$69,Q$77,Q$89,Q$95,Q$106)</f>
        <v>93.899394901099356</v>
      </c>
      <c r="R21" s="99">
        <f ca="1">SUM($D$69:R$69,R$77,R$89,R$95,R$106)</f>
        <v>97.413730269269934</v>
      </c>
      <c r="S21" s="99">
        <f ca="1">SUM($D$69:S$69,S$77,S$89,S$95,S$106)</f>
        <v>101.08925404267291</v>
      </c>
      <c r="T21" s="99">
        <f ca="1">SUM($D$69:T$69,T$77,T$89,T$95,T$106)</f>
        <v>104.85026620362424</v>
      </c>
    </row>
    <row r="22" spans="1:20" x14ac:dyDescent="0.2">
      <c r="A22" s="47" t="s">
        <v>516</v>
      </c>
      <c r="B22" s="94"/>
      <c r="C22"/>
      <c r="D22" s="94">
        <f>Data!C$114</f>
        <v>2.395</v>
      </c>
      <c r="E22" s="94">
        <f>Data!D$114</f>
        <v>-0.92900000000000005</v>
      </c>
      <c r="F22" s="180">
        <f>Data!E$114</f>
        <v>-3.01</v>
      </c>
      <c r="G22" s="180">
        <f>Data!F$114</f>
        <v>1.619</v>
      </c>
      <c r="H22" s="180">
        <f>Data!G$114</f>
        <v>1.869</v>
      </c>
      <c r="I22" s="180">
        <f>Data!H$114</f>
        <v>2.1230000000000002</v>
      </c>
      <c r="J22" s="180">
        <f>Data!I$114</f>
        <v>2.3980000000000001</v>
      </c>
      <c r="K22" s="99">
        <f>SUM(J$22,K$117-J$117)</f>
        <v>2.4588812002618501</v>
      </c>
      <c r="L22" s="99">
        <f t="shared" ref="L22:T22" si="9">SUM(K$22,L$117-K$117)</f>
        <v>2.7426856429336981</v>
      </c>
      <c r="M22" s="99">
        <f t="shared" si="9"/>
        <v>3.0435700556440617</v>
      </c>
      <c r="N22" s="99">
        <f t="shared" si="9"/>
        <v>3.3624923631201908</v>
      </c>
      <c r="O22" s="99">
        <f t="shared" si="9"/>
        <v>3.6995012485343701</v>
      </c>
      <c r="P22" s="99">
        <f t="shared" si="9"/>
        <v>4.0544140992624893</v>
      </c>
      <c r="Q22" s="99">
        <f t="shared" si="9"/>
        <v>4.4270695732987253</v>
      </c>
      <c r="R22" s="99">
        <f t="shared" si="9"/>
        <v>4.8152357628885794</v>
      </c>
      <c r="S22" s="99">
        <f t="shared" si="9"/>
        <v>5.216147762567994</v>
      </c>
      <c r="T22" s="99">
        <f t="shared" si="9"/>
        <v>5.6290018648857556</v>
      </c>
    </row>
    <row r="23" spans="1:20" x14ac:dyDescent="0.2">
      <c r="A23" s="47" t="s">
        <v>160</v>
      </c>
      <c r="B23" s="94"/>
      <c r="C23"/>
      <c r="D23" s="94">
        <f t="shared" ref="D23:T23" ca="1" si="10">D$19-D$20+D$22</f>
        <v>6.6029999999999909</v>
      </c>
      <c r="E23" s="94">
        <f t="shared" ca="1" si="10"/>
        <v>3.8929999999999954</v>
      </c>
      <c r="F23" s="180">
        <f t="shared" ca="1" si="10"/>
        <v>-4.9450000000000021</v>
      </c>
      <c r="G23" s="180">
        <f t="shared" ca="1" si="10"/>
        <v>-4.0259999999999962</v>
      </c>
      <c r="H23" s="180">
        <f t="shared" ca="1" si="10"/>
        <v>-5.4429999999999978</v>
      </c>
      <c r="I23" s="180">
        <f t="shared" ca="1" si="10"/>
        <v>-5.2560000000000047</v>
      </c>
      <c r="J23" s="180">
        <f t="shared" ca="1" si="10"/>
        <v>-4.9249999999999936</v>
      </c>
      <c r="K23" s="99">
        <f t="shared" ca="1" si="10"/>
        <v>-5.2224057782832247</v>
      </c>
      <c r="L23" s="99">
        <f t="shared" ca="1" si="10"/>
        <v>-5.073400458402868</v>
      </c>
      <c r="M23" s="99">
        <f t="shared" ca="1" si="10"/>
        <v>-4.8138423717991179</v>
      </c>
      <c r="N23" s="99">
        <f t="shared" ca="1" si="10"/>
        <v>-4.5153253362111823</v>
      </c>
      <c r="O23" s="99">
        <f t="shared" ca="1" si="10"/>
        <v>-4.2455962466641974</v>
      </c>
      <c r="P23" s="99">
        <f t="shared" ca="1" si="10"/>
        <v>-3.9231980498341965</v>
      </c>
      <c r="Q23" s="99">
        <f t="shared" ca="1" si="10"/>
        <v>-3.490336036545143</v>
      </c>
      <c r="R23" s="99">
        <f t="shared" ca="1" si="10"/>
        <v>-3.5418833744386804</v>
      </c>
      <c r="S23" s="99">
        <f t="shared" ca="1" si="10"/>
        <v>-3.6062935149673532</v>
      </c>
      <c r="T23" s="99">
        <f t="shared" ca="1" si="10"/>
        <v>-3.6453007441462075</v>
      </c>
    </row>
    <row r="24" spans="1:20" ht="15.75" customHeight="1" x14ac:dyDescent="0.25">
      <c r="A24" s="249" t="s">
        <v>638</v>
      </c>
      <c r="C24"/>
      <c r="D24"/>
      <c r="E24"/>
      <c r="F24"/>
      <c r="G24"/>
      <c r="H24"/>
      <c r="I24"/>
      <c r="J24"/>
      <c r="K24" s="54">
        <f ca="1">K19-J19</f>
        <v>3.1082682795935597</v>
      </c>
      <c r="L24" s="54">
        <f ca="1">K20-J20</f>
        <v>3.4665552581386407</v>
      </c>
      <c r="M24" s="54">
        <f>K22-J22</f>
        <v>6.0881200261849955E-2</v>
      </c>
      <c r="N24" s="54">
        <f ca="1">L24-K24-M24</f>
        <v>0.29740577828323111</v>
      </c>
      <c r="O24"/>
      <c r="P24"/>
      <c r="Q24"/>
      <c r="R24"/>
      <c r="S24"/>
    </row>
    <row r="25" spans="1:20" x14ac:dyDescent="0.2">
      <c r="A25" s="43" t="s">
        <v>212</v>
      </c>
      <c r="B25" s="95"/>
      <c r="C25"/>
      <c r="D25" s="95"/>
      <c r="E25" s="95"/>
      <c r="F25" s="95"/>
      <c r="G25" s="95"/>
      <c r="H25" s="95"/>
      <c r="I25" s="95"/>
      <c r="J25" s="95"/>
      <c r="K25" s="95"/>
      <c r="L25" s="54">
        <f ca="1">K21-J21</f>
        <v>3.1812152581386499</v>
      </c>
      <c r="M25" s="95"/>
      <c r="N25" s="95"/>
      <c r="O25" s="95"/>
      <c r="P25" s="95"/>
      <c r="Q25" s="95"/>
      <c r="R25" s="95"/>
      <c r="S25" s="95"/>
      <c r="T25" s="95"/>
    </row>
    <row r="26" spans="1:20" x14ac:dyDescent="0.2">
      <c r="A26" s="47" t="s">
        <v>845</v>
      </c>
      <c r="B26" s="95"/>
      <c r="C26"/>
      <c r="D26" s="94">
        <f ca="1">SUM(D$151,D$160,D$169,D$171,D$176,$D$178:D$178,D$186)</f>
        <v>180.34900000000002</v>
      </c>
      <c r="E26" s="94">
        <f ca="1">SUM(E$151,E$160,E$169,E$171,E$176,$D$178:E$178,E$186)</f>
        <v>200.83500000000001</v>
      </c>
      <c r="F26" s="180">
        <f ca="1">SUM(F$151,F$160,F$169,F$171,F$176,$D$178:F$178,F$186)</f>
        <v>206.48699999999999</v>
      </c>
      <c r="G26" s="180">
        <f ca="1">SUM(G$151,G$160,G$169,G$171,G$176,$D$178:G$178,G$186)</f>
        <v>212.24899999999997</v>
      </c>
      <c r="H26" s="180">
        <f ca="1">SUM(H$151,H$160,H$169,H$171,H$176,$D$178:H$178,H$186)</f>
        <v>222.69499999999999</v>
      </c>
      <c r="I26" s="180">
        <f ca="1">SUM(I$151,I$160,I$169,I$171,I$176,$D$178:I$178,I$186)</f>
        <v>231.08500000000001</v>
      </c>
      <c r="J26" s="180">
        <f ca="1">SUM(J$151,J$160,J$169,J$171,J$176,$D$178:J$178,J$186)</f>
        <v>242.07100000000003</v>
      </c>
      <c r="K26" s="99">
        <f ca="1">SUM(K$151,K$160,K$169,K$171,K$176,$D$178:K$178,K$186)</f>
        <v>252.57980016085617</v>
      </c>
      <c r="L26" s="99">
        <f ca="1">SUM(L$151,L$160,L$169,L$171,L$176,$D$178:L$178,L$186)</f>
        <v>264.27606346768164</v>
      </c>
      <c r="M26" s="99">
        <f ca="1">SUM(M$151,M$160,M$169,M$171,M$176,$D$178:M$178,M$186)</f>
        <v>276.57215955911329</v>
      </c>
      <c r="N26" s="99">
        <f ca="1">SUM(N$151,N$160,N$169,N$171,N$176,$D$178:N$178,N$186)</f>
        <v>288.76416720632511</v>
      </c>
      <c r="O26" s="99">
        <f ca="1">SUM(O$151,O$160,O$169,O$171,O$176,$D$178:O$178,O$186)</f>
        <v>301.53252099009921</v>
      </c>
      <c r="P26" s="99">
        <f ca="1">SUM(P$151,P$160,P$169,P$171,P$176,$D$178:P$178,P$186)</f>
        <v>314.94652935410625</v>
      </c>
      <c r="Q26" s="99">
        <f ca="1">SUM(Q$151,Q$160,Q$169,Q$171,Q$176,$D$178:Q$178,Q$186)</f>
        <v>329.02553083729612</v>
      </c>
      <c r="R26" s="99">
        <f ca="1">SUM(R$151,R$160,R$169,R$171,R$176,$D$178:R$178,R$186)</f>
        <v>343.71617068071652</v>
      </c>
      <c r="S26" s="99">
        <f ca="1">SUM(S$151,S$160,S$169,S$171,S$176,$D$178:S$178,S$186)</f>
        <v>359.0359105037345</v>
      </c>
      <c r="T26" s="99">
        <f ca="1">SUM(T$151,T$160,T$169,T$171,T$176,$D$178:T$178,T$186)</f>
        <v>374.97496753853483</v>
      </c>
    </row>
    <row r="27" spans="1:20" x14ac:dyDescent="0.2">
      <c r="A27" s="47" t="s">
        <v>161</v>
      </c>
      <c r="B27" s="95"/>
      <c r="C27"/>
      <c r="D27" s="94">
        <f t="shared" ref="D27:T27" si="11">SUM(D$202,D$199)</f>
        <v>41.897999999999996</v>
      </c>
      <c r="E27" s="94">
        <f t="shared" si="11"/>
        <v>46.11</v>
      </c>
      <c r="F27" s="180">
        <f t="shared" si="11"/>
        <v>51.317</v>
      </c>
      <c r="G27" s="180">
        <f t="shared" si="11"/>
        <v>57.06</v>
      </c>
      <c r="H27" s="180">
        <f t="shared" si="11"/>
        <v>70.701999999999998</v>
      </c>
      <c r="I27" s="180">
        <f t="shared" si="11"/>
        <v>81.509</v>
      </c>
      <c r="J27" s="180">
        <f t="shared" si="11"/>
        <v>94.339999999999989</v>
      </c>
      <c r="K27" s="99">
        <f t="shared" ca="1" si="11"/>
        <v>106.36215112915772</v>
      </c>
      <c r="L27" s="99">
        <f t="shared" ca="1" si="11"/>
        <v>119.12409023483445</v>
      </c>
      <c r="M27" s="99">
        <f t="shared" ca="1" si="11"/>
        <v>131.7707739740365</v>
      </c>
      <c r="N27" s="99">
        <f t="shared" ca="1" si="11"/>
        <v>143.71650037942169</v>
      </c>
      <c r="O27" s="99">
        <f t="shared" ca="1" si="11"/>
        <v>155.6695294628243</v>
      </c>
      <c r="P27" s="99">
        <f t="shared" ca="1" si="11"/>
        <v>167.6178975655146</v>
      </c>
      <c r="Q27" s="99">
        <f t="shared" ca="1" si="11"/>
        <v>179.44149040260027</v>
      </c>
      <c r="R27" s="99">
        <f t="shared" ca="1" si="11"/>
        <v>191.56145216146575</v>
      </c>
      <c r="S27" s="99">
        <f t="shared" ca="1" si="11"/>
        <v>203.97633526239608</v>
      </c>
      <c r="T27" s="99">
        <f t="shared" ca="1" si="11"/>
        <v>216.63920507815396</v>
      </c>
    </row>
    <row r="28" spans="1:20" x14ac:dyDescent="0.2">
      <c r="A28" s="47" t="s">
        <v>238</v>
      </c>
      <c r="B28" s="95"/>
      <c r="C28"/>
      <c r="D28" s="94">
        <f t="shared" ref="D28:T28" si="12">D$197</f>
        <v>41.623999999999995</v>
      </c>
      <c r="E28" s="94">
        <f t="shared" si="12"/>
        <v>49.210999999999999</v>
      </c>
      <c r="F28" s="180">
        <f t="shared" si="12"/>
        <v>53.639000000000003</v>
      </c>
      <c r="G28" s="180">
        <f t="shared" si="12"/>
        <v>55.642000000000003</v>
      </c>
      <c r="H28" s="180">
        <f t="shared" si="12"/>
        <v>56.042000000000002</v>
      </c>
      <c r="I28" s="180">
        <f t="shared" si="12"/>
        <v>57.227000000000004</v>
      </c>
      <c r="J28" s="180">
        <f t="shared" si="12"/>
        <v>58.710000000000008</v>
      </c>
      <c r="K28" s="99">
        <f t="shared" ca="1" si="12"/>
        <v>60.640249328527673</v>
      </c>
      <c r="L28" s="99">
        <f t="shared" ca="1" si="12"/>
        <v>62.655250967163312</v>
      </c>
      <c r="M28" s="99">
        <f t="shared" ca="1" si="12"/>
        <v>64.936898946864204</v>
      </c>
      <c r="N28" s="99">
        <f t="shared" ca="1" si="12"/>
        <v>67.323096398911815</v>
      </c>
      <c r="O28" s="99">
        <f t="shared" ca="1" si="12"/>
        <v>69.816875161235956</v>
      </c>
      <c r="P28" s="99">
        <f t="shared" ca="1" si="12"/>
        <v>72.435052793655927</v>
      </c>
      <c r="Q28" s="99">
        <f t="shared" ca="1" si="12"/>
        <v>75.195237085928227</v>
      </c>
      <c r="R28" s="99">
        <f t="shared" ca="1" si="12"/>
        <v>78.097720390013706</v>
      </c>
      <c r="S28" s="99">
        <f t="shared" ca="1" si="12"/>
        <v>81.163257205763912</v>
      </c>
      <c r="T28" s="99">
        <f t="shared" ca="1" si="12"/>
        <v>84.394681927544141</v>
      </c>
    </row>
    <row r="29" spans="1:20" x14ac:dyDescent="0.2">
      <c r="A29" s="47" t="s">
        <v>162</v>
      </c>
      <c r="B29" s="95"/>
      <c r="C29"/>
      <c r="D29" s="94">
        <f t="shared" ref="D29:T29" ca="1" si="13">D$26-SUM(D$27,D$28)</f>
        <v>96.827000000000027</v>
      </c>
      <c r="E29" s="94">
        <f t="shared" ca="1" si="13"/>
        <v>105.51400000000001</v>
      </c>
      <c r="F29" s="180">
        <f t="shared" ca="1" si="13"/>
        <v>101.53099999999999</v>
      </c>
      <c r="G29" s="180">
        <f t="shared" ca="1" si="13"/>
        <v>99.546999999999969</v>
      </c>
      <c r="H29" s="180">
        <f t="shared" ca="1" si="13"/>
        <v>95.950999999999993</v>
      </c>
      <c r="I29" s="180">
        <f t="shared" ca="1" si="13"/>
        <v>92.349000000000018</v>
      </c>
      <c r="J29" s="180">
        <f t="shared" ca="1" si="13"/>
        <v>89.021000000000015</v>
      </c>
      <c r="K29" s="99">
        <f t="shared" ca="1" si="13"/>
        <v>85.577399703170784</v>
      </c>
      <c r="L29" s="99">
        <f t="shared" ca="1" si="13"/>
        <v>82.496722265683871</v>
      </c>
      <c r="M29" s="99">
        <f t="shared" ca="1" si="13"/>
        <v>79.864486638212583</v>
      </c>
      <c r="N29" s="99">
        <f t="shared" ca="1" si="13"/>
        <v>77.724570427991608</v>
      </c>
      <c r="O29" s="99">
        <f t="shared" ca="1" si="13"/>
        <v>76.046116366038973</v>
      </c>
      <c r="P29" s="99">
        <f t="shared" ca="1" si="13"/>
        <v>74.893578994935723</v>
      </c>
      <c r="Q29" s="99">
        <f t="shared" ca="1" si="13"/>
        <v>74.388803348767624</v>
      </c>
      <c r="R29" s="99">
        <f t="shared" ca="1" si="13"/>
        <v>74.056998129237058</v>
      </c>
      <c r="S29" s="99">
        <f t="shared" ca="1" si="13"/>
        <v>73.896318035574495</v>
      </c>
      <c r="T29" s="99">
        <f t="shared" ca="1" si="13"/>
        <v>73.941080532836736</v>
      </c>
    </row>
    <row r="30" spans="1:20" x14ac:dyDescent="0.2">
      <c r="A30" s="47" t="s">
        <v>276</v>
      </c>
      <c r="B30" s="95"/>
      <c r="C30"/>
      <c r="D30" s="94">
        <f t="shared" ref="D30:T30" si="14">D$206</f>
        <v>36.805</v>
      </c>
      <c r="E30" s="94">
        <f t="shared" si="14"/>
        <v>37.744999999999997</v>
      </c>
      <c r="F30" s="180">
        <f t="shared" si="14"/>
        <v>41.140999999999998</v>
      </c>
      <c r="G30" s="180">
        <f t="shared" si="14"/>
        <v>45.142999999999994</v>
      </c>
      <c r="H30" s="180">
        <f t="shared" si="14"/>
        <v>56.682000000000002</v>
      </c>
      <c r="I30" s="180">
        <f t="shared" si="14"/>
        <v>66.805999999999997</v>
      </c>
      <c r="J30" s="180">
        <f t="shared" si="14"/>
        <v>77.995999999999995</v>
      </c>
      <c r="K30" s="99">
        <f t="shared" ca="1" si="14"/>
        <v>89.676778849694415</v>
      </c>
      <c r="L30" s="99">
        <f t="shared" ca="1" si="14"/>
        <v>101.77571241304288</v>
      </c>
      <c r="M30" s="99">
        <f t="shared" ca="1" si="14"/>
        <v>113.74100794629635</v>
      </c>
      <c r="N30" s="99">
        <f t="shared" ca="1" si="14"/>
        <v>125.00624766388506</v>
      </c>
      <c r="O30" s="99">
        <f t="shared" ca="1" si="14"/>
        <v>136.31792132689745</v>
      </c>
      <c r="P30" s="99">
        <f t="shared" ca="1" si="14"/>
        <v>147.6127854137753</v>
      </c>
      <c r="Q30" s="99">
        <f t="shared" ca="1" si="14"/>
        <v>158.76919440086758</v>
      </c>
      <c r="R30" s="99">
        <f t="shared" ca="1" si="14"/>
        <v>170.20835867568607</v>
      </c>
      <c r="S30" s="99">
        <f t="shared" ca="1" si="14"/>
        <v>181.92014194235441</v>
      </c>
      <c r="T30" s="99">
        <f t="shared" ca="1" si="14"/>
        <v>193.87059782769001</v>
      </c>
    </row>
    <row r="31" spans="1:20" x14ac:dyDescent="0.2">
      <c r="A31" s="47" t="s">
        <v>705</v>
      </c>
      <c r="B31" s="95"/>
      <c r="C31"/>
      <c r="D31" s="94">
        <f t="shared" ref="D31:T31" si="15">D$206-D$208</f>
        <v>30.692999999999998</v>
      </c>
      <c r="E31" s="94">
        <f t="shared" si="15"/>
        <v>31.389999999999997</v>
      </c>
      <c r="F31" s="180">
        <f t="shared" si="15"/>
        <v>34.786000000000001</v>
      </c>
      <c r="G31" s="180">
        <f t="shared" si="15"/>
        <v>38.787999999999997</v>
      </c>
      <c r="H31" s="180">
        <f t="shared" si="15"/>
        <v>50.326999999999998</v>
      </c>
      <c r="I31" s="180">
        <f t="shared" si="15"/>
        <v>60.450999999999993</v>
      </c>
      <c r="J31" s="180">
        <f t="shared" si="15"/>
        <v>71.640999999999991</v>
      </c>
      <c r="K31" s="99">
        <f t="shared" ca="1" si="15"/>
        <v>83.321778849694411</v>
      </c>
      <c r="L31" s="99">
        <f t="shared" ca="1" si="15"/>
        <v>95.420712413042878</v>
      </c>
      <c r="M31" s="99">
        <f t="shared" ca="1" si="15"/>
        <v>107.38600794629635</v>
      </c>
      <c r="N31" s="99">
        <f t="shared" ca="1" si="15"/>
        <v>118.65124766388506</v>
      </c>
      <c r="O31" s="99">
        <f t="shared" ca="1" si="15"/>
        <v>129.96292132689746</v>
      </c>
      <c r="P31" s="99">
        <f t="shared" ca="1" si="15"/>
        <v>141.25778541377531</v>
      </c>
      <c r="Q31" s="99">
        <f t="shared" ca="1" si="15"/>
        <v>152.41419440086759</v>
      </c>
      <c r="R31" s="99">
        <f t="shared" ca="1" si="15"/>
        <v>163.85335867568608</v>
      </c>
      <c r="S31" s="99">
        <f t="shared" ca="1" si="15"/>
        <v>175.56514194235442</v>
      </c>
      <c r="T31" s="99">
        <f t="shared" ca="1" si="15"/>
        <v>187.51559782769002</v>
      </c>
    </row>
    <row r="32" spans="1:20" x14ac:dyDescent="0.2">
      <c r="A32" s="43" t="s">
        <v>214</v>
      </c>
      <c r="B32" s="95"/>
      <c r="C32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</row>
    <row r="33" spans="1:20" x14ac:dyDescent="0.2">
      <c r="A33" s="47" t="s">
        <v>845</v>
      </c>
      <c r="B33" s="95"/>
      <c r="C33"/>
      <c r="D33" s="94">
        <f ca="1">SUM(D$147,D$160,D$166,D$170,D$174,$D$178:D$178,D$185)</f>
        <v>105.21299999999999</v>
      </c>
      <c r="E33" s="94">
        <f ca="1">SUM(E$147,E$160,E$166,E$170,E$174,$D$178:E$178,E$185)</f>
        <v>116.18199999999999</v>
      </c>
      <c r="F33" s="180">
        <f ca="1">SUM(F$147,F$160,F$166,F$170,F$174,$D$178:F$178,F$185)</f>
        <v>115.982</v>
      </c>
      <c r="G33" s="180">
        <f ca="1">SUM(G$147,G$160,G$166,G$170,G$174,$D$178:G$178,G$185)</f>
        <v>116.7</v>
      </c>
      <c r="H33" s="180">
        <f ca="1">SUM(H$147,H$160,H$166,H$170,H$174,$D$178:H$178,H$185)</f>
        <v>122.72799999999999</v>
      </c>
      <c r="I33" s="180">
        <f ca="1">SUM(I$147,I$160,I$166,I$170,I$174,$D$178:I$178,I$185)</f>
        <v>127.464</v>
      </c>
      <c r="J33" s="180">
        <f ca="1">SUM(J$147,J$160,J$166,J$170,J$174,$D$178:J$178,J$185)</f>
        <v>133.78900000000002</v>
      </c>
      <c r="K33" s="99">
        <f ca="1">SUM(K$147,K$160,K$166,K$170,K$174,$D$178:K$178,K$185)</f>
        <v>140.47305050219543</v>
      </c>
      <c r="L33" s="99">
        <f ca="1">SUM(L$147,L$160,L$166,L$170,L$174,$D$178:L$178,L$185)</f>
        <v>147.4020822703767</v>
      </c>
      <c r="M33" s="99">
        <f ca="1">SUM(M$147,M$160,M$166,M$170,M$174,$D$178:M$178,M$185)</f>
        <v>154.59936067574071</v>
      </c>
      <c r="N33" s="99">
        <f ca="1">SUM(N$147,N$160,N$166,N$170,N$174,$D$178:N$178,N$185)</f>
        <v>161.36827935706594</v>
      </c>
      <c r="O33" s="99">
        <f ca="1">SUM(O$147,O$160,O$166,O$170,O$174,$D$178:O$178,O$185)</f>
        <v>168.42222536358284</v>
      </c>
      <c r="P33" s="99">
        <f ca="1">SUM(P$147,P$160,P$166,P$170,P$174,$D$178:P$178,P$185)</f>
        <v>175.75974345538856</v>
      </c>
      <c r="Q33" s="99">
        <f ca="1">SUM(Q$147,Q$160,Q$166,Q$170,Q$174,$D$178:Q$178,Q$185)</f>
        <v>183.37895340895949</v>
      </c>
      <c r="R33" s="99">
        <f ca="1">SUM(R$147,R$160,R$166,R$170,R$174,$D$178:R$178,R$185)</f>
        <v>191.21042471431832</v>
      </c>
      <c r="S33" s="99">
        <f ca="1">SUM(S$147,S$160,S$166,S$170,S$174,$D$178:S$178,S$185)</f>
        <v>199.24287820580605</v>
      </c>
      <c r="T33" s="99">
        <f ca="1">SUM(T$147,T$160,T$166,T$170,T$174,$D$178:T$178,T$185)</f>
        <v>207.46114449210134</v>
      </c>
    </row>
    <row r="34" spans="1:20" x14ac:dyDescent="0.2">
      <c r="A34" s="47" t="s">
        <v>161</v>
      </c>
      <c r="B34" s="139"/>
      <c r="C34"/>
      <c r="D34" s="94">
        <f t="shared" ref="D34:T34" si="16">D$204</f>
        <v>35.892000000000003</v>
      </c>
      <c r="E34" s="94">
        <f t="shared" si="16"/>
        <v>37.335999999999999</v>
      </c>
      <c r="F34" s="180">
        <f t="shared" si="16"/>
        <v>40.491999999999997</v>
      </c>
      <c r="G34" s="180">
        <f t="shared" si="16"/>
        <v>44.385999999999996</v>
      </c>
      <c r="H34" s="180">
        <f t="shared" si="16"/>
        <v>55.801000000000002</v>
      </c>
      <c r="I34" s="180">
        <f t="shared" si="16"/>
        <v>65.774000000000001</v>
      </c>
      <c r="J34" s="180">
        <f t="shared" si="16"/>
        <v>76.789000000000001</v>
      </c>
      <c r="K34" s="99">
        <f t="shared" ca="1" si="16"/>
        <v>88.623787535845423</v>
      </c>
      <c r="L34" s="99">
        <f t="shared" ca="1" si="16"/>
        <v>100.57870711440695</v>
      </c>
      <c r="M34" s="99">
        <f t="shared" ca="1" si="16"/>
        <v>112.39114333327271</v>
      </c>
      <c r="N34" s="99">
        <f t="shared" ca="1" si="16"/>
        <v>123.49459348329675</v>
      </c>
      <c r="O34" s="99">
        <f t="shared" ca="1" si="16"/>
        <v>134.63559057281569</v>
      </c>
      <c r="P34" s="99">
        <f t="shared" ca="1" si="16"/>
        <v>145.75103256718057</v>
      </c>
      <c r="Q34" s="99">
        <f t="shared" ca="1" si="16"/>
        <v>156.71928501666426</v>
      </c>
      <c r="R34" s="99">
        <f t="shared" ca="1" si="16"/>
        <v>167.96385846490659</v>
      </c>
      <c r="S34" s="99">
        <f t="shared" ca="1" si="16"/>
        <v>179.47494372774159</v>
      </c>
      <c r="T34" s="99">
        <f t="shared" ca="1" si="16"/>
        <v>191.21906625334478</v>
      </c>
    </row>
    <row r="35" spans="1:20" x14ac:dyDescent="0.2">
      <c r="A35" s="47" t="s">
        <v>238</v>
      </c>
      <c r="B35" s="139"/>
      <c r="C35"/>
      <c r="D35" s="94">
        <f t="shared" ref="D35:T35" si="17">D$194</f>
        <v>18.538</v>
      </c>
      <c r="E35" s="94">
        <f t="shared" si="17"/>
        <v>22.032</v>
      </c>
      <c r="F35" s="180">
        <f t="shared" si="17"/>
        <v>23.395999999999997</v>
      </c>
      <c r="G35" s="180">
        <f t="shared" si="17"/>
        <v>24.224999999999998</v>
      </c>
      <c r="H35" s="180">
        <f t="shared" si="17"/>
        <v>24.251000000000001</v>
      </c>
      <c r="I35" s="180">
        <f t="shared" si="17"/>
        <v>24.229999999999997</v>
      </c>
      <c r="J35" s="180">
        <f t="shared" si="17"/>
        <v>24.422000000000001</v>
      </c>
      <c r="K35" s="99">
        <f t="shared" ca="1" si="17"/>
        <v>24.493668744633226</v>
      </c>
      <c r="L35" s="99">
        <f t="shared" ca="1" si="17"/>
        <v>24.541181392655837</v>
      </c>
      <c r="M35" s="99">
        <f t="shared" ca="1" si="17"/>
        <v>24.73986595095321</v>
      </c>
      <c r="N35" s="99">
        <f t="shared" ca="1" si="17"/>
        <v>24.92065981846558</v>
      </c>
      <c r="O35" s="99">
        <f t="shared" ca="1" si="17"/>
        <v>25.079204982127756</v>
      </c>
      <c r="P35" s="99">
        <f t="shared" ca="1" si="17"/>
        <v>25.224479129402773</v>
      </c>
      <c r="Q35" s="99">
        <f t="shared" ca="1" si="17"/>
        <v>25.365772670035135</v>
      </c>
      <c r="R35" s="99">
        <f t="shared" ca="1" si="17"/>
        <v>25.494553901590297</v>
      </c>
      <c r="S35" s="99">
        <f t="shared" ca="1" si="17"/>
        <v>25.622215645210385</v>
      </c>
      <c r="T35" s="99">
        <f t="shared" ca="1" si="17"/>
        <v>25.741660150048673</v>
      </c>
    </row>
    <row r="36" spans="1:20" x14ac:dyDescent="0.2">
      <c r="A36" s="47" t="s">
        <v>162</v>
      </c>
      <c r="B36" s="139"/>
      <c r="C36"/>
      <c r="D36" s="94">
        <f t="shared" ref="D36:T36" ca="1" si="18">D$33-SUM(D$34,D$35)</f>
        <v>50.782999999999987</v>
      </c>
      <c r="E36" s="94">
        <f t="shared" ca="1" si="18"/>
        <v>56.813999999999993</v>
      </c>
      <c r="F36" s="180">
        <f t="shared" ca="1" si="18"/>
        <v>52.094000000000008</v>
      </c>
      <c r="G36" s="180">
        <f t="shared" ca="1" si="18"/>
        <v>48.089000000000013</v>
      </c>
      <c r="H36" s="180">
        <f t="shared" ca="1" si="18"/>
        <v>42.675999999999988</v>
      </c>
      <c r="I36" s="180">
        <f t="shared" ca="1" si="18"/>
        <v>37.460000000000008</v>
      </c>
      <c r="J36" s="180">
        <f t="shared" ca="1" si="18"/>
        <v>32.578000000000017</v>
      </c>
      <c r="K36" s="99">
        <f t="shared" ca="1" si="18"/>
        <v>27.355594221716785</v>
      </c>
      <c r="L36" s="99">
        <f t="shared" ca="1" si="18"/>
        <v>22.282193763313899</v>
      </c>
      <c r="M36" s="99">
        <f t="shared" ca="1" si="18"/>
        <v>17.468351391514801</v>
      </c>
      <c r="N36" s="99">
        <f t="shared" ca="1" si="18"/>
        <v>12.95302605530361</v>
      </c>
      <c r="O36" s="99">
        <f t="shared" ca="1" si="18"/>
        <v>8.7074298086394037</v>
      </c>
      <c r="P36" s="99">
        <f t="shared" ca="1" si="18"/>
        <v>4.7842317588052197</v>
      </c>
      <c r="Q36" s="99">
        <f t="shared" ca="1" si="18"/>
        <v>1.2938957222600891</v>
      </c>
      <c r="R36" s="99">
        <f t="shared" ca="1" si="18"/>
        <v>-2.2479876521785798</v>
      </c>
      <c r="S36" s="99">
        <f t="shared" ca="1" si="18"/>
        <v>-5.8542811671459276</v>
      </c>
      <c r="T36" s="99">
        <f t="shared" ca="1" si="18"/>
        <v>-9.4995819112920969</v>
      </c>
    </row>
    <row r="37" spans="1:20" x14ac:dyDescent="0.2">
      <c r="A37" s="47" t="s">
        <v>406</v>
      </c>
      <c r="B37" s="139"/>
      <c r="C37"/>
      <c r="D37" s="94">
        <f>Data!C$100</f>
        <v>4.1090000000000018</v>
      </c>
      <c r="E37" s="94">
        <f>Data!D$100</f>
        <v>-1.9E-2</v>
      </c>
      <c r="F37" s="180">
        <f>Data!E$100</f>
        <v>5.6310000000000002</v>
      </c>
      <c r="G37" s="180">
        <f>Data!F$100</f>
        <v>13.348999999999995</v>
      </c>
      <c r="H37" s="180">
        <f>Data!G$100</f>
        <v>23.524000000000001</v>
      </c>
      <c r="I37" s="180">
        <f>Data!H$100</f>
        <v>33.860999999999997</v>
      </c>
      <c r="J37" s="180">
        <f>Data!I$100</f>
        <v>44.74799999999999</v>
      </c>
      <c r="K37" s="99">
        <f ca="1">J$37+(K$30-J$30)-SUM(K$144-J$144,K$160-J$160,K$166-J$166)</f>
        <v>55.872947244949543</v>
      </c>
      <c r="L37" s="99">
        <f t="shared" ref="L37:T37" ca="1" si="19">K$37+(L$30-K$30)-SUM(L$144-K$144,L$160-K$160,L$166-K$166)</f>
        <v>67.416554085918818</v>
      </c>
      <c r="M37" s="99">
        <f t="shared" ca="1" si="19"/>
        <v>78.828464738918086</v>
      </c>
      <c r="N37" s="99">
        <f t="shared" ca="1" si="19"/>
        <v>89.546582255006783</v>
      </c>
      <c r="O37" s="99">
        <f t="shared" ca="1" si="19"/>
        <v>100.31681719885165</v>
      </c>
      <c r="P37" s="99">
        <f t="shared" ca="1" si="19"/>
        <v>111.07361837712573</v>
      </c>
      <c r="Q37" s="99">
        <f t="shared" ca="1" si="19"/>
        <v>121.69736936677666</v>
      </c>
      <c r="R37" s="99">
        <f t="shared" ca="1" si="19"/>
        <v>132.61036911367987</v>
      </c>
      <c r="S37" s="99">
        <f t="shared" ca="1" si="19"/>
        <v>143.80447098678354</v>
      </c>
      <c r="T37" s="99">
        <f t="shared" ca="1" si="19"/>
        <v>155.24728787317659</v>
      </c>
    </row>
    <row r="38" spans="1:20" x14ac:dyDescent="0.2">
      <c r="A38" s="47" t="s">
        <v>407</v>
      </c>
      <c r="B38" s="95"/>
      <c r="C38"/>
      <c r="D38" s="94">
        <f>D$37-D$122</f>
        <v>-7.5539999999999985</v>
      </c>
      <c r="E38" s="94">
        <f>E$37-E$122</f>
        <v>-13.401</v>
      </c>
      <c r="F38" s="180">
        <f t="shared" ref="F38:T38" si="20">F$37-F$122</f>
        <v>-7.2429999999999986</v>
      </c>
      <c r="G38" s="180">
        <f t="shared" si="20"/>
        <v>-2.7160000000000029</v>
      </c>
      <c r="H38" s="180">
        <f t="shared" si="20"/>
        <v>4.0090000000000003</v>
      </c>
      <c r="I38" s="180">
        <f t="shared" si="20"/>
        <v>10.573999999999998</v>
      </c>
      <c r="J38" s="180">
        <f t="shared" si="20"/>
        <v>17.306999999999992</v>
      </c>
      <c r="K38" s="99">
        <f t="shared" ca="1" si="20"/>
        <v>24.36244054557115</v>
      </c>
      <c r="L38" s="99">
        <f t="shared" ca="1" si="20"/>
        <v>31.596464227829074</v>
      </c>
      <c r="M38" s="99">
        <f t="shared" ca="1" si="20"/>
        <v>38.434097404151224</v>
      </c>
      <c r="N38" s="99">
        <f t="shared" ca="1" si="20"/>
        <v>44.31070180841585</v>
      </c>
      <c r="O38" s="99">
        <f t="shared" ca="1" si="20"/>
        <v>49.973482168581711</v>
      </c>
      <c r="P38" s="99">
        <f t="shared" ca="1" si="20"/>
        <v>55.361121252364519</v>
      </c>
      <c r="Q38" s="99">
        <f t="shared" ca="1" si="20"/>
        <v>60.354334021167276</v>
      </c>
      <c r="R38" s="99">
        <f t="shared" ca="1" si="20"/>
        <v>65.444251028619831</v>
      </c>
      <c r="S38" s="99">
        <f t="shared" ca="1" si="20"/>
        <v>70.632514381341053</v>
      </c>
      <c r="T38" s="99">
        <f t="shared" ca="1" si="20"/>
        <v>75.900856104792595</v>
      </c>
    </row>
    <row r="39" spans="1:20" ht="13.5" x14ac:dyDescent="0.25">
      <c r="A39" s="254" t="s">
        <v>846</v>
      </c>
      <c r="B39" s="60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0" x14ac:dyDescent="0.2">
      <c r="A40" s="47" t="s">
        <v>512</v>
      </c>
      <c r="B40" s="96"/>
      <c r="C40"/>
      <c r="D40" s="279" t="str">
        <f ca="1">IF(ROUND(Data!C$34-D$13,3)=0,"OK","ERROR")</f>
        <v>OK</v>
      </c>
      <c r="E40" s="279" t="str">
        <f ca="1">IF(ROUND(Data!D$34-E$13,3)=0,"OK","ERROR")</f>
        <v>OK</v>
      </c>
      <c r="F40" s="255" t="str">
        <f ca="1">IF(ROUND(Data!E$34-F$13,3)=0,"OK","ERROR")</f>
        <v>OK</v>
      </c>
      <c r="G40" s="255" t="str">
        <f ca="1">IF(ROUND(Data!F$34-G$13,3)=0,"OK","ERROR")</f>
        <v>OK</v>
      </c>
      <c r="H40" s="255" t="str">
        <f ca="1">IF(ROUND(Data!G$34-H$13,3)=0,"OK","ERROR")</f>
        <v>OK</v>
      </c>
      <c r="I40" s="255" t="str">
        <f ca="1">IF(ROUND(Data!H$34-I$13,3)=0,"OK","ERROR")</f>
        <v>OK</v>
      </c>
      <c r="J40" s="255" t="str">
        <f ca="1">IF(ROUND(Data!I$34-J$13,3)=0,"OK","ERROR")</f>
        <v>OK</v>
      </c>
      <c r="T40" s="99"/>
    </row>
    <row r="41" spans="1:20" x14ac:dyDescent="0.2">
      <c r="A41" s="47" t="s">
        <v>847</v>
      </c>
      <c r="B41" s="117"/>
      <c r="C41"/>
      <c r="D41" s="279" t="str">
        <f ca="1">IF(ROUND(Data!C$115-D$23,3)=0,"OK","ERROR")</f>
        <v>OK</v>
      </c>
      <c r="E41" s="279" t="str">
        <f ca="1">IF(ROUND(Data!D$115-E$23,3)=0,"OK","ERROR")</f>
        <v>OK</v>
      </c>
      <c r="F41" s="255" t="str">
        <f ca="1">IF(ROUND(Data!E$115-F$23,3)=0,"OK","ERROR")</f>
        <v>OK</v>
      </c>
      <c r="G41" s="255" t="str">
        <f ca="1">IF(ROUND(Data!F$115-G$23,3)=0,"OK","ERROR")</f>
        <v>OK</v>
      </c>
      <c r="H41" s="255" t="str">
        <f ca="1">IF(ROUND(Data!G$115-H$23,3)=0,"OK","ERROR")</f>
        <v>OK</v>
      </c>
      <c r="I41" s="255" t="str">
        <f ca="1">IF(ROUND(Data!H$115-I$23,3)=0,"OK","ERROR")</f>
        <v>OK</v>
      </c>
      <c r="J41" s="255" t="str">
        <f ca="1">IF(ROUND(Data!I$115-J$23,3)=0,"OK","ERROR")</f>
        <v>OK</v>
      </c>
      <c r="K41" s="256"/>
      <c r="L41" s="256"/>
      <c r="M41" s="256"/>
      <c r="N41" s="256"/>
      <c r="O41" s="256"/>
      <c r="P41" s="256"/>
      <c r="Q41" s="256"/>
      <c r="R41" s="256"/>
      <c r="S41" s="256"/>
      <c r="T41" s="256"/>
    </row>
    <row r="42" spans="1:20" x14ac:dyDescent="0.2">
      <c r="A42" s="47" t="s">
        <v>848</v>
      </c>
      <c r="B42" s="117"/>
      <c r="C42"/>
      <c r="D42" s="279" t="str">
        <f ca="1">IF(ROUND(Data!C$84-D$29,3)=0,"OK","ERROR")</f>
        <v>OK</v>
      </c>
      <c r="E42" s="279" t="str">
        <f ca="1">IF(ROUND(Data!D$84-E$29,3)=0,"OK","ERROR")</f>
        <v>OK</v>
      </c>
      <c r="F42" s="255" t="str">
        <f ca="1">IF(ROUND(Data!E$84-F$29,3)=0,"OK","ERROR")</f>
        <v>OK</v>
      </c>
      <c r="G42" s="255" t="str">
        <f ca="1">IF(ROUND(Data!F$84-G$29,3)=0,"OK","ERROR")</f>
        <v>OK</v>
      </c>
      <c r="H42" s="255" t="str">
        <f ca="1">IF(ROUND(Data!G$84-H$29,3)=0,"OK","ERROR")</f>
        <v>OK</v>
      </c>
      <c r="I42" s="255" t="str">
        <f ca="1">IF(ROUND(Data!H$84-I$29,3)=0,"OK","ERROR")</f>
        <v>OK</v>
      </c>
      <c r="J42" s="255" t="str">
        <f ca="1">IF(ROUND(Data!I$84-J$29,3)=0,"OK","ERROR")</f>
        <v>OK</v>
      </c>
      <c r="K42" s="257" t="str">
        <f ca="1">IF(ROUND(K$29-J$29-K$16,3)=0,"OK","ERROR")</f>
        <v>OK</v>
      </c>
      <c r="L42" s="257" t="str">
        <f t="shared" ref="L42:T42" ca="1" si="21">IF(ROUND(L$29-K$29-L$16,3)=0,"OK","ERROR")</f>
        <v>OK</v>
      </c>
      <c r="M42" s="257" t="str">
        <f t="shared" ca="1" si="21"/>
        <v>OK</v>
      </c>
      <c r="N42" s="257" t="str">
        <f t="shared" ca="1" si="21"/>
        <v>OK</v>
      </c>
      <c r="O42" s="257" t="str">
        <f t="shared" ca="1" si="21"/>
        <v>OK</v>
      </c>
      <c r="P42" s="257" t="str">
        <f t="shared" ca="1" si="21"/>
        <v>OK</v>
      </c>
      <c r="Q42" s="257" t="str">
        <f t="shared" ca="1" si="21"/>
        <v>OK</v>
      </c>
      <c r="R42" s="257" t="str">
        <f t="shared" ca="1" si="21"/>
        <v>OK</v>
      </c>
      <c r="S42" s="257" t="str">
        <f t="shared" ca="1" si="21"/>
        <v>OK</v>
      </c>
      <c r="T42" s="257" t="str">
        <f t="shared" ca="1" si="21"/>
        <v>OK</v>
      </c>
    </row>
    <row r="43" spans="1:20" x14ac:dyDescent="0.2">
      <c r="A43" s="47" t="s">
        <v>849</v>
      </c>
      <c r="B43" s="117"/>
      <c r="C43"/>
      <c r="D43" s="279" t="str">
        <f ca="1">IF(ROUND(Data!C$129-D$36-0.007,3)=0,"OK","ERROR")</f>
        <v>OK</v>
      </c>
      <c r="E43" s="279" t="str">
        <f ca="1">IF(ROUND(Data!D$129-E$36-0.169,3)=0,"OK","ERROR")</f>
        <v>OK</v>
      </c>
      <c r="F43" s="255" t="str">
        <f ca="1">IF(ROUND(Data!E$129-F$36,3)=0,"OK","ERROR")</f>
        <v>OK</v>
      </c>
      <c r="G43" s="255" t="str">
        <f ca="1">IF(ROUND(Data!F$129-G$36,3)=0,"OK","ERROR")</f>
        <v>OK</v>
      </c>
      <c r="H43" s="255" t="str">
        <f ca="1">IF(ROUND(Data!G$129-H$36,3)=0,"OK","ERROR")</f>
        <v>OK</v>
      </c>
      <c r="I43" s="255" t="str">
        <f ca="1">IF(ROUND(Data!H$129-I$36,3)=0,"OK","ERROR")</f>
        <v>OK</v>
      </c>
      <c r="J43" s="255" t="str">
        <f ca="1">IF(ROUND(Data!I$129-J$36,3)=0,"OK","ERROR")</f>
        <v>OK</v>
      </c>
      <c r="K43" s="257" t="str">
        <f ca="1">IF(ROUND(K$36-J$36-K$23,3)=0,"OK","ERROR")</f>
        <v>OK</v>
      </c>
      <c r="L43" s="257" t="str">
        <f t="shared" ref="L43:T43" ca="1" si="22">IF(ROUND(L$36-K$36-L$23,3)=0,"OK","ERROR")</f>
        <v>OK</v>
      </c>
      <c r="M43" s="257" t="str">
        <f t="shared" ca="1" si="22"/>
        <v>OK</v>
      </c>
      <c r="N43" s="257" t="str">
        <f t="shared" ca="1" si="22"/>
        <v>OK</v>
      </c>
      <c r="O43" s="257" t="str">
        <f t="shared" ca="1" si="22"/>
        <v>OK</v>
      </c>
      <c r="P43" s="257" t="str">
        <f t="shared" ca="1" si="22"/>
        <v>OK</v>
      </c>
      <c r="Q43" s="257" t="str">
        <f t="shared" ca="1" si="22"/>
        <v>OK</v>
      </c>
      <c r="R43" s="257" t="str">
        <f t="shared" ca="1" si="22"/>
        <v>OK</v>
      </c>
      <c r="S43" s="257" t="str">
        <f t="shared" ca="1" si="22"/>
        <v>OK</v>
      </c>
      <c r="T43" s="257" t="str">
        <f t="shared" ca="1" si="22"/>
        <v>OK</v>
      </c>
    </row>
    <row r="44" spans="1:20" x14ac:dyDescent="0.2">
      <c r="A44" s="47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</row>
    <row r="45" spans="1:20" ht="15.75" x14ac:dyDescent="0.25">
      <c r="A45" s="249" t="s">
        <v>165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</row>
    <row r="46" spans="1:20" x14ac:dyDescent="0.2">
      <c r="A46" s="147" t="s">
        <v>391</v>
      </c>
      <c r="C46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</row>
    <row r="47" spans="1:20" x14ac:dyDescent="0.2">
      <c r="A47" s="258" t="s">
        <v>266</v>
      </c>
      <c r="C47"/>
      <c r="D47" s="94">
        <f>Data!C$131</f>
        <v>20.98</v>
      </c>
      <c r="E47" s="94">
        <f>Data!D$131</f>
        <v>23.344999999999999</v>
      </c>
      <c r="F47" s="180">
        <f>Data!E$131</f>
        <v>22.821999999999999</v>
      </c>
      <c r="G47" s="180">
        <f>Data!F$131</f>
        <v>22.204000000000001</v>
      </c>
      <c r="H47" s="180">
        <f>Data!G$131</f>
        <v>22.718</v>
      </c>
      <c r="I47" s="180">
        <f>Data!H$131</f>
        <v>23.823999999999998</v>
      </c>
      <c r="J47" s="180">
        <f>Data!I$131</f>
        <v>25.484000000000002</v>
      </c>
      <c r="K47" s="99">
        <f ca="1">IF(AND(OR(OFFSET(Scenarios!$A$24,0,$C$1)&lt;&gt;"Yes",MID(OFFSET(Scenarios!$A$26,0,$C$1),6,2)&lt;MID(K$3,4,2)),OFFSET(Scenarios!$A$49,0,$C$1)="Yes"),IF(J$47/J$214&lt;OFFSET(Scenarios!$A$55,0,$C$1),MIN(J$47/J$214+OFFSET(Scenarios!$A$54,0,$C$1),OFFSET(Scenarios!$A$55,0,$C$1)),MAX(J$47/J$214-OFFSET(Scenarios!$A$54,0,$C$1),OFFSET(Scenarios!$A$55,0,$C$1)))*K$214,J$47*(1+K$228)*(1+IF(AND(OFFSET(Scenarios!$A$24,0,$C$1)="YES",MID(OFFSET(Scenarios!$A$26,0,$C$1),6,2)&gt;=MID(K$3,4,2)),IF(OFFSET(Scenarios!$A$29,0,$C$1)="Inflation",1,OFFSET(Scenarios!$A$25,0,$C$1)),1)*K$231)*(1+IF(AND(OFFSET(Scenarios!$A$24,0,$C$1)="YES",MID(OFFSET(Scenarios!$A$26,0,$C$1),6,2)&gt;=MID(K$3,4,2)),IF(OFFSET(Scenarios!$A$29,0,$C$1)="Wage",1,OFFSET(Scenarios!$A$25,0,$C$1)),1)*K$218))</f>
        <v>26.977113450623101</v>
      </c>
      <c r="L47" s="99">
        <f ca="1">IF(AND(OR(OFFSET(Scenarios!$A$24,0,$C$1)&lt;&gt;"Yes",MID(OFFSET(Scenarios!$A$26,0,$C$1),6,2)&lt;MID(L$3,4,2)),OFFSET(Scenarios!$A$49,0,$C$1)="Yes"),IF(K$47/K$214&lt;OFFSET(Scenarios!$A$55,0,$C$1),MIN(K$47/K$214+OFFSET(Scenarios!$A$54,0,$C$1),OFFSET(Scenarios!$A$55,0,$C$1)),MAX(K$47/K$214-OFFSET(Scenarios!$A$54,0,$C$1),OFFSET(Scenarios!$A$55,0,$C$1)))*L$214,K$47*(1+L$228)*(1+IF(AND(OFFSET(Scenarios!$A$24,0,$C$1)="YES",MID(OFFSET(Scenarios!$A$26,0,$C$1),6,2)&gt;=MID(L$3,4,2)),IF(OFFSET(Scenarios!$A$29,0,$C$1)="Inflation",1,OFFSET(Scenarios!$A$25,0,$C$1)),1)*L$231)*(1+IF(AND(OFFSET(Scenarios!$A$24,0,$C$1)="YES",MID(OFFSET(Scenarios!$A$26,0,$C$1),6,2)&gt;=MID(L$3,4,2)),IF(OFFSET(Scenarios!$A$29,0,$C$1)="Wage",1,OFFSET(Scenarios!$A$25,0,$C$1)),1)*L$218))</f>
        <v>28.562717711750405</v>
      </c>
      <c r="M47" s="99">
        <f ca="1">IF(AND(OR(OFFSET(Scenarios!$A$24,0,$C$1)&lt;&gt;"Yes",MID(OFFSET(Scenarios!$A$26,0,$C$1),6,2)&lt;MID(M$3,4,2)),OFFSET(Scenarios!$A$49,0,$C$1)="Yes"),IF(L$47/L$214&lt;OFFSET(Scenarios!$A$55,0,$C$1),MIN(L$47/L$214+OFFSET(Scenarios!$A$54,0,$C$1),OFFSET(Scenarios!$A$55,0,$C$1)),MAX(L$47/L$214-OFFSET(Scenarios!$A$54,0,$C$1),OFFSET(Scenarios!$A$55,0,$C$1)))*M$214,L$47*(1+M$228)*(1+IF(AND(OFFSET(Scenarios!$A$24,0,$C$1)="YES",MID(OFFSET(Scenarios!$A$26,0,$C$1),6,2)&gt;=MID(M$3,4,2)),IF(OFFSET(Scenarios!$A$29,0,$C$1)="Inflation",1,OFFSET(Scenarios!$A$25,0,$C$1)),1)*M$231)*(1+IF(AND(OFFSET(Scenarios!$A$24,0,$C$1)="YES",MID(OFFSET(Scenarios!$A$26,0,$C$1),6,2)&gt;=MID(M$3,4,2)),IF(OFFSET(Scenarios!$A$29,0,$C$1)="Wage",1,OFFSET(Scenarios!$A$25,0,$C$1)),1)*M$218))</f>
        <v>30.233706809593674</v>
      </c>
      <c r="N47" s="99">
        <f ca="1">IF(AND(OR(OFFSET(Scenarios!$A$24,0,$C$1)&lt;&gt;"Yes",MID(OFFSET(Scenarios!$A$26,0,$C$1),6,2)&lt;MID(N$3,4,2)),OFFSET(Scenarios!$A$49,0,$C$1)="Yes"),IF(M$47/M$214&lt;OFFSET(Scenarios!$A$55,0,$C$1),MIN(M$47/M$214+OFFSET(Scenarios!$A$54,0,$C$1),OFFSET(Scenarios!$A$55,0,$C$1)),MAX(M$47/M$214-OFFSET(Scenarios!$A$54,0,$C$1),OFFSET(Scenarios!$A$55,0,$C$1)))*N$214,M$47*(1+N$228)*(1+IF(AND(OFFSET(Scenarios!$A$24,0,$C$1)="YES",MID(OFFSET(Scenarios!$A$26,0,$C$1),6,2)&gt;=MID(N$3,4,2)),IF(OFFSET(Scenarios!$A$29,0,$C$1)="Inflation",1,OFFSET(Scenarios!$A$25,0,$C$1)),1)*N$231)*(1+IF(AND(OFFSET(Scenarios!$A$24,0,$C$1)="YES",MID(OFFSET(Scenarios!$A$26,0,$C$1),6,2)&gt;=MID(N$3,4,2)),IF(OFFSET(Scenarios!$A$29,0,$C$1)="Wage",1,OFFSET(Scenarios!$A$25,0,$C$1)),1)*N$218))</f>
        <v>31.969538180463097</v>
      </c>
      <c r="O47" s="99">
        <f ca="1">IF(AND(OR(OFFSET(Scenarios!$A$24,0,$C$1)&lt;&gt;"Yes",MID(OFFSET(Scenarios!$A$26,0,$C$1),6,2)&lt;MID(O$3,4,2)),OFFSET(Scenarios!$A$49,0,$C$1)="Yes"),IF(N$47/N$214&lt;OFFSET(Scenarios!$A$55,0,$C$1),MIN(N$47/N$214+OFFSET(Scenarios!$A$54,0,$C$1),OFFSET(Scenarios!$A$55,0,$C$1)),MAX(N$47/N$214-OFFSET(Scenarios!$A$54,0,$C$1),OFFSET(Scenarios!$A$55,0,$C$1)))*O$214,N$47*(1+O$228)*(1+IF(AND(OFFSET(Scenarios!$A$24,0,$C$1)="YES",MID(OFFSET(Scenarios!$A$26,0,$C$1),6,2)&gt;=MID(O$3,4,2)),IF(OFFSET(Scenarios!$A$29,0,$C$1)="Inflation",1,OFFSET(Scenarios!$A$25,0,$C$1)),1)*O$231)*(1+IF(AND(OFFSET(Scenarios!$A$24,0,$C$1)="YES",MID(OFFSET(Scenarios!$A$26,0,$C$1),6,2)&gt;=MID(O$3,4,2)),IF(OFFSET(Scenarios!$A$29,0,$C$1)="Wage",1,OFFSET(Scenarios!$A$25,0,$C$1)),1)*O$218))</f>
        <v>33.724459662659804</v>
      </c>
      <c r="P47" s="99">
        <f ca="1">IF(AND(OR(OFFSET(Scenarios!$A$24,0,$C$1)&lt;&gt;"Yes",MID(OFFSET(Scenarios!$A$26,0,$C$1),6,2)&lt;MID(P$3,4,2)),OFFSET(Scenarios!$A$49,0,$C$1)="Yes"),IF(O$47/O$214&lt;OFFSET(Scenarios!$A$55,0,$C$1),MIN(O$47/O$214+OFFSET(Scenarios!$A$54,0,$C$1),OFFSET(Scenarios!$A$55,0,$C$1)),MAX(O$47/O$214-OFFSET(Scenarios!$A$54,0,$C$1),OFFSET(Scenarios!$A$55,0,$C$1)))*P$214,O$47*(1+P$228)*(1+IF(AND(OFFSET(Scenarios!$A$24,0,$C$1)="YES",MID(OFFSET(Scenarios!$A$26,0,$C$1),6,2)&gt;=MID(P$3,4,2)),IF(OFFSET(Scenarios!$A$29,0,$C$1)="Inflation",1,OFFSET(Scenarios!$A$25,0,$C$1)),1)*P$231)*(1+IF(AND(OFFSET(Scenarios!$A$24,0,$C$1)="YES",MID(OFFSET(Scenarios!$A$26,0,$C$1),6,2)&gt;=MID(P$3,4,2)),IF(OFFSET(Scenarios!$A$29,0,$C$1)="Wage",1,OFFSET(Scenarios!$A$25,0,$C$1)),1)*P$218))</f>
        <v>35.565468165359711</v>
      </c>
      <c r="Q47" s="99">
        <f ca="1">IF(AND(OR(OFFSET(Scenarios!$A$24,0,$C$1)&lt;&gt;"Yes",MID(OFFSET(Scenarios!$A$26,0,$C$1),6,2)&lt;MID(Q$3,4,2)),OFFSET(Scenarios!$A$49,0,$C$1)="Yes"),IF(P$47/P$214&lt;OFFSET(Scenarios!$A$55,0,$C$1),MIN(P$47/P$214+OFFSET(Scenarios!$A$54,0,$C$1),OFFSET(Scenarios!$A$55,0,$C$1)),MAX(P$47/P$214-OFFSET(Scenarios!$A$54,0,$C$1),OFFSET(Scenarios!$A$55,0,$C$1)))*Q$214,P$47*(1+Q$228)*(1+IF(AND(OFFSET(Scenarios!$A$24,0,$C$1)="YES",MID(OFFSET(Scenarios!$A$26,0,$C$1),6,2)&gt;=MID(Q$3,4,2)),IF(OFFSET(Scenarios!$A$29,0,$C$1)="Inflation",1,OFFSET(Scenarios!$A$25,0,$C$1)),1)*Q$231)*(1+IF(AND(OFFSET(Scenarios!$A$24,0,$C$1)="YES",MID(OFFSET(Scenarios!$A$26,0,$C$1),6,2)&gt;=MID(Q$3,4,2)),IF(OFFSET(Scenarios!$A$29,0,$C$1)="Wage",1,OFFSET(Scenarios!$A$25,0,$C$1)),1)*Q$218))</f>
        <v>37.498324411381752</v>
      </c>
      <c r="R47" s="99">
        <f ca="1">IF(AND(OR(OFFSET(Scenarios!$A$24,0,$C$1)&lt;&gt;"Yes",MID(OFFSET(Scenarios!$A$26,0,$C$1),6,2)&lt;MID(R$3,4,2)),OFFSET(Scenarios!$A$49,0,$C$1)="Yes"),IF(Q$47/Q$214&lt;OFFSET(Scenarios!$A$55,0,$C$1),MIN(Q$47/Q$214+OFFSET(Scenarios!$A$54,0,$C$1),OFFSET(Scenarios!$A$55,0,$C$1)),MAX(Q$47/Q$214-OFFSET(Scenarios!$A$54,0,$C$1),OFFSET(Scenarios!$A$55,0,$C$1)))*R$214,Q$47*(1+R$228)*(1+IF(AND(OFFSET(Scenarios!$A$24,0,$C$1)="YES",MID(OFFSET(Scenarios!$A$26,0,$C$1),6,2)&gt;=MID(R$3,4,2)),IF(OFFSET(Scenarios!$A$29,0,$C$1)="Inflation",1,OFFSET(Scenarios!$A$25,0,$C$1)),1)*R$231)*(1+IF(AND(OFFSET(Scenarios!$A$24,0,$C$1)="YES",MID(OFFSET(Scenarios!$A$26,0,$C$1),6,2)&gt;=MID(R$3,4,2)),IF(OFFSET(Scenarios!$A$29,0,$C$1)="Wage",1,OFFSET(Scenarios!$A$25,0,$C$1)),1)*R$218))</f>
        <v>39.05258479390578</v>
      </c>
      <c r="S47" s="99">
        <f ca="1">IF(AND(OR(OFFSET(Scenarios!$A$24,0,$C$1)&lt;&gt;"Yes",MID(OFFSET(Scenarios!$A$26,0,$C$1),6,2)&lt;MID(S$3,4,2)),OFFSET(Scenarios!$A$49,0,$C$1)="Yes"),IF(R$47/R$214&lt;OFFSET(Scenarios!$A$55,0,$C$1),MIN(R$47/R$214+OFFSET(Scenarios!$A$54,0,$C$1),OFFSET(Scenarios!$A$55,0,$C$1)),MAX(R$47/R$214-OFFSET(Scenarios!$A$54,0,$C$1),OFFSET(Scenarios!$A$55,0,$C$1)))*S$214,R$47*(1+S$228)*(1+IF(AND(OFFSET(Scenarios!$A$24,0,$C$1)="YES",MID(OFFSET(Scenarios!$A$26,0,$C$1),6,2)&gt;=MID(S$3,4,2)),IF(OFFSET(Scenarios!$A$29,0,$C$1)="Inflation",1,OFFSET(Scenarios!$A$25,0,$C$1)),1)*S$231)*(1+IF(AND(OFFSET(Scenarios!$A$24,0,$C$1)="YES",MID(OFFSET(Scenarios!$A$26,0,$C$1),6,2)&gt;=MID(S$3,4,2)),IF(OFFSET(Scenarios!$A$29,0,$C$1)="Wage",1,OFFSET(Scenarios!$A$25,0,$C$1)),1)*S$218))</f>
        <v>40.669982284411475</v>
      </c>
      <c r="T47" s="99">
        <f ca="1">IF(AND(OR(OFFSET(Scenarios!$A$24,0,$C$1)&lt;&gt;"Yes",MID(OFFSET(Scenarios!$A$26,0,$C$1),6,2)&lt;MID(T$3,4,2)),OFFSET(Scenarios!$A$49,0,$C$1)="Yes"),IF(S$47/S$214&lt;OFFSET(Scenarios!$A$55,0,$C$1),MIN(S$47/S$214+OFFSET(Scenarios!$A$54,0,$C$1),OFFSET(Scenarios!$A$55,0,$C$1)),MAX(S$47/S$214-OFFSET(Scenarios!$A$54,0,$C$1),OFFSET(Scenarios!$A$55,0,$C$1)))*T$214,S$47*(1+T$228)*(1+IF(AND(OFFSET(Scenarios!$A$24,0,$C$1)="YES",MID(OFFSET(Scenarios!$A$26,0,$C$1),6,2)&gt;=MID(T$3,4,2)),IF(OFFSET(Scenarios!$A$29,0,$C$1)="Inflation",1,OFFSET(Scenarios!$A$25,0,$C$1)),1)*T$231)*(1+IF(AND(OFFSET(Scenarios!$A$24,0,$C$1)="YES",MID(OFFSET(Scenarios!$A$26,0,$C$1),6,2)&gt;=MID(T$3,4,2)),IF(OFFSET(Scenarios!$A$29,0,$C$1)="Wage",1,OFFSET(Scenarios!$A$25,0,$C$1)),1)*T$218))</f>
        <v>42.334662502445994</v>
      </c>
    </row>
    <row r="48" spans="1:20" x14ac:dyDescent="0.2">
      <c r="A48" s="258" t="s">
        <v>528</v>
      </c>
      <c r="C48"/>
      <c r="D48" s="94">
        <f>Data!C$135</f>
        <v>9.891</v>
      </c>
      <c r="E48" s="94">
        <f>Data!D$135</f>
        <v>10.122</v>
      </c>
      <c r="F48" s="180">
        <f>Data!E$135</f>
        <v>8.6810000000000009</v>
      </c>
      <c r="G48" s="180">
        <f>Data!F$135</f>
        <v>8.4829999999999988</v>
      </c>
      <c r="H48" s="180">
        <f>Data!G$135</f>
        <v>9.2089999999999996</v>
      </c>
      <c r="I48" s="180">
        <f>Data!H$135</f>
        <v>9.9969999999999999</v>
      </c>
      <c r="J48" s="180">
        <f>Data!I$135</f>
        <v>10.668999999999999</v>
      </c>
      <c r="K48" s="99">
        <f ca="1">IF(OFFSET(Scenarios!$A$50,0,$C$1)="Yes",IF(J$48/J$214&lt;OFFSET(Scenarios!$A$56,0,$C$1),MIN(J$48/J$214+OFFSET(Scenarios!$A$54,0,$C$1),OFFSET(Scenarios!$A$56,0,$C$1)),MAX(J$48/J$214-OFFSET(Scenarios!$A$54,0,$C$1),OFFSET(Scenarios!$A$56,0,$C$1)))*K$214,J$48*(1+K$215))</f>
        <v>11.436988626997877</v>
      </c>
      <c r="L48" s="99">
        <f ca="1">IF(OFFSET(Scenarios!$A$50,0,$C$1)="Yes",IF(K$48/K$214&lt;OFFSET(Scenarios!$A$56,0,$C$1),MIN(K$48/K$214+OFFSET(Scenarios!$A$54,0,$C$1),OFFSET(Scenarios!$A$56,0,$C$1)),MAX(K$48/K$214-OFFSET(Scenarios!$A$54,0,$C$1),OFFSET(Scenarios!$A$56,0,$C$1)))*L$214,K$48*(1+L$215))</f>
        <v>11.96478518140014</v>
      </c>
      <c r="M48" s="99">
        <f ca="1">IF(OFFSET(Scenarios!$A$50,0,$C$1)="Yes",IF(L$48/L$214&lt;OFFSET(Scenarios!$A$56,0,$C$1),MIN(L$48/L$214+OFFSET(Scenarios!$A$54,0,$C$1),OFFSET(Scenarios!$A$56,0,$C$1)),MAX(L$48/L$214-OFFSET(Scenarios!$A$54,0,$C$1),OFFSET(Scenarios!$A$56,0,$C$1)))*M$214,L$48*(1+M$215))</f>
        <v>12.513705847296038</v>
      </c>
      <c r="N48" s="99">
        <f ca="1">IF(OFFSET(Scenarios!$A$50,0,$C$1)="Yes",IF(M$48/M$214&lt;OFFSET(Scenarios!$A$56,0,$C$1),MIN(M$48/M$214+OFFSET(Scenarios!$A$54,0,$C$1),OFFSET(Scenarios!$A$56,0,$C$1)),MAX(M$48/M$214-OFFSET(Scenarios!$A$54,0,$C$1),OFFSET(Scenarios!$A$56,0,$C$1)))*N$214,M$48*(1+N$215))</f>
        <v>13.074349025786255</v>
      </c>
      <c r="O48" s="99">
        <f ca="1">IF(OFFSET(Scenarios!$A$50,0,$C$1)="Yes",IF(N$48/N$214&lt;OFFSET(Scenarios!$A$56,0,$C$1),MIN(N$48/N$214+OFFSET(Scenarios!$A$54,0,$C$1),OFFSET(Scenarios!$A$56,0,$C$1)),MAX(N$48/N$214-OFFSET(Scenarios!$A$54,0,$C$1),OFFSET(Scenarios!$A$56,0,$C$1)))*O$214,N$48*(1+O$215))</f>
        <v>13.627552971967489</v>
      </c>
      <c r="P48" s="99">
        <f ca="1">IF(OFFSET(Scenarios!$A$50,0,$C$1)="Yes",IF(O$48/O$214&lt;OFFSET(Scenarios!$A$56,0,$C$1),MIN(O$48/O$214+OFFSET(Scenarios!$A$54,0,$C$1),OFFSET(Scenarios!$A$56,0,$C$1)),MAX(O$48/O$214-OFFSET(Scenarios!$A$54,0,$C$1),OFFSET(Scenarios!$A$56,0,$C$1)))*P$214,O$48*(1+P$215))</f>
        <v>14.200072955096825</v>
      </c>
      <c r="Q48" s="99">
        <f ca="1">IF(OFFSET(Scenarios!$A$50,0,$C$1)="Yes",IF(P$48/P$214&lt;OFFSET(Scenarios!$A$56,0,$C$1),MIN(P$48/P$214+OFFSET(Scenarios!$A$54,0,$C$1),OFFSET(Scenarios!$A$56,0,$C$1)),MAX(P$48/P$214-OFFSET(Scenarios!$A$54,0,$C$1),OFFSET(Scenarios!$A$56,0,$C$1)))*Q$214,P$48*(1+Q$215))</f>
        <v>14.793232218911564</v>
      </c>
      <c r="R48" s="99">
        <f ca="1">IF(OFFSET(Scenarios!$A$50,0,$C$1)="Yes",IF(Q$48/Q$214&lt;OFFSET(Scenarios!$A$56,0,$C$1),MIN(Q$48/Q$214+OFFSET(Scenarios!$A$54,0,$C$1),OFFSET(Scenarios!$A$56,0,$C$1)),MAX(Q$48/Q$214-OFFSET(Scenarios!$A$54,0,$C$1),OFFSET(Scenarios!$A$56,0,$C$1)))*R$214,Q$48*(1+R$215))</f>
        <v>15.406393876885632</v>
      </c>
      <c r="S48" s="99">
        <f ca="1">IF(OFFSET(Scenarios!$A$50,0,$C$1)="Yes",IF(R$48/R$214&lt;OFFSET(Scenarios!$A$56,0,$C$1),MIN(R$48/R$214+OFFSET(Scenarios!$A$54,0,$C$1),OFFSET(Scenarios!$A$56,0,$C$1)),MAX(R$48/R$214-OFFSET(Scenarios!$A$54,0,$C$1),OFFSET(Scenarios!$A$56,0,$C$1)))*S$214,R$48*(1+S$215))</f>
        <v>16.044463365133836</v>
      </c>
      <c r="T48" s="99">
        <f ca="1">IF(OFFSET(Scenarios!$A$50,0,$C$1)="Yes",IF(S$48/S$214&lt;OFFSET(Scenarios!$A$56,0,$C$1),MIN(S$48/S$214+OFFSET(Scenarios!$A$54,0,$C$1),OFFSET(Scenarios!$A$56,0,$C$1)),MAX(S$48/S$214-OFFSET(Scenarios!$A$54,0,$C$1),OFFSET(Scenarios!$A$56,0,$C$1)))*T$214,S$48*(1+T$215))</f>
        <v>16.701186070005903</v>
      </c>
    </row>
    <row r="49" spans="1:20" x14ac:dyDescent="0.2">
      <c r="A49" s="258" t="s">
        <v>342</v>
      </c>
      <c r="C49"/>
      <c r="D49" s="280">
        <f>SUM(Data!C$132:C$134,Data!C$136:C$138)</f>
        <v>22.193000000000001</v>
      </c>
      <c r="E49" s="280">
        <f>SUM(Data!D$132:D$134,Data!D$136:D$138)</f>
        <v>22.905000000000001</v>
      </c>
      <c r="F49" s="186">
        <f>SUM(Data!E$132:E$134,Data!E$136:E$138)</f>
        <v>23.377000000000002</v>
      </c>
      <c r="G49" s="186">
        <f>SUM(Data!F$132:F$134,Data!F$136:F$138)</f>
        <v>23.053000000000001</v>
      </c>
      <c r="H49" s="186">
        <f>SUM(Data!G$132:G$134,Data!G$136:G$138)</f>
        <v>22.777000000000001</v>
      </c>
      <c r="I49" s="186">
        <f>SUM(Data!H$132:H$134,Data!H$136:H$138)</f>
        <v>23.858000000000004</v>
      </c>
      <c r="J49" s="186">
        <f>SUM(Data!I$132:I$134,Data!I$136:I$138)</f>
        <v>25.016000000000002</v>
      </c>
      <c r="K49" s="107">
        <f ca="1">IF(OFFSET(Scenarios!$A$51,0,$C$1)="Yes",IF(J$49/J$214&lt;OFFSET(Scenarios!$A$57,0,$C$1),MIN(J$49/J$214+OFFSET(Scenarios!$A$54,0,$C$1),OFFSET(Scenarios!$A$57,0,$C$1)),MAX(J$49/J$214-OFFSET(Scenarios!$A$54,0,$C$1),OFFSET(Scenarios!$A$57,0,$C$1)))*K$214,J$49*(1+K$215))</f>
        <v>26.165854201396659</v>
      </c>
      <c r="L49" s="107">
        <f ca="1">IF(OFFSET(Scenarios!$A$51,0,$C$1)="Yes",IF(K$49/K$214&lt;OFFSET(Scenarios!$A$57,0,$C$1),MIN(K$49/K$214+OFFSET(Scenarios!$A$54,0,$C$1),OFFSET(Scenarios!$A$57,0,$C$1)),MAX(K$49/K$214-OFFSET(Scenarios!$A$54,0,$C$1),OFFSET(Scenarios!$A$57,0,$C$1)))*L$214,K$49*(1+L$215))</f>
        <v>27.373361539288815</v>
      </c>
      <c r="M49" s="107">
        <f ca="1">IF(OFFSET(Scenarios!$A$51,0,$C$1)="Yes",IF(L$49/L$214&lt;OFFSET(Scenarios!$A$57,0,$C$1),MIN(L$49/L$214+OFFSET(Scenarios!$A$54,0,$C$1),OFFSET(Scenarios!$A$57,0,$C$1)),MAX(L$49/L$214-OFFSET(Scenarios!$A$54,0,$C$1),OFFSET(Scenarios!$A$57,0,$C$1)))*M$214,L$49*(1+M$215))</f>
        <v>28.629197195019099</v>
      </c>
      <c r="N49" s="107">
        <f ca="1">IF(OFFSET(Scenarios!$A$51,0,$C$1)="Yes",IF(M$49/M$214&lt;OFFSET(Scenarios!$A$57,0,$C$1),MIN(M$49/M$214+OFFSET(Scenarios!$A$54,0,$C$1),OFFSET(Scenarios!$A$57,0,$C$1)),MAX(M$49/M$214-OFFSET(Scenarios!$A$54,0,$C$1),OFFSET(Scenarios!$A$57,0,$C$1)))*N$214,M$49*(1+N$215))</f>
        <v>29.91185193446281</v>
      </c>
      <c r="O49" s="107">
        <f ca="1">IF(OFFSET(Scenarios!$A$51,0,$C$1)="Yes",IF(N$49/N$214&lt;OFFSET(Scenarios!$A$57,0,$C$1),MIN(N$49/N$214+OFFSET(Scenarios!$A$54,0,$C$1),OFFSET(Scenarios!$A$57,0,$C$1)),MAX(N$49/N$214-OFFSET(Scenarios!$A$54,0,$C$1),OFFSET(Scenarios!$A$57,0,$C$1)))*O$214,N$49*(1+O$215))</f>
        <v>31.177486995535265</v>
      </c>
      <c r="P49" s="107">
        <f ca="1">IF(OFFSET(Scenarios!$A$51,0,$C$1)="Yes",IF(O$49/O$214&lt;OFFSET(Scenarios!$A$57,0,$C$1),MIN(O$49/O$214+OFFSET(Scenarios!$A$54,0,$C$1),OFFSET(Scenarios!$A$57,0,$C$1)),MAX(O$49/O$214-OFFSET(Scenarios!$A$54,0,$C$1),OFFSET(Scenarios!$A$57,0,$C$1)))*P$214,O$49*(1+P$215))</f>
        <v>32.487313812236451</v>
      </c>
      <c r="Q49" s="107">
        <f ca="1">IF(OFFSET(Scenarios!$A$51,0,$C$1)="Yes",IF(P$49/P$214&lt;OFFSET(Scenarios!$A$57,0,$C$1),MIN(P$49/P$214+OFFSET(Scenarios!$A$54,0,$C$1),OFFSET(Scenarios!$A$57,0,$C$1)),MAX(P$49/P$214-OFFSET(Scenarios!$A$54,0,$C$1),OFFSET(Scenarios!$A$57,0,$C$1)))*Q$214,P$49*(1+Q$215))</f>
        <v>33.844359737642627</v>
      </c>
      <c r="R49" s="107">
        <f ca="1">IF(OFFSET(Scenarios!$A$51,0,$C$1)="Yes",IF(Q$49/Q$214&lt;OFFSET(Scenarios!$A$57,0,$C$1),MIN(Q$49/Q$214+OFFSET(Scenarios!$A$54,0,$C$1),OFFSET(Scenarios!$A$57,0,$C$1)),MAX(Q$49/Q$214-OFFSET(Scenarios!$A$54,0,$C$1),OFFSET(Scenarios!$A$57,0,$C$1)))*R$214,Q$49*(1+R$215))</f>
        <v>35.247167685406367</v>
      </c>
      <c r="S49" s="107">
        <f ca="1">IF(OFFSET(Scenarios!$A$51,0,$C$1)="Yes",IF(R$49/R$214&lt;OFFSET(Scenarios!$A$57,0,$C$1),MIN(R$49/R$214+OFFSET(Scenarios!$A$54,0,$C$1),OFFSET(Scenarios!$A$57,0,$C$1)),MAX(R$49/R$214-OFFSET(Scenarios!$A$54,0,$C$1),OFFSET(Scenarios!$A$57,0,$C$1)))*S$214,R$49*(1+S$215))</f>
        <v>36.706960445928232</v>
      </c>
      <c r="T49" s="107">
        <f ca="1">IF(OFFSET(Scenarios!$A$51,0,$C$1)="Yes",IF(S$49/S$214&lt;OFFSET(Scenarios!$A$57,0,$C$1),MIN(S$49/S$214+OFFSET(Scenarios!$A$54,0,$C$1),OFFSET(Scenarios!$A$57,0,$C$1)),MAX(S$49/S$214-OFFSET(Scenarios!$A$54,0,$C$1),OFFSET(Scenarios!$A$57,0,$C$1)))*T$214,S$49*(1+T$215))</f>
        <v>38.209428543681334</v>
      </c>
    </row>
    <row r="50" spans="1:20" x14ac:dyDescent="0.2">
      <c r="A50" s="43" t="s">
        <v>343</v>
      </c>
      <c r="C50"/>
      <c r="D50" s="96">
        <f t="shared" ref="D50:T50" si="23">SUM(D$47:D$49)</f>
        <v>53.064000000000007</v>
      </c>
      <c r="E50" s="96">
        <f t="shared" si="23"/>
        <v>56.372</v>
      </c>
      <c r="F50" s="187">
        <f t="shared" si="23"/>
        <v>54.88</v>
      </c>
      <c r="G50" s="187">
        <f t="shared" si="23"/>
        <v>53.739999999999995</v>
      </c>
      <c r="H50" s="187">
        <f t="shared" si="23"/>
        <v>54.704000000000001</v>
      </c>
      <c r="I50" s="187">
        <f t="shared" si="23"/>
        <v>57.679000000000002</v>
      </c>
      <c r="J50" s="187">
        <f t="shared" si="23"/>
        <v>61.168999999999997</v>
      </c>
      <c r="K50" s="101">
        <f t="shared" ca="1" si="23"/>
        <v>64.579956279017637</v>
      </c>
      <c r="L50" s="101">
        <f t="shared" ca="1" si="23"/>
        <v>67.900864432439363</v>
      </c>
      <c r="M50" s="101">
        <f t="shared" ca="1" si="23"/>
        <v>71.37660985190881</v>
      </c>
      <c r="N50" s="101">
        <f t="shared" ca="1" si="23"/>
        <v>74.955739140712154</v>
      </c>
      <c r="O50" s="101">
        <f t="shared" ca="1" si="23"/>
        <v>78.529499630162562</v>
      </c>
      <c r="P50" s="101">
        <f t="shared" ca="1" si="23"/>
        <v>82.252854932692983</v>
      </c>
      <c r="Q50" s="101">
        <f t="shared" ca="1" si="23"/>
        <v>86.135916367935948</v>
      </c>
      <c r="R50" s="101">
        <f t="shared" ca="1" si="23"/>
        <v>89.706146356197777</v>
      </c>
      <c r="S50" s="101">
        <f t="shared" ca="1" si="23"/>
        <v>93.421406095473543</v>
      </c>
      <c r="T50" s="101">
        <f t="shared" ca="1" si="23"/>
        <v>97.245277116133224</v>
      </c>
    </row>
    <row r="51" spans="1:20" x14ac:dyDescent="0.2">
      <c r="A51" s="259" t="s">
        <v>851</v>
      </c>
      <c r="C51"/>
      <c r="D51" s="280">
        <f t="shared" ref="D51:J51" si="24">D$52-D$50</f>
        <v>0.4129999999999896</v>
      </c>
      <c r="E51" s="280">
        <f t="shared" si="24"/>
        <v>0.375</v>
      </c>
      <c r="F51" s="186">
        <f t="shared" si="24"/>
        <v>0.51999999999999602</v>
      </c>
      <c r="G51" s="186">
        <f t="shared" si="24"/>
        <v>0.61500000000000199</v>
      </c>
      <c r="H51" s="186">
        <f t="shared" si="24"/>
        <v>0.59400000000000119</v>
      </c>
      <c r="I51" s="186">
        <f t="shared" si="24"/>
        <v>0.62399999999999523</v>
      </c>
      <c r="J51" s="186">
        <f t="shared" si="24"/>
        <v>0.71000000000000796</v>
      </c>
      <c r="K51" s="107">
        <f ca="1">J$51*(1+K$215)</f>
        <v>0.74263497293699365</v>
      </c>
      <c r="L51" s="107">
        <f t="shared" ref="L51:T51" ca="1" si="25">K$51*(1+L$215)</f>
        <v>0.7769062477172719</v>
      </c>
      <c r="M51" s="107">
        <f t="shared" ca="1" si="25"/>
        <v>0.81254916887047424</v>
      </c>
      <c r="N51" s="107">
        <f t="shared" ca="1" si="25"/>
        <v>0.8489532648492496</v>
      </c>
      <c r="O51" s="107">
        <f t="shared" ca="1" si="25"/>
        <v>0.8848743111140982</v>
      </c>
      <c r="P51" s="107">
        <f t="shared" ca="1" si="25"/>
        <v>0.9220496005231904</v>
      </c>
      <c r="Q51" s="107">
        <f t="shared" ca="1" si="25"/>
        <v>0.96056505491391619</v>
      </c>
      <c r="R51" s="107">
        <f t="shared" ca="1" si="25"/>
        <v>1.0003793195010711</v>
      </c>
      <c r="S51" s="107">
        <f t="shared" ca="1" si="25"/>
        <v>1.0418109176770598</v>
      </c>
      <c r="T51" s="107">
        <f t="shared" ca="1" si="25"/>
        <v>1.0844537202595954</v>
      </c>
    </row>
    <row r="52" spans="1:20" x14ac:dyDescent="0.2">
      <c r="A52" s="43" t="s">
        <v>535</v>
      </c>
      <c r="C52"/>
      <c r="D52" s="96">
        <f>Data!C$105</f>
        <v>53.476999999999997</v>
      </c>
      <c r="E52" s="96">
        <f>Data!D$105</f>
        <v>56.747</v>
      </c>
      <c r="F52" s="187">
        <f>Data!E$105</f>
        <v>55.4</v>
      </c>
      <c r="G52" s="187">
        <f>Data!F$105</f>
        <v>54.354999999999997</v>
      </c>
      <c r="H52" s="187">
        <f>Data!G$105</f>
        <v>55.298000000000002</v>
      </c>
      <c r="I52" s="187">
        <f>Data!H$105</f>
        <v>58.302999999999997</v>
      </c>
      <c r="J52" s="187">
        <f>Data!I$105</f>
        <v>61.879000000000005</v>
      </c>
      <c r="K52" s="101">
        <f t="shared" ref="K52:T52" ca="1" si="26">SUM(K$50,K$51)</f>
        <v>65.322591251954634</v>
      </c>
      <c r="L52" s="101">
        <f t="shared" ca="1" si="26"/>
        <v>68.677770680156641</v>
      </c>
      <c r="M52" s="101">
        <f t="shared" ca="1" si="26"/>
        <v>72.189159020779286</v>
      </c>
      <c r="N52" s="101">
        <f t="shared" ca="1" si="26"/>
        <v>75.804692405561397</v>
      </c>
      <c r="O52" s="101">
        <f t="shared" ca="1" si="26"/>
        <v>79.414373941276665</v>
      </c>
      <c r="P52" s="101">
        <f t="shared" ca="1" si="26"/>
        <v>83.174904533216178</v>
      </c>
      <c r="Q52" s="101">
        <f t="shared" ca="1" si="26"/>
        <v>87.096481422849862</v>
      </c>
      <c r="R52" s="101">
        <f t="shared" ca="1" si="26"/>
        <v>90.706525675698842</v>
      </c>
      <c r="S52" s="101">
        <f t="shared" ca="1" si="26"/>
        <v>94.463217013150597</v>
      </c>
      <c r="T52" s="101">
        <f t="shared" ca="1" si="26"/>
        <v>98.329730836392812</v>
      </c>
    </row>
    <row r="53" spans="1:20" x14ac:dyDescent="0.2">
      <c r="A53" s="4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20" x14ac:dyDescent="0.2">
      <c r="A54" s="147" t="s">
        <v>852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20" x14ac:dyDescent="0.2">
      <c r="A55" s="43" t="s">
        <v>853</v>
      </c>
      <c r="C55"/>
      <c r="D55" s="96">
        <f>SUM(Data!C$6,Data!C$8,Data!C$10)-D$57</f>
        <v>18.529999999999998</v>
      </c>
      <c r="E55" s="96">
        <f>SUM(Data!D$6,Data!D$8,Data!D$10)-E$57</f>
        <v>21.893000000000001</v>
      </c>
      <c r="F55" s="187">
        <f>SUM(Data!E$6,Data!E$8,Data!E$10)-F$57</f>
        <v>22.772999999999996</v>
      </c>
      <c r="G55" s="187">
        <f>SUM(Data!F$6,Data!F$8,Data!F$10)-G$57</f>
        <v>23.663</v>
      </c>
      <c r="H55" s="187">
        <f>SUM(Data!G$6,Data!G$8,Data!G$10)-H$57</f>
        <v>24.88</v>
      </c>
      <c r="I55" s="187">
        <f>SUM(Data!H$6,Data!H$8,Data!H$10)-I$57</f>
        <v>25.431999999999999</v>
      </c>
      <c r="J55" s="187">
        <f>SUM(Data!I$6,Data!I$8,Data!I$10)-J$57</f>
        <v>26.466000000000001</v>
      </c>
      <c r="K55" s="101">
        <f ca="1">J$55*(1+K$215)</f>
        <v>27.68250308978909</v>
      </c>
      <c r="L55" s="101">
        <f t="shared" ref="L55:T55" ca="1" si="27">K$55*(1+L$215)</f>
        <v>28.960001059274774</v>
      </c>
      <c r="M55" s="101">
        <f t="shared" ca="1" si="27"/>
        <v>30.288628596233426</v>
      </c>
      <c r="N55" s="101">
        <f t="shared" ca="1" si="27"/>
        <v>31.645629728873224</v>
      </c>
      <c r="O55" s="101">
        <f t="shared" ca="1" si="27"/>
        <v>32.984624673162621</v>
      </c>
      <c r="P55" s="101">
        <f t="shared" ca="1" si="27"/>
        <v>34.370372855558429</v>
      </c>
      <c r="Q55" s="101">
        <f t="shared" ca="1" si="27"/>
        <v>35.806077103311864</v>
      </c>
      <c r="R55" s="101">
        <f t="shared" ca="1" si="27"/>
        <v>37.290195873119792</v>
      </c>
      <c r="S55" s="101">
        <f t="shared" ca="1" si="27"/>
        <v>38.834602460902474</v>
      </c>
      <c r="T55" s="101">
        <f t="shared" ca="1" si="27"/>
        <v>40.42415797238047</v>
      </c>
    </row>
    <row r="56" spans="1:20" x14ac:dyDescent="0.2">
      <c r="A56" s="43" t="s">
        <v>854</v>
      </c>
      <c r="C56"/>
      <c r="D56" s="96">
        <f>SUM(Data!C$106,Data!C$108,Data!C$110)</f>
        <v>2.1539999999999999</v>
      </c>
      <c r="E56" s="96">
        <f>SUM(Data!D$106,Data!D$108,Data!D$110)</f>
        <v>2.7280000000000002</v>
      </c>
      <c r="F56" s="187">
        <f>SUM(Data!E$106,Data!E$108,Data!E$110)</f>
        <v>2.7890000000000001</v>
      </c>
      <c r="G56" s="187">
        <f>SUM(Data!F$106,Data!F$108,Data!F$110)</f>
        <v>2.5090000000000003</v>
      </c>
      <c r="H56" s="187">
        <f>SUM(Data!G$106,Data!G$108,Data!G$110)</f>
        <v>2.444</v>
      </c>
      <c r="I56" s="187">
        <f>SUM(Data!H$106,Data!H$108,Data!H$110)</f>
        <v>2.4819999999999998</v>
      </c>
      <c r="J56" s="187">
        <f>SUM(Data!I$106,Data!I$108,Data!I$110)</f>
        <v>2.4729999999999999</v>
      </c>
      <c r="K56" s="101">
        <f ca="1">J$56*(1+K$218)</f>
        <v>2.5224599999999997</v>
      </c>
      <c r="L56" s="101">
        <f t="shared" ref="L56:T56" ca="1" si="28">K$56*(1+L$218)</f>
        <v>2.5729091999999998</v>
      </c>
      <c r="M56" s="101">
        <f t="shared" ca="1" si="28"/>
        <v>2.6243673839999997</v>
      </c>
      <c r="N56" s="101">
        <f t="shared" ca="1" si="28"/>
        <v>2.6768547316799998</v>
      </c>
      <c r="O56" s="101">
        <f t="shared" ca="1" si="28"/>
        <v>2.7303918263135998</v>
      </c>
      <c r="P56" s="101">
        <f t="shared" ca="1" si="28"/>
        <v>2.7849996628398719</v>
      </c>
      <c r="Q56" s="101">
        <f t="shared" ca="1" si="28"/>
        <v>2.8406996560966693</v>
      </c>
      <c r="R56" s="101">
        <f t="shared" ca="1" si="28"/>
        <v>2.8975136492186029</v>
      </c>
      <c r="S56" s="101">
        <f t="shared" ca="1" si="28"/>
        <v>2.9554639222029748</v>
      </c>
      <c r="T56" s="101">
        <f t="shared" ca="1" si="28"/>
        <v>3.0145732006470345</v>
      </c>
    </row>
    <row r="57" spans="1:20" x14ac:dyDescent="0.2">
      <c r="A57" s="43" t="s">
        <v>108</v>
      </c>
      <c r="C57"/>
      <c r="D57" s="96">
        <f>Data!C$107</f>
        <v>0</v>
      </c>
      <c r="E57" s="96">
        <f>Data!D$107</f>
        <v>0</v>
      </c>
      <c r="F57" s="187">
        <f>Data!E$107</f>
        <v>8.7999999999999995E-2</v>
      </c>
      <c r="G57" s="187">
        <f>Data!F$107</f>
        <v>0.41399999999999998</v>
      </c>
      <c r="H57" s="187">
        <f>Data!G$107</f>
        <v>0.84599999999999997</v>
      </c>
      <c r="I57" s="187">
        <f>Data!H$107</f>
        <v>1.044</v>
      </c>
      <c r="J57" s="187">
        <f>Data!I$107</f>
        <v>1.577</v>
      </c>
      <c r="K57" s="101">
        <f>Tracks!H$114</f>
        <v>1.35</v>
      </c>
      <c r="L57" s="101">
        <f>Tracks!I$114</f>
        <v>1.35</v>
      </c>
      <c r="M57" s="101">
        <f>Tracks!J$114</f>
        <v>1.35</v>
      </c>
      <c r="N57" s="101">
        <f>Tracks!K$114</f>
        <v>1.35</v>
      </c>
      <c r="O57" s="101">
        <f>Tracks!L$114</f>
        <v>1.35</v>
      </c>
      <c r="P57" s="101">
        <f>Tracks!M$114</f>
        <v>1.2479166666666666</v>
      </c>
      <c r="Q57" s="101">
        <f>Tracks!N$114</f>
        <v>1.1458333333333335</v>
      </c>
      <c r="R57" s="101">
        <f>Tracks!O$114</f>
        <v>1.04375</v>
      </c>
      <c r="S57" s="101">
        <f>Tracks!P$114</f>
        <v>0.94166666666666665</v>
      </c>
      <c r="T57" s="101">
        <f>Tracks!Q$114</f>
        <v>0.83958333333333335</v>
      </c>
    </row>
    <row r="58" spans="1:20" x14ac:dyDescent="0.2">
      <c r="A58" s="47"/>
      <c r="C58"/>
      <c r="D58" s="94"/>
      <c r="E58" s="94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</row>
    <row r="59" spans="1:20" x14ac:dyDescent="0.2">
      <c r="A59" s="147" t="s">
        <v>855</v>
      </c>
      <c r="C59"/>
      <c r="D59" s="97"/>
      <c r="E59" s="97"/>
      <c r="F59"/>
      <c r="G59"/>
      <c r="H59"/>
      <c r="I59"/>
      <c r="J59"/>
      <c r="K59" s="180"/>
      <c r="L59" s="180"/>
      <c r="M59" s="180"/>
      <c r="N59" s="180"/>
      <c r="O59" s="180"/>
      <c r="P59" s="180"/>
      <c r="Q59" s="180"/>
      <c r="R59" s="180"/>
      <c r="S59" s="180"/>
      <c r="T59" s="180"/>
    </row>
    <row r="60" spans="1:20" x14ac:dyDescent="0.2">
      <c r="A60" s="47" t="s">
        <v>642</v>
      </c>
      <c r="B60" s="103"/>
      <c r="C60"/>
      <c r="D60" s="281">
        <f>Data!C$109-SUM(D$61:D$63)</f>
        <v>1.4840000000000002</v>
      </c>
      <c r="E60" s="281">
        <f>Data!D$109-SUM(E$61:E$63)</f>
        <v>0.88899999999999979</v>
      </c>
      <c r="F60" s="253">
        <f>Data!E$109-SUM(F$61:F$63)</f>
        <v>1.4559999999999997</v>
      </c>
      <c r="G60" s="253">
        <f>Data!F$109-SUM(G$61:G$63)</f>
        <v>1.0589999999999999</v>
      </c>
      <c r="H60" s="253">
        <f>Data!G$109-SUM(H$61:H$63)</f>
        <v>1.1659999999999997</v>
      </c>
      <c r="I60" s="253">
        <f>Data!H$109-SUM(I$61:I$63)</f>
        <v>1.2270000000000001</v>
      </c>
      <c r="J60" s="253">
        <f>Data!I$109-SUM(J$61:J$63)</f>
        <v>1.2570000000000003</v>
      </c>
      <c r="K60" s="99">
        <f ca="1">SUM(J$144,J$165)*K$219</f>
        <v>1.0338000000000003</v>
      </c>
      <c r="L60" s="99">
        <f t="shared" ref="L60:T60" ca="1" si="29">SUM(K$144,K$165)*L$219</f>
        <v>1.0338000000000003</v>
      </c>
      <c r="M60" s="99">
        <f t="shared" ca="1" si="29"/>
        <v>1.0338000000000003</v>
      </c>
      <c r="N60" s="99">
        <f t="shared" ca="1" si="29"/>
        <v>1.0338000000000003</v>
      </c>
      <c r="O60" s="99">
        <f t="shared" ca="1" si="29"/>
        <v>1.0338000000000003</v>
      </c>
      <c r="P60" s="99">
        <f t="shared" ca="1" si="29"/>
        <v>1.0338000000000003</v>
      </c>
      <c r="Q60" s="99">
        <f t="shared" ca="1" si="29"/>
        <v>1.0338000000000003</v>
      </c>
      <c r="R60" s="99">
        <f t="shared" ca="1" si="29"/>
        <v>1.0338000000000003</v>
      </c>
      <c r="S60" s="99">
        <f t="shared" ca="1" si="29"/>
        <v>1.0338000000000003</v>
      </c>
      <c r="T60" s="99">
        <f t="shared" ca="1" si="29"/>
        <v>1.0338000000000003</v>
      </c>
    </row>
    <row r="61" spans="1:20" x14ac:dyDescent="0.2">
      <c r="A61" s="47" t="s">
        <v>641</v>
      </c>
      <c r="B61" s="103"/>
      <c r="C61"/>
      <c r="D61" s="94">
        <f t="shared" ref="D61:T61" si="30">D$116-D$124</f>
        <v>0.41899999999999998</v>
      </c>
      <c r="E61" s="94">
        <f t="shared" si="30"/>
        <v>0.34700000000000003</v>
      </c>
      <c r="F61" s="142">
        <f t="shared" si="30"/>
        <v>0.39600000000000002</v>
      </c>
      <c r="G61" s="142">
        <f t="shared" si="30"/>
        <v>0.44700000000000001</v>
      </c>
      <c r="H61" s="142">
        <f t="shared" si="30"/>
        <v>0.51800000000000002</v>
      </c>
      <c r="I61" s="142">
        <f t="shared" si="30"/>
        <v>0.59199999999999997</v>
      </c>
      <c r="J61" s="142">
        <f t="shared" si="30"/>
        <v>0.66699999999999993</v>
      </c>
      <c r="K61" s="99">
        <f t="shared" si="30"/>
        <v>0.68620896905139739</v>
      </c>
      <c r="L61" s="99">
        <f t="shared" si="30"/>
        <v>0.77575370096347029</v>
      </c>
      <c r="M61" s="99">
        <f t="shared" si="30"/>
        <v>0.87068743004474392</v>
      </c>
      <c r="N61" s="99">
        <f t="shared" si="30"/>
        <v>0.97131239650007895</v>
      </c>
      <c r="O61" s="99">
        <f t="shared" si="30"/>
        <v>1.0776439606302861</v>
      </c>
      <c r="P61" s="99">
        <f t="shared" si="30"/>
        <v>1.1896245053018355</v>
      </c>
      <c r="Q61" s="99">
        <f t="shared" si="30"/>
        <v>1.3072031245933065</v>
      </c>
      <c r="R61" s="99">
        <f t="shared" si="30"/>
        <v>1.4296756167675888</v>
      </c>
      <c r="S61" s="99">
        <f t="shared" si="30"/>
        <v>1.5561696109899965</v>
      </c>
      <c r="T61" s="99">
        <f t="shared" si="30"/>
        <v>1.6864315250136233</v>
      </c>
    </row>
    <row r="62" spans="1:20" x14ac:dyDescent="0.2">
      <c r="A62" s="47" t="s">
        <v>645</v>
      </c>
      <c r="B62" s="103"/>
      <c r="C62"/>
      <c r="D62" s="94">
        <f t="shared" ref="D62:T62" si="31">D$158</f>
        <v>0.36</v>
      </c>
      <c r="E62" s="94">
        <f t="shared" si="31"/>
        <v>0.40699999999999997</v>
      </c>
      <c r="F62" s="142">
        <f t="shared" si="31"/>
        <v>0.45200000000000001</v>
      </c>
      <c r="G62" s="142">
        <f t="shared" si="31"/>
        <v>0.48299999999999998</v>
      </c>
      <c r="H62" s="142">
        <f t="shared" si="31"/>
        <v>0.51</v>
      </c>
      <c r="I62" s="142">
        <f t="shared" si="31"/>
        <v>0.53900000000000003</v>
      </c>
      <c r="J62" s="142">
        <f t="shared" si="31"/>
        <v>0.56799999999999995</v>
      </c>
      <c r="K62" s="99">
        <f t="shared" si="31"/>
        <v>0.59517865183274432</v>
      </c>
      <c r="L62" s="99">
        <f t="shared" si="31"/>
        <v>0.62161650163509619</v>
      </c>
      <c r="M62" s="99">
        <f t="shared" si="31"/>
        <v>0.64730979374220132</v>
      </c>
      <c r="N62" s="99">
        <f t="shared" si="31"/>
        <v>0.67226653533023317</v>
      </c>
      <c r="O62" s="99">
        <f t="shared" si="31"/>
        <v>0.69650431024576887</v>
      </c>
      <c r="P62" s="99">
        <f t="shared" si="31"/>
        <v>0.72004830747829385</v>
      </c>
      <c r="Q62" s="99">
        <f t="shared" si="31"/>
        <v>0.7429295778013747</v>
      </c>
      <c r="R62" s="99">
        <f t="shared" si="31"/>
        <v>0.7651835190413887</v>
      </c>
      <c r="S62" s="99">
        <f t="shared" si="31"/>
        <v>0.78684858126354429</v>
      </c>
      <c r="T62" s="99">
        <f t="shared" si="31"/>
        <v>0.80799788598620947</v>
      </c>
    </row>
    <row r="63" spans="1:20" x14ac:dyDescent="0.2">
      <c r="A63" s="47" t="s">
        <v>419</v>
      </c>
      <c r="B63" s="103"/>
      <c r="C63"/>
      <c r="D63" s="280">
        <f>Data!C$198</f>
        <v>0.317</v>
      </c>
      <c r="E63" s="280">
        <f>Data!D$198</f>
        <v>0.70099999999999996</v>
      </c>
      <c r="F63" s="186">
        <f>Data!E$198</f>
        <v>0.22500000000000001</v>
      </c>
      <c r="G63" s="186">
        <f>Data!F$198</f>
        <v>0.51600000000000001</v>
      </c>
      <c r="H63" s="186">
        <f>Data!G$198</f>
        <v>0.43</v>
      </c>
      <c r="I63" s="186">
        <f>Data!H$198</f>
        <v>0.38700000000000001</v>
      </c>
      <c r="J63" s="186">
        <f>Data!I$198</f>
        <v>0.41399999999999998</v>
      </c>
      <c r="K63" s="107">
        <f ca="1">J$63*(1+K$215)</f>
        <v>0.4330294067548055</v>
      </c>
      <c r="L63" s="107">
        <f t="shared" ref="L63:T63" ca="1" si="32">K$63*(1+L$215)</f>
        <v>0.45301293880978444</v>
      </c>
      <c r="M63" s="107">
        <f t="shared" ca="1" si="32"/>
        <v>0.47379627593291912</v>
      </c>
      <c r="N63" s="107">
        <f t="shared" ca="1" si="32"/>
        <v>0.49502345302476813</v>
      </c>
      <c r="O63" s="107">
        <f t="shared" ca="1" si="32"/>
        <v>0.51596896450877827</v>
      </c>
      <c r="P63" s="107">
        <f t="shared" ca="1" si="32"/>
        <v>0.53764582340365719</v>
      </c>
      <c r="Q63" s="107">
        <f t="shared" ca="1" si="32"/>
        <v>0.56010413061177033</v>
      </c>
      <c r="R63" s="107">
        <f t="shared" ca="1" si="32"/>
        <v>0.58331977221611109</v>
      </c>
      <c r="S63" s="107">
        <f t="shared" ca="1" si="32"/>
        <v>0.60747847875816618</v>
      </c>
      <c r="T63" s="107">
        <f t="shared" ca="1" si="32"/>
        <v>0.63234343688375716</v>
      </c>
    </row>
    <row r="64" spans="1:20" x14ac:dyDescent="0.2">
      <c r="A64" s="43" t="s">
        <v>651</v>
      </c>
      <c r="C64"/>
      <c r="D64" s="96">
        <f t="shared" ref="D64:T64" si="33">SUM(D$60:D$63)</f>
        <v>2.5800000000000005</v>
      </c>
      <c r="E64" s="96">
        <f t="shared" si="33"/>
        <v>2.3439999999999999</v>
      </c>
      <c r="F64" s="187">
        <f t="shared" si="33"/>
        <v>2.5289999999999999</v>
      </c>
      <c r="G64" s="187">
        <f t="shared" si="33"/>
        <v>2.5049999999999999</v>
      </c>
      <c r="H64" s="187">
        <f t="shared" si="33"/>
        <v>2.6240000000000001</v>
      </c>
      <c r="I64" s="187">
        <f t="shared" si="33"/>
        <v>2.7450000000000001</v>
      </c>
      <c r="J64" s="187">
        <f t="shared" si="33"/>
        <v>2.9060000000000006</v>
      </c>
      <c r="K64" s="101">
        <f t="shared" ca="1" si="33"/>
        <v>2.7482170276389475</v>
      </c>
      <c r="L64" s="101">
        <f t="shared" ca="1" si="33"/>
        <v>2.884183141408351</v>
      </c>
      <c r="M64" s="101">
        <f t="shared" ca="1" si="33"/>
        <v>3.0255934997198648</v>
      </c>
      <c r="N64" s="101">
        <f t="shared" ca="1" si="33"/>
        <v>3.1724023848550806</v>
      </c>
      <c r="O64" s="101">
        <f t="shared" ca="1" si="33"/>
        <v>3.3239172353848336</v>
      </c>
      <c r="P64" s="101">
        <f t="shared" ca="1" si="33"/>
        <v>3.4811186361837865</v>
      </c>
      <c r="Q64" s="101">
        <f t="shared" ca="1" si="33"/>
        <v>3.6440368330064521</v>
      </c>
      <c r="R64" s="101">
        <f t="shared" ca="1" si="33"/>
        <v>3.8119789080250888</v>
      </c>
      <c r="S64" s="101">
        <f t="shared" ca="1" si="33"/>
        <v>3.9842966710117071</v>
      </c>
      <c r="T64" s="101">
        <f t="shared" ca="1" si="33"/>
        <v>4.1605728478835902</v>
      </c>
    </row>
    <row r="65" spans="1:20" x14ac:dyDescent="0.2">
      <c r="A65" s="47" t="s">
        <v>752</v>
      </c>
      <c r="B65" s="103"/>
      <c r="C65"/>
      <c r="D65" s="94">
        <f t="shared" ref="D65:T65" si="34">SUM(D$131,D$140)</f>
        <v>0.50800000000000001</v>
      </c>
      <c r="E65" s="94">
        <f t="shared" si="34"/>
        <v>0.88300000000000001</v>
      </c>
      <c r="F65" s="180">
        <f t="shared" si="34"/>
        <v>0.84899999999999998</v>
      </c>
      <c r="G65" s="180">
        <f t="shared" si="34"/>
        <v>0.90599999999999992</v>
      </c>
      <c r="H65" s="180">
        <f t="shared" si="34"/>
        <v>0.96399999999999997</v>
      </c>
      <c r="I65" s="180">
        <f t="shared" si="34"/>
        <v>1.014</v>
      </c>
      <c r="J65" s="180">
        <f t="shared" si="34"/>
        <v>1.0509999999999999</v>
      </c>
      <c r="K65" s="99">
        <f t="shared" si="34"/>
        <v>1.0932977227594929</v>
      </c>
      <c r="L65" s="99">
        <f t="shared" si="34"/>
        <v>1.1638497133758055</v>
      </c>
      <c r="M65" s="99">
        <f t="shared" si="34"/>
        <v>1.2389784564981106</v>
      </c>
      <c r="N65" s="99">
        <f t="shared" si="34"/>
        <v>1.3189824606763474</v>
      </c>
      <c r="O65" s="99">
        <f t="shared" si="34"/>
        <v>1.4041798119722531</v>
      </c>
      <c r="P65" s="99">
        <f t="shared" si="34"/>
        <v>1.494909465130885</v>
      </c>
      <c r="Q65" s="99">
        <f t="shared" si="34"/>
        <v>1.5915326203836457</v>
      </c>
      <c r="R65" s="99">
        <f t="shared" si="34"/>
        <v>1.694434191593345</v>
      </c>
      <c r="S65" s="99">
        <f t="shared" si="34"/>
        <v>1.8040243718347209</v>
      </c>
      <c r="T65" s="99">
        <f t="shared" si="34"/>
        <v>1.920740302912511</v>
      </c>
    </row>
    <row r="66" spans="1:20" x14ac:dyDescent="0.2">
      <c r="A66" s="251" t="s">
        <v>858</v>
      </c>
      <c r="B66" s="103"/>
      <c r="C66"/>
      <c r="D66" s="280">
        <f>SUM(D$64:D$65)-Data!C$9</f>
        <v>9.3000000000000416E-2</v>
      </c>
      <c r="E66" s="280">
        <f>SUM(E$64:E$65)-Data!D$9</f>
        <v>1.2999999999999901E-2</v>
      </c>
      <c r="F66" s="186">
        <f>SUM(F$64:F$65)-Data!E$9</f>
        <v>-0.33199999999999985</v>
      </c>
      <c r="G66" s="186">
        <f>SUM(G$64:G$65)-Data!F$9</f>
        <v>-0.31100000000000039</v>
      </c>
      <c r="H66" s="186">
        <f>SUM(H$64:H$65)-Data!G$9</f>
        <v>-0.42799999999999994</v>
      </c>
      <c r="I66" s="186">
        <f>SUM(I$64:I$65)-Data!H$9</f>
        <v>-0.45300000000000029</v>
      </c>
      <c r="J66" s="186">
        <f>SUM(J$64:J$65)-Data!I$9</f>
        <v>-0.39299999999999891</v>
      </c>
      <c r="K66" s="107">
        <f ca="1">(J$66-SUM(J$132,J$141))*(1+K$215)+SUM(K$132,K$141)</f>
        <v>-0.4067062391493933</v>
      </c>
      <c r="L66" s="107">
        <f t="shared" ref="L66:T66" ca="1" si="35">(K$66-SUM(K$132,K$141))*(1+L$215)+SUM(L$132,L$141)</f>
        <v>-0.41523736602330963</v>
      </c>
      <c r="M66" s="107">
        <f t="shared" ca="1" si="35"/>
        <v>-0.42320923077151917</v>
      </c>
      <c r="N66" s="107">
        <f t="shared" ca="1" si="35"/>
        <v>-0.42975021861757945</v>
      </c>
      <c r="O66" s="107">
        <f t="shared" ca="1" si="35"/>
        <v>-0.43322865691547108</v>
      </c>
      <c r="P66" s="107">
        <f t="shared" ca="1" si="35"/>
        <v>-0.43552932831889424</v>
      </c>
      <c r="Q66" s="107">
        <f t="shared" ca="1" si="35"/>
        <v>-0.43657154986831248</v>
      </c>
      <c r="R66" s="107">
        <f t="shared" ca="1" si="35"/>
        <v>-0.43611151736042286</v>
      </c>
      <c r="S66" s="107">
        <f t="shared" ca="1" si="35"/>
        <v>-0.43431779188388364</v>
      </c>
      <c r="T66" s="107">
        <f t="shared" ca="1" si="35"/>
        <v>-0.43048726744252264</v>
      </c>
    </row>
    <row r="67" spans="1:20" x14ac:dyDescent="0.2">
      <c r="A67" s="43" t="s">
        <v>537</v>
      </c>
      <c r="B67" s="103"/>
      <c r="C67"/>
      <c r="D67" s="96">
        <f t="shared" ref="D67:T67" si="36">SUM(D$64,D$65,-D$66)</f>
        <v>2.9950000000000001</v>
      </c>
      <c r="E67" s="96">
        <f t="shared" si="36"/>
        <v>3.214</v>
      </c>
      <c r="F67" s="187">
        <f t="shared" si="36"/>
        <v>3.71</v>
      </c>
      <c r="G67" s="187">
        <f t="shared" si="36"/>
        <v>3.722</v>
      </c>
      <c r="H67" s="187">
        <f t="shared" si="36"/>
        <v>4.016</v>
      </c>
      <c r="I67" s="187">
        <f t="shared" si="36"/>
        <v>4.2120000000000006</v>
      </c>
      <c r="J67" s="187">
        <f t="shared" si="36"/>
        <v>4.3499999999999996</v>
      </c>
      <c r="K67" s="101">
        <f t="shared" ca="1" si="36"/>
        <v>4.2482209895478338</v>
      </c>
      <c r="L67" s="101">
        <f t="shared" ca="1" si="36"/>
        <v>4.4632702208074662</v>
      </c>
      <c r="M67" s="101">
        <f t="shared" ca="1" si="36"/>
        <v>4.6877811869894943</v>
      </c>
      <c r="N67" s="101">
        <f t="shared" ca="1" si="36"/>
        <v>4.9211350641490075</v>
      </c>
      <c r="O67" s="101">
        <f t="shared" ca="1" si="36"/>
        <v>5.1613257042725582</v>
      </c>
      <c r="P67" s="101">
        <f t="shared" ca="1" si="36"/>
        <v>5.4115574296335662</v>
      </c>
      <c r="Q67" s="101">
        <f t="shared" ca="1" si="36"/>
        <v>5.6721410032584103</v>
      </c>
      <c r="R67" s="101">
        <f t="shared" ca="1" si="36"/>
        <v>5.9425246169788561</v>
      </c>
      <c r="S67" s="101">
        <f t="shared" ca="1" si="36"/>
        <v>6.2226388347303123</v>
      </c>
      <c r="T67" s="101">
        <f t="shared" ca="1" si="36"/>
        <v>6.5118004182386233</v>
      </c>
    </row>
    <row r="68" spans="1:20" x14ac:dyDescent="0.2">
      <c r="A68" s="46"/>
      <c r="C68"/>
      <c r="D68" s="94"/>
      <c r="E68" s="94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</row>
    <row r="69" spans="1:20" x14ac:dyDescent="0.2">
      <c r="A69" s="147" t="s">
        <v>653</v>
      </c>
      <c r="B69" s="103"/>
      <c r="C69"/>
      <c r="D69" s="96">
        <f>D70</f>
        <v>0</v>
      </c>
      <c r="E69" s="96">
        <f ca="1">IF(OFFSET(Scenarios!$A$62,0,$C$1)="Yes",0,E$70-D$70)</f>
        <v>0</v>
      </c>
      <c r="F69" s="187">
        <f ca="1">IF(OFFSET(Scenarios!$A$62,0,$C$1)="Yes",0,F$70-E$70)</f>
        <v>0.17199999999999999</v>
      </c>
      <c r="G69" s="187">
        <f ca="1">IF(OFFSET(Scenarios!$A$62,0,$C$1)="Yes",0,G$70-F$70)</f>
        <v>1.4220000000000002</v>
      </c>
      <c r="H69" s="187">
        <f ca="1">IF(OFFSET(Scenarios!$A$62,0,$C$1)="Yes",0,H$70-G$70)</f>
        <v>1.8160000000000001</v>
      </c>
      <c r="I69" s="187">
        <f ca="1">IF(OFFSET(Scenarios!$A$62,0,$C$1)="Yes",0,I$70-H$70)</f>
        <v>1.7830000000000004</v>
      </c>
      <c r="J69" s="187">
        <f ca="1">IF(OFFSET(Scenarios!$A$62,0,$C$1)="Yes",0,J$70-I$70)</f>
        <v>1.8549999999999995</v>
      </c>
      <c r="K69" s="146">
        <f ca="1">IF(OFFSET(Scenarios!$A$62,0,$C$1)="Yes",0,IF(K$1="Proj Yr1",OFFSET(Scenarios!$A$31,0,$C$1),J$69*(1+IF(OFFSET(Scenarios!$A$35,0,$C$1)="GDP",K$215,IF(OFFSET(Scenarios!$A$35,0,$C$1)="CPI",K$218,0)))))</f>
        <v>1.544</v>
      </c>
      <c r="L69" s="146">
        <f ca="1">IF(OFFSET(Scenarios!$A$62,0,$C$1)="Yes",0,IF(L$1="Proj Yr1",OFFSET(Scenarios!$A$31,0,$C$1),K$69*(1+IF(OFFSET(Scenarios!$A$35,0,$C$1)="GDP",L$215,IF(OFFSET(Scenarios!$A$35,0,$C$1)="CPI",L$218,0)))))</f>
        <v>1.5748800000000001</v>
      </c>
      <c r="M69" s="146">
        <f ca="1">IF(OFFSET(Scenarios!$A$62,0,$C$1)="Yes",0,IF(M$1="Proj Yr1",OFFSET(Scenarios!$A$31,0,$C$1),L$69*(1+IF(OFFSET(Scenarios!$A$35,0,$C$1)="GDP",M$215,IF(OFFSET(Scenarios!$A$35,0,$C$1)="CPI",M$218,0)))))</f>
        <v>1.6063776000000001</v>
      </c>
      <c r="N69" s="146">
        <f ca="1">IF(OFFSET(Scenarios!$A$62,0,$C$1)="Yes",0,IF(N$1="Proj Yr1",OFFSET(Scenarios!$A$31,0,$C$1),M$69*(1+IF(OFFSET(Scenarios!$A$35,0,$C$1)="GDP",N$215,IF(OFFSET(Scenarios!$A$35,0,$C$1)="CPI",N$218,0)))))</f>
        <v>1.638505152</v>
      </c>
      <c r="O69" s="146">
        <f ca="1">IF(OFFSET(Scenarios!$A$62,0,$C$1)="Yes",0,IF(O$1="Proj Yr1",OFFSET(Scenarios!$A$31,0,$C$1),N$69*(1+IF(OFFSET(Scenarios!$A$35,0,$C$1)="GDP",O$215,IF(OFFSET(Scenarios!$A$35,0,$C$1)="CPI",O$218,0)))))</f>
        <v>1.6712752550400001</v>
      </c>
      <c r="P69" s="146">
        <f ca="1">IF(OFFSET(Scenarios!$A$62,0,$C$1)="Yes",0,IF(P$1="Proj Yr1",OFFSET(Scenarios!$A$31,0,$C$1),O$69*(1+IF(OFFSET(Scenarios!$A$35,0,$C$1)="GDP",P$215,IF(OFFSET(Scenarios!$A$35,0,$C$1)="CPI",P$218,0)))))</f>
        <v>1.7047007601408002</v>
      </c>
      <c r="Q69" s="146">
        <f ca="1">IF(OFFSET(Scenarios!$A$62,0,$C$1)="Yes",0,IF(Q$1="Proj Yr1",OFFSET(Scenarios!$A$31,0,$C$1),P$69*(1+IF(OFFSET(Scenarios!$A$35,0,$C$1)="GDP",Q$215,IF(OFFSET(Scenarios!$A$35,0,$C$1)="CPI",Q$218,0)))))</f>
        <v>1.7387947753436162</v>
      </c>
      <c r="R69" s="146">
        <f ca="1">IF(OFFSET(Scenarios!$A$62,0,$C$1)="Yes",0,IF(R$1="Proj Yr1",OFFSET(Scenarios!$A$31,0,$C$1),Q$69*(1+IF(OFFSET(Scenarios!$A$35,0,$C$1)="GDP",R$215,IF(OFFSET(Scenarios!$A$35,0,$C$1)="CPI",R$218,0)))))</f>
        <v>1.7735706708504886</v>
      </c>
      <c r="S69" s="146">
        <f ca="1">IF(OFFSET(Scenarios!$A$62,0,$C$1)="Yes",0,IF(S$1="Proj Yr1",OFFSET(Scenarios!$A$31,0,$C$1),R$69*(1+IF(OFFSET(Scenarios!$A$35,0,$C$1)="GDP",S$215,IF(OFFSET(Scenarios!$A$35,0,$C$1)="CPI",S$218,0)))))</f>
        <v>1.8090420842674984</v>
      </c>
      <c r="T69" s="146">
        <f ca="1">IF(OFFSET(Scenarios!$A$62,0,$C$1)="Yes",0,IF(T$1="Proj Yr1",OFFSET(Scenarios!$A$31,0,$C$1),S$69*(1+IF(OFFSET(Scenarios!$A$35,0,$C$1)="GDP",T$215,IF(OFFSET(Scenarios!$A$35,0,$C$1)="CPI",T$218,0)))))</f>
        <v>1.8452229259528483</v>
      </c>
    </row>
    <row r="70" spans="1:20" x14ac:dyDescent="0.2">
      <c r="A70" s="47" t="s">
        <v>389</v>
      </c>
      <c r="B70" s="103"/>
      <c r="C70"/>
      <c r="D70" s="281">
        <f>Data!C$31</f>
        <v>0</v>
      </c>
      <c r="E70" s="281">
        <f>Data!D$31</f>
        <v>0</v>
      </c>
      <c r="F70" s="253">
        <f>Data!E$31</f>
        <v>0.17199999999999999</v>
      </c>
      <c r="G70" s="253">
        <f>Data!F$31</f>
        <v>1.5940000000000001</v>
      </c>
      <c r="H70" s="253">
        <f>Data!G$31</f>
        <v>3.41</v>
      </c>
      <c r="I70" s="253">
        <f>Data!H$31</f>
        <v>5.1930000000000005</v>
      </c>
      <c r="J70" s="253">
        <f>Data!I$31</f>
        <v>7.048</v>
      </c>
      <c r="K70" s="136">
        <f ca="1">J$70+IF(K$1="Proj Yr1",OFFSET(Scenarios!$A$31,0,$C$1),(J$70-I$70)*(1+IF(OFFSET(Scenarios!$A$35,0,$C$1)="GDP",K$215,IF(OFFSET(Scenarios!$A$35,0,$C$1)="CPI",K$218,0))))</f>
        <v>8.5920000000000005</v>
      </c>
      <c r="L70" s="136">
        <f ca="1">K$70+IF(L$1="Proj Yr1",OFFSET(Scenarios!$A$31,0,$C$1),(K$70-J$70)*(1+IF(OFFSET(Scenarios!$A$35,0,$C$1)="GDP",L$215,IF(OFFSET(Scenarios!$A$35,0,$C$1)="CPI",L$218,0))))</f>
        <v>10.166880000000001</v>
      </c>
      <c r="M70" s="136">
        <f ca="1">L$70+IF(M$1="Proj Yr1",OFFSET(Scenarios!$A$31,0,$C$1),(L$70-K$70)*(1+IF(OFFSET(Scenarios!$A$35,0,$C$1)="GDP",M$215,IF(OFFSET(Scenarios!$A$35,0,$C$1)="CPI",M$218,0))))</f>
        <v>11.773257600000001</v>
      </c>
      <c r="N70" s="136">
        <f ca="1">M$70+IF(N$1="Proj Yr1",OFFSET(Scenarios!$A$31,0,$C$1),(M$70-L$70)*(1+IF(OFFSET(Scenarios!$A$35,0,$C$1)="GDP",N$215,IF(OFFSET(Scenarios!$A$35,0,$C$1)="CPI",N$218,0))))</f>
        <v>13.411762752000001</v>
      </c>
      <c r="O70" s="136">
        <f ca="1">N$70+IF(O$1="Proj Yr1",OFFSET(Scenarios!$A$31,0,$C$1),(N$70-M$70)*(1+IF(OFFSET(Scenarios!$A$35,0,$C$1)="GDP",O$215,IF(OFFSET(Scenarios!$A$35,0,$C$1)="CPI",O$218,0))))</f>
        <v>15.083038007040003</v>
      </c>
      <c r="P70" s="136">
        <f ca="1">O$70+IF(P$1="Proj Yr1",OFFSET(Scenarios!$A$31,0,$C$1),(O$70-N$70)*(1+IF(OFFSET(Scenarios!$A$35,0,$C$1)="GDP",P$215,IF(OFFSET(Scenarios!$A$35,0,$C$1)="CPI",P$218,0))))</f>
        <v>16.787738767180805</v>
      </c>
      <c r="Q70" s="136">
        <f ca="1">P$70+IF(Q$1="Proj Yr1",OFFSET(Scenarios!$A$31,0,$C$1),(P$70-O$70)*(1+IF(OFFSET(Scenarios!$A$35,0,$C$1)="GDP",Q$215,IF(OFFSET(Scenarios!$A$35,0,$C$1)="CPI",Q$218,0))))</f>
        <v>18.526533542524422</v>
      </c>
      <c r="R70" s="136">
        <f ca="1">Q$70+IF(R$1="Proj Yr1",OFFSET(Scenarios!$A$31,0,$C$1),(Q$70-P$70)*(1+IF(OFFSET(Scenarios!$A$35,0,$C$1)="GDP",R$215,IF(OFFSET(Scenarios!$A$35,0,$C$1)="CPI",R$218,0))))</f>
        <v>20.300104213374912</v>
      </c>
      <c r="S70" s="136">
        <f ca="1">R$70+IF(S$1="Proj Yr1",OFFSET(Scenarios!$A$31,0,$C$1),(R$70-Q$70)*(1+IF(OFFSET(Scenarios!$A$35,0,$C$1)="GDP",S$215,IF(OFFSET(Scenarios!$A$35,0,$C$1)="CPI",S$218,0))))</f>
        <v>22.109146297642411</v>
      </c>
      <c r="T70" s="136">
        <f ca="1">S$70+IF(T$1="Proj Yr1",OFFSET(Scenarios!$A$31,0,$C$1),(S$70-R$70)*(1+IF(OFFSET(Scenarios!$A$35,0,$C$1)="GDP",T$215,IF(OFFSET(Scenarios!$A$35,0,$C$1)="CPI",T$218,0))))</f>
        <v>23.954369223595261</v>
      </c>
    </row>
    <row r="71" spans="1:20" x14ac:dyDescent="0.2">
      <c r="A71" s="46"/>
      <c r="C71" s="98"/>
      <c r="D71" s="98"/>
      <c r="E71" s="98"/>
      <c r="F71" s="190"/>
      <c r="G71" s="190"/>
      <c r="H71" s="190"/>
      <c r="I71" s="190"/>
      <c r="J71" s="190"/>
      <c r="K71" s="106"/>
      <c r="L71" s="106"/>
      <c r="M71" s="106"/>
      <c r="N71" s="106"/>
      <c r="O71" s="106"/>
      <c r="P71" s="106"/>
      <c r="Q71" s="106"/>
      <c r="R71" s="106"/>
      <c r="S71" s="106"/>
      <c r="T71" s="106"/>
    </row>
    <row r="72" spans="1:20" x14ac:dyDescent="0.2">
      <c r="A72" s="147" t="s">
        <v>654</v>
      </c>
      <c r="C72" s="99"/>
      <c r="D72" s="94"/>
      <c r="E72" s="94"/>
      <c r="F72" s="99"/>
      <c r="G72" s="99"/>
      <c r="H72" s="99"/>
      <c r="I72" s="99"/>
      <c r="J72" s="99"/>
      <c r="T72" s="99"/>
    </row>
    <row r="73" spans="1:20" x14ac:dyDescent="0.2">
      <c r="A73" s="47" t="s">
        <v>352</v>
      </c>
      <c r="B73" s="54"/>
      <c r="C73" s="99"/>
      <c r="D73" s="94">
        <f>Data!C$140</f>
        <v>6.81</v>
      </c>
      <c r="E73" s="94">
        <f>Data!D$140</f>
        <v>7.3479999999999999</v>
      </c>
      <c r="F73" s="180">
        <f>Data!E$140</f>
        <v>7.7519999999999998</v>
      </c>
      <c r="G73" s="180">
        <f>Data!F$140</f>
        <v>8.3070000000000004</v>
      </c>
      <c r="H73" s="180">
        <f>Data!G$140</f>
        <v>8.9150000000000009</v>
      </c>
      <c r="I73" s="180">
        <f>Data!H$140</f>
        <v>9.625</v>
      </c>
      <c r="J73" s="180">
        <f>Data!I$140</f>
        <v>10.257</v>
      </c>
      <c r="K73" s="99">
        <f ca="1">J$73*(K$84/J$84)*(1+Popn!K$201)</f>
        <v>10.957309270394893</v>
      </c>
      <c r="L73" s="99">
        <f ca="1">K$73*(L$84/K$84)*(1+Popn!L$201)</f>
        <v>11.700032661689965</v>
      </c>
      <c r="M73" s="99">
        <f ca="1">L$73*(M$84/L$84)*(1+Popn!M$201)</f>
        <v>12.464613543211835</v>
      </c>
      <c r="N73" s="99">
        <f ca="1">M$73*(N$84/M$84)*(1+Popn!N$201)</f>
        <v>13.271933074652106</v>
      </c>
      <c r="O73" s="99">
        <f ca="1">N$73*(O$84/N$84)*(1+Popn!O$201)</f>
        <v>14.117602655751611</v>
      </c>
      <c r="P73" s="99">
        <f ca="1">O$73*(P$84/O$84)*(1+Popn!P$201)</f>
        <v>15.023903649369961</v>
      </c>
      <c r="Q73" s="99">
        <f ca="1">P$73*(Q$84/P$84)*(1+Popn!Q$201)</f>
        <v>15.987327883484665</v>
      </c>
      <c r="R73" s="99">
        <f ca="1">Q$73*(R$84/Q$84)*(1+Popn!R$201)</f>
        <v>17.084917689143182</v>
      </c>
      <c r="S73" s="99">
        <f ca="1">R$73*(S$84/R$84)*(1+Popn!S$201)</f>
        <v>18.250467410895027</v>
      </c>
      <c r="T73" s="99">
        <f ca="1">S$73*(T$84/S$84)*(1+Popn!T$201)</f>
        <v>19.480601782291384</v>
      </c>
    </row>
    <row r="74" spans="1:20" x14ac:dyDescent="0.2">
      <c r="A74" s="47" t="s">
        <v>313</v>
      </c>
      <c r="B74" s="54"/>
      <c r="C74" s="99"/>
      <c r="D74" s="94">
        <f>Data!C$143</f>
        <v>0.61299999999999999</v>
      </c>
      <c r="E74" s="94">
        <f>Data!D$143</f>
        <v>0.45800000000000002</v>
      </c>
      <c r="F74" s="180">
        <f>Data!E$143</f>
        <v>0.54400000000000004</v>
      </c>
      <c r="G74" s="180">
        <f>Data!F$143</f>
        <v>0.7669999999999999</v>
      </c>
      <c r="H74" s="180">
        <f>Data!G$143</f>
        <v>0.82499999999999996</v>
      </c>
      <c r="I74" s="180">
        <f>Data!H$143</f>
        <v>0.77100000000000002</v>
      </c>
      <c r="J74" s="180">
        <f>Data!I$143</f>
        <v>0.68100000000000005</v>
      </c>
      <c r="K74" s="99">
        <f ca="1">J$74*(K$86/J$86)*(1+K$218)</f>
        <v>0.6860922838975928</v>
      </c>
      <c r="L74" s="99">
        <f t="shared" ref="L74:T74" ca="1" si="37">K$74*(L$86/K$86)*(1+L$218)</f>
        <v>0.69101649667280196</v>
      </c>
      <c r="M74" s="99">
        <f t="shared" ca="1" si="37"/>
        <v>0.69545192846230541</v>
      </c>
      <c r="N74" s="99">
        <f t="shared" ca="1" si="37"/>
        <v>0.70053610231747065</v>
      </c>
      <c r="O74" s="99">
        <f t="shared" ca="1" si="37"/>
        <v>0.71938650036823137</v>
      </c>
      <c r="P74" s="99">
        <f t="shared" ca="1" si="37"/>
        <v>0.73853135492722843</v>
      </c>
      <c r="Q74" s="99">
        <f t="shared" ca="1" si="37"/>
        <v>0.7580108030335867</v>
      </c>
      <c r="R74" s="99">
        <f t="shared" ca="1" si="37"/>
        <v>0.77776299294966778</v>
      </c>
      <c r="S74" s="99">
        <f t="shared" ca="1" si="37"/>
        <v>0.79800466818381599</v>
      </c>
      <c r="T74" s="99">
        <f t="shared" ca="1" si="37"/>
        <v>0.81839225046270836</v>
      </c>
    </row>
    <row r="75" spans="1:20" x14ac:dyDescent="0.2">
      <c r="A75" s="47" t="s">
        <v>344</v>
      </c>
      <c r="B75" s="54"/>
      <c r="C75" s="99"/>
      <c r="D75" s="94">
        <f>SUM(Data!C$141,Data!C$144,Data!C$145)</f>
        <v>3.1729999999999996</v>
      </c>
      <c r="E75" s="94">
        <f>SUM(Data!D$141,Data!D$144,Data!D$145)</f>
        <v>3.2759999999999998</v>
      </c>
      <c r="F75" s="180">
        <f>SUM(Data!E$141,Data!E$144,Data!E$145)</f>
        <v>3.3679999999999999</v>
      </c>
      <c r="G75" s="180">
        <f>SUM(Data!F$141,Data!F$144,Data!F$145)</f>
        <v>3.4669999999999996</v>
      </c>
      <c r="H75" s="180">
        <f>SUM(Data!G$141,Data!G$144,Data!G$145)</f>
        <v>3.5350000000000001</v>
      </c>
      <c r="I75" s="180">
        <f>SUM(Data!H$141,Data!H$144,Data!H$145)</f>
        <v>3.6109999999999998</v>
      </c>
      <c r="J75" s="180">
        <f>SUM(Data!I$141,Data!I$144,Data!I$145)</f>
        <v>3.6639999999999997</v>
      </c>
      <c r="K75" s="99">
        <f ca="1">J$75*(1+K$218)*(1+SUMPRODUCT(Popn!K$204:K$214,Tracks!$H$91:$H$101)+SUMPRODUCT(Popn!K$215:K$225,Tracks!$I$91:$I$101))</f>
        <v>3.7551765824540979</v>
      </c>
      <c r="L75" s="99">
        <f ca="1">K$75*(1+L$218)*(1+SUMPRODUCT(Popn!L$204:L$214,Tracks!$H$91:$H$101)+SUMPRODUCT(Popn!L$215:L$225,Tracks!$I$91:$I$101))</f>
        <v>3.8478410573361446</v>
      </c>
      <c r="M75" s="99">
        <f ca="1">L$75*(1+M$218)*(1+SUMPRODUCT(Popn!M$204:M$214,Tracks!$H$91:$H$101)+SUMPRODUCT(Popn!M$215:M$225,Tracks!$I$91:$I$101))</f>
        <v>3.9431754481611119</v>
      </c>
      <c r="N75" s="99">
        <f ca="1">M$75*(1+N$218)*(1+SUMPRODUCT(Popn!N$204:N$214,Tracks!$H$91:$H$101)+SUMPRODUCT(Popn!N$215:N$225,Tracks!$I$91:$I$101))</f>
        <v>4.0374177762179295</v>
      </c>
      <c r="O75" s="99">
        <f ca="1">N$75*(1+O$218)*(1+SUMPRODUCT(Popn!O$204:O$214,Tracks!$H$91:$H$101)+SUMPRODUCT(Popn!O$215:O$225,Tracks!$I$91:$I$101))</f>
        <v>4.1363983686095436</v>
      </c>
      <c r="P75" s="99">
        <f ca="1">O$75*(1+P$218)*(1+SUMPRODUCT(Popn!P$204:P$214,Tracks!$H$91:$H$101)+SUMPRODUCT(Popn!P$215:P$225,Tracks!$I$91:$I$101))</f>
        <v>4.2344100036564738</v>
      </c>
      <c r="Q75" s="99">
        <f ca="1">P$75*(1+Q$218)*(1+SUMPRODUCT(Popn!Q$204:Q$214,Tracks!$H$91:$H$101)+SUMPRODUCT(Popn!Q$215:Q$225,Tracks!$I$91:$I$101))</f>
        <v>4.3332001633225312</v>
      </c>
      <c r="R75" s="99">
        <f ca="1">Q$75*(1+R$218)*(1+SUMPRODUCT(Popn!R$204:R$214,Tracks!$H$91:$H$101)+SUMPRODUCT(Popn!R$215:R$225,Tracks!$I$91:$I$101))</f>
        <v>4.4324194348157091</v>
      </c>
      <c r="S75" s="99">
        <f ca="1">R$75*(1+S$218)*(1+SUMPRODUCT(Popn!S$204:S$214,Tracks!$H$91:$H$101)+SUMPRODUCT(Popn!S$215:S$225,Tracks!$I$91:$I$101))</f>
        <v>4.5328677553697929</v>
      </c>
      <c r="T75" s="99">
        <f ca="1">S$75*(1+T$218)*(1+SUMPRODUCT(Popn!T$204:T$214,Tracks!$H$91:$H$101)+SUMPRODUCT(Popn!T$215:T$225,Tracks!$I$91:$I$101))</f>
        <v>4.6345991447585222</v>
      </c>
    </row>
    <row r="76" spans="1:20" x14ac:dyDescent="0.2">
      <c r="A76" s="258" t="s">
        <v>346</v>
      </c>
      <c r="B76" s="54"/>
      <c r="C76" s="99"/>
      <c r="D76" s="280">
        <f>Data!C$40-SUM(D$73:D$75)</f>
        <v>6.1720000000000006</v>
      </c>
      <c r="E76" s="280">
        <f>Data!D$40-SUM(E$73:E$75)</f>
        <v>6.7949999999999982</v>
      </c>
      <c r="F76" s="186">
        <f>Data!E$40-SUM(F$73:F$75)</f>
        <v>7.5489999999999977</v>
      </c>
      <c r="G76" s="186">
        <f>Data!F$40-SUM(G$73:G$75)</f>
        <v>7.7689999999999984</v>
      </c>
      <c r="H76" s="186">
        <f>Data!G$40-SUM(H$73:H$75)</f>
        <v>7.9210000000000012</v>
      </c>
      <c r="I76" s="186">
        <f>Data!H$40-SUM(I$73:I$75)</f>
        <v>8.0859999999999985</v>
      </c>
      <c r="J76" s="186">
        <f>Data!I$40-SUM(J$73:J$75)</f>
        <v>8.2910000000000021</v>
      </c>
      <c r="K76" s="107">
        <f ca="1">J$76*(1+K$218)*(1+AVERAGE(Popn!K$197,Popn!K$202))</f>
        <v>8.4938029033537319</v>
      </c>
      <c r="L76" s="107">
        <f ca="1">K$76*(1+L$218)*(1+AVERAGE(Popn!L$197,Popn!L$202))</f>
        <v>8.6997711864672276</v>
      </c>
      <c r="M76" s="107">
        <f ca="1">L$76*(1+M$218)*(1+AVERAGE(Popn!M$197,Popn!M$202))</f>
        <v>8.9130303308407566</v>
      </c>
      <c r="N76" s="107">
        <f ca="1">M$76*(1+N$218)*(1+AVERAGE(Popn!N$197,Popn!N$202))</f>
        <v>9.1364034669429053</v>
      </c>
      <c r="O76" s="107">
        <f ca="1">N$76*(1+O$218)*(1+AVERAGE(Popn!O$197,Popn!O$202))</f>
        <v>9.3634834900883064</v>
      </c>
      <c r="P76" s="107">
        <f ca="1">O$76*(1+P$218)*(1+AVERAGE(Popn!P$197,Popn!P$202))</f>
        <v>9.5989148223534588</v>
      </c>
      <c r="Q76" s="107">
        <f ca="1">P$76*(1+Q$218)*(1+AVERAGE(Popn!Q$197,Popn!Q$202))</f>
        <v>9.8320522263478516</v>
      </c>
      <c r="R76" s="107">
        <f ca="1">Q$76*(1+R$218)*(1+AVERAGE(Popn!R$197,Popn!R$202))</f>
        <v>10.073835206507214</v>
      </c>
      <c r="S76" s="107">
        <f ca="1">R$76*(1+S$218)*(1+AVERAGE(Popn!S$197,Popn!S$202))</f>
        <v>10.329629591262954</v>
      </c>
      <c r="T76" s="107">
        <f ca="1">S$76*(1+T$218)*(1+AVERAGE(Popn!T$197,Popn!T$202))</f>
        <v>10.588592065839711</v>
      </c>
    </row>
    <row r="77" spans="1:20" x14ac:dyDescent="0.2">
      <c r="A77" s="43" t="s">
        <v>689</v>
      </c>
      <c r="B77" s="54"/>
      <c r="C77" s="99"/>
      <c r="D77" s="96">
        <f t="shared" ref="D77:T77" si="38">SUM(D$73:D$76)</f>
        <v>16.768000000000001</v>
      </c>
      <c r="E77" s="96">
        <f t="shared" si="38"/>
        <v>17.876999999999999</v>
      </c>
      <c r="F77" s="187">
        <f t="shared" si="38"/>
        <v>19.212999999999997</v>
      </c>
      <c r="G77" s="187">
        <f t="shared" si="38"/>
        <v>20.309999999999999</v>
      </c>
      <c r="H77" s="187">
        <f t="shared" si="38"/>
        <v>21.196000000000002</v>
      </c>
      <c r="I77" s="187">
        <f t="shared" si="38"/>
        <v>22.093</v>
      </c>
      <c r="J77" s="187">
        <f t="shared" si="38"/>
        <v>22.893000000000001</v>
      </c>
      <c r="K77" s="101">
        <f t="shared" ca="1" si="38"/>
        <v>23.892381040100314</v>
      </c>
      <c r="L77" s="101">
        <f t="shared" ca="1" si="38"/>
        <v>24.93866140216614</v>
      </c>
      <c r="M77" s="101">
        <f t="shared" ca="1" si="38"/>
        <v>26.016271250676006</v>
      </c>
      <c r="N77" s="101">
        <f t="shared" ca="1" si="38"/>
        <v>27.146290420130413</v>
      </c>
      <c r="O77" s="101">
        <f t="shared" ca="1" si="38"/>
        <v>28.336871014817692</v>
      </c>
      <c r="P77" s="101">
        <f t="shared" ca="1" si="38"/>
        <v>29.595759830307124</v>
      </c>
      <c r="Q77" s="101">
        <f t="shared" ca="1" si="38"/>
        <v>30.910591076188634</v>
      </c>
      <c r="R77" s="101">
        <f t="shared" ca="1" si="38"/>
        <v>32.368935323415776</v>
      </c>
      <c r="S77" s="101">
        <f t="shared" ca="1" si="38"/>
        <v>33.910969425711585</v>
      </c>
      <c r="T77" s="101">
        <f t="shared" ca="1" si="38"/>
        <v>35.522185243352325</v>
      </c>
    </row>
    <row r="78" spans="1:20" x14ac:dyDescent="0.2">
      <c r="A78" s="47" t="s">
        <v>347</v>
      </c>
      <c r="B78" s="135"/>
      <c r="C78" s="99"/>
      <c r="D78" s="94">
        <f>Data!C$112</f>
        <v>3.665</v>
      </c>
      <c r="E78" s="94">
        <f>Data!D$112</f>
        <v>4.3070000000000004</v>
      </c>
      <c r="F78" s="142">
        <f>Data!E$112</f>
        <v>4.9420000000000002</v>
      </c>
      <c r="G78" s="142">
        <f>Data!F$112</f>
        <v>5.1340000000000003</v>
      </c>
      <c r="H78" s="142">
        <f>Data!G$112</f>
        <v>5.4729999999999999</v>
      </c>
      <c r="I78" s="142">
        <f>Data!H$112</f>
        <v>5.8490000000000002</v>
      </c>
      <c r="J78" s="142">
        <f>Data!I$112</f>
        <v>6.218</v>
      </c>
      <c r="K78" s="99">
        <f t="shared" ref="K78:T78" ca="1" si="39">J$78+SUM(K$128-J$128,K$133,K$134)-SUM(J$128-I$128,J$133,J$134)</f>
        <v>6.5099680959094801</v>
      </c>
      <c r="L78" s="99">
        <f t="shared" ca="1" si="39"/>
        <v>6.8165753316902187</v>
      </c>
      <c r="M78" s="99">
        <f t="shared" ca="1" si="39"/>
        <v>7.1354539727678779</v>
      </c>
      <c r="N78" s="99">
        <f t="shared" ca="1" si="39"/>
        <v>7.4611424483413673</v>
      </c>
      <c r="O78" s="99">
        <f t="shared" ca="1" si="39"/>
        <v>7.7825093298544878</v>
      </c>
      <c r="P78" s="99">
        <f t="shared" ca="1" si="39"/>
        <v>8.1150972711594882</v>
      </c>
      <c r="Q78" s="99">
        <f t="shared" ca="1" si="39"/>
        <v>8.4596749701593303</v>
      </c>
      <c r="R78" s="99">
        <f t="shared" ca="1" si="39"/>
        <v>8.8158724471418743</v>
      </c>
      <c r="S78" s="99">
        <f t="shared" ca="1" si="39"/>
        <v>9.186539364907901</v>
      </c>
      <c r="T78" s="99">
        <f t="shared" ca="1" si="39"/>
        <v>9.5680422973082724</v>
      </c>
    </row>
    <row r="79" spans="1:20" x14ac:dyDescent="0.2">
      <c r="A79" s="259" t="s">
        <v>850</v>
      </c>
      <c r="B79" s="135"/>
      <c r="C79" s="99"/>
      <c r="D79" s="280">
        <f>Data!C$113</f>
        <v>0.60399999999999998</v>
      </c>
      <c r="E79" s="280">
        <f>Data!D$113</f>
        <v>0.67500000000000004</v>
      </c>
      <c r="F79" s="186">
        <f>Data!E$113</f>
        <v>0.71599999999999997</v>
      </c>
      <c r="G79" s="186">
        <f>Data!F$113</f>
        <v>0.74099999999999999</v>
      </c>
      <c r="H79" s="186">
        <f>Data!G$113</f>
        <v>0.78</v>
      </c>
      <c r="I79" s="186">
        <f>Data!H$113</f>
        <v>0.82199999999999995</v>
      </c>
      <c r="J79" s="186">
        <f>Data!I$113</f>
        <v>0.86099999999999999</v>
      </c>
      <c r="K79" s="107">
        <f ca="1">J$79*K$78/J$78</f>
        <v>0.90142851890930564</v>
      </c>
      <c r="L79" s="107">
        <f t="shared" ref="L79:T79" ca="1" si="40">K$79*L$78/K$78</f>
        <v>0.94388410430769998</v>
      </c>
      <c r="M79" s="107">
        <f t="shared" ca="1" si="40"/>
        <v>0.98803889844855952</v>
      </c>
      <c r="N79" s="107">
        <f t="shared" ca="1" si="40"/>
        <v>1.0331366432971885</v>
      </c>
      <c r="O79" s="107">
        <f t="shared" ca="1" si="40"/>
        <v>1.0776359815060654</v>
      </c>
      <c r="P79" s="107">
        <f t="shared" ca="1" si="40"/>
        <v>1.1236890882065487</v>
      </c>
      <c r="Q79" s="107">
        <f t="shared" ca="1" si="40"/>
        <v>1.1714024041986464</v>
      </c>
      <c r="R79" s="107">
        <f t="shared" ca="1" si="40"/>
        <v>1.2207246987759977</v>
      </c>
      <c r="S79" s="107">
        <f t="shared" ca="1" si="40"/>
        <v>1.2720505617860569</v>
      </c>
      <c r="T79" s="107">
        <f t="shared" ca="1" si="40"/>
        <v>1.3248768764847896</v>
      </c>
    </row>
    <row r="80" spans="1:20" x14ac:dyDescent="0.2">
      <c r="A80" s="43" t="s">
        <v>646</v>
      </c>
      <c r="B80" s="54"/>
      <c r="C80" s="99"/>
      <c r="D80" s="96">
        <f t="shared" ref="D80:T80" si="41">SUM(D$77,D$78,-D$79)</f>
        <v>19.829000000000001</v>
      </c>
      <c r="E80" s="96">
        <f t="shared" si="41"/>
        <v>21.508999999999997</v>
      </c>
      <c r="F80" s="187">
        <f t="shared" si="41"/>
        <v>23.438999999999997</v>
      </c>
      <c r="G80" s="187">
        <f t="shared" si="41"/>
        <v>24.702999999999999</v>
      </c>
      <c r="H80" s="187">
        <f t="shared" si="41"/>
        <v>25.888999999999999</v>
      </c>
      <c r="I80" s="187">
        <f t="shared" si="41"/>
        <v>27.12</v>
      </c>
      <c r="J80" s="187">
        <f t="shared" si="41"/>
        <v>28.25</v>
      </c>
      <c r="K80" s="101">
        <f t="shared" ca="1" si="41"/>
        <v>29.500920617100491</v>
      </c>
      <c r="L80" s="101">
        <f t="shared" ca="1" si="41"/>
        <v>30.811352629548658</v>
      </c>
      <c r="M80" s="101">
        <f t="shared" ca="1" si="41"/>
        <v>32.163686324995325</v>
      </c>
      <c r="N80" s="101">
        <f t="shared" ca="1" si="41"/>
        <v>33.574296225174592</v>
      </c>
      <c r="O80" s="101">
        <f t="shared" ca="1" si="41"/>
        <v>35.041744363166117</v>
      </c>
      <c r="P80" s="101">
        <f t="shared" ca="1" si="41"/>
        <v>36.587168013260069</v>
      </c>
      <c r="Q80" s="101">
        <f t="shared" ca="1" si="41"/>
        <v>38.19886364214932</v>
      </c>
      <c r="R80" s="101">
        <f t="shared" ca="1" si="41"/>
        <v>39.964083071781658</v>
      </c>
      <c r="S80" s="101">
        <f t="shared" ca="1" si="41"/>
        <v>41.825458228833426</v>
      </c>
      <c r="T80" s="101">
        <f t="shared" ca="1" si="41"/>
        <v>43.765350664175813</v>
      </c>
    </row>
    <row r="81" spans="1:20" x14ac:dyDescent="0.2">
      <c r="A81" s="147" t="s">
        <v>655</v>
      </c>
      <c r="C81" s="99"/>
      <c r="D81" s="94"/>
      <c r="E81" s="94"/>
      <c r="F81" s="180"/>
      <c r="G81" s="180"/>
      <c r="H81" s="180"/>
      <c r="I81" s="180"/>
      <c r="J81" s="180"/>
      <c r="T81" s="99"/>
    </row>
    <row r="82" spans="1:20" x14ac:dyDescent="0.2">
      <c r="A82" s="47" t="s">
        <v>235</v>
      </c>
      <c r="C82" s="99"/>
      <c r="D82" s="282">
        <f>Data!C$212</f>
        <v>832.54</v>
      </c>
      <c r="E82" s="282">
        <f>Data!D$212</f>
        <v>861.55</v>
      </c>
      <c r="F82" s="275">
        <f>Data!E$212</f>
        <v>906.02</v>
      </c>
      <c r="G82" s="275">
        <f>Data!F$212</f>
        <v>944</v>
      </c>
      <c r="H82" s="275">
        <f>Data!G$212</f>
        <v>978.23</v>
      </c>
      <c r="I82" s="275">
        <f>Data!H$212</f>
        <v>1007.55</v>
      </c>
      <c r="J82" s="275">
        <f>Data!I$212</f>
        <v>1037.4100000000001</v>
      </c>
      <c r="K82" s="276">
        <f ca="1">J$82*(1+K$231)*(1+K$218)</f>
        <v>1074.030573</v>
      </c>
      <c r="L82" s="276">
        <f t="shared" ref="L82:T82" ca="1" si="42">K$82*(1+L$231)*(1+L$218)</f>
        <v>1111.9438522268999</v>
      </c>
      <c r="M82" s="276">
        <f t="shared" ca="1" si="42"/>
        <v>1151.1954702105093</v>
      </c>
      <c r="N82" s="276">
        <f t="shared" ca="1" si="42"/>
        <v>1191.8326703089401</v>
      </c>
      <c r="O82" s="276">
        <f t="shared" ca="1" si="42"/>
        <v>1233.9043635708456</v>
      </c>
      <c r="P82" s="276">
        <f t="shared" ca="1" si="42"/>
        <v>1277.4611876048964</v>
      </c>
      <c r="Q82" s="276">
        <f t="shared" ca="1" si="42"/>
        <v>1322.5555675273492</v>
      </c>
      <c r="R82" s="276">
        <f t="shared" ca="1" si="42"/>
        <v>1369.2417790610646</v>
      </c>
      <c r="S82" s="276">
        <f t="shared" ca="1" si="42"/>
        <v>1417.57601386192</v>
      </c>
      <c r="T82" s="276">
        <f t="shared" ca="1" si="42"/>
        <v>1467.6164471512457</v>
      </c>
    </row>
    <row r="83" spans="1:20" x14ac:dyDescent="0.2">
      <c r="A83" s="47" t="s">
        <v>236</v>
      </c>
      <c r="C83" s="99"/>
      <c r="D83" s="282">
        <f>Data!C$212-Data!C$185</f>
        <v>186.71999999999991</v>
      </c>
      <c r="E83" s="282">
        <f>Data!D$212-Data!D$185</f>
        <v>197.52999999999997</v>
      </c>
      <c r="F83" s="275">
        <f>Data!E$212-Data!E$185</f>
        <v>180.05999999999995</v>
      </c>
      <c r="G83" s="275">
        <f>Data!F$212-Data!F$185</f>
        <v>188.57000000000005</v>
      </c>
      <c r="H83" s="275">
        <f>Data!G$212-Data!G$185</f>
        <v>191.24</v>
      </c>
      <c r="I83" s="275">
        <f>Data!H$212-Data!H$185</f>
        <v>201.21999999999991</v>
      </c>
      <c r="J83" s="275">
        <f>Data!I$212-Data!I$185</f>
        <v>211.54000000000008</v>
      </c>
      <c r="K83" s="276">
        <f ca="1">J$83*(1+IF(AND(OFFSET(Scenarios!$A$24,0,$C$1)="YES",MID(OFFSET(Scenarios!$A$26,0,$C$1),6,2)&gt;=MID(K$3,4,2)),IF(OFFSET(Scenarios!$A$29,0,$C$1)="Inflation",1,OFFSET(Scenarios!$A$25,0,$C$1)),1)*K$231)*(1+IF(AND(OFFSET(Scenarios!$A$24,0,$C$1)="YES",MID(OFFSET(Scenarios!$A$26,0,$C$1),6,2)&gt;=MID(K$3,4,2)),IF(OFFSET(Scenarios!$A$29,0,$C$1)="Wage",1,OFFSET(Scenarios!$A$25,0,$C$1)),1)*K$218)</f>
        <v>221.65092449500008</v>
      </c>
      <c r="L83" s="276">
        <f ca="1">K$83*(1+IF(AND(OFFSET(Scenarios!$A$24,0,$C$1)="YES",MID(OFFSET(Scenarios!$A$26,0,$C$1),6,2)&gt;=MID(L$3,4,2)),IF(OFFSET(Scenarios!$A$29,0,$C$1)="Inflation",1,OFFSET(Scenarios!$A$25,0,$C$1)),1)*L$231)*(1+IF(AND(OFFSET(Scenarios!$A$24,0,$C$1)="YES",MID(OFFSET(Scenarios!$A$26,0,$C$1),6,2)&gt;=MID(L$3,4,2)),IF(OFFSET(Scenarios!$A$29,0,$C$1)="Wage",1,OFFSET(Scenarios!$A$25,0,$C$1)),1)*L$218)</f>
        <v>232.24511832035648</v>
      </c>
      <c r="M83" s="276">
        <f ca="1">L$83*(1+IF(AND(OFFSET(Scenarios!$A$24,0,$C$1)="YES",MID(OFFSET(Scenarios!$A$26,0,$C$1),6,2)&gt;=MID(M$3,4,2)),IF(OFFSET(Scenarios!$A$29,0,$C$1)="Inflation",1,OFFSET(Scenarios!$A$25,0,$C$1)),1)*M$231)*(1+IF(AND(OFFSET(Scenarios!$A$24,0,$C$1)="YES",MID(OFFSET(Scenarios!$A$26,0,$C$1),6,2)&gt;=MID(M$3,4,2)),IF(OFFSET(Scenarios!$A$29,0,$C$1)="Wage",1,OFFSET(Scenarios!$A$25,0,$C$1)),1)*M$218)</f>
        <v>243.34568017943499</v>
      </c>
      <c r="N83" s="276">
        <f ca="1">M$83*(1+IF(AND(OFFSET(Scenarios!$A$24,0,$C$1)="YES",MID(OFFSET(Scenarios!$A$26,0,$C$1),6,2)&gt;=MID(N$3,4,2)),IF(OFFSET(Scenarios!$A$29,0,$C$1)="Inflation",1,OFFSET(Scenarios!$A$25,0,$C$1)),1)*N$231)*(1+IF(AND(OFFSET(Scenarios!$A$24,0,$C$1)="YES",MID(OFFSET(Scenarios!$A$26,0,$C$1),6,2)&gt;=MID(N$3,4,2)),IF(OFFSET(Scenarios!$A$29,0,$C$1)="Wage",1,OFFSET(Scenarios!$A$25,0,$C$1)),1)*N$218)</f>
        <v>254.97681281855142</v>
      </c>
      <c r="O83" s="276">
        <f ca="1">N$83*(1+IF(AND(OFFSET(Scenarios!$A$24,0,$C$1)="YES",MID(OFFSET(Scenarios!$A$26,0,$C$1),6,2)&gt;=MID(O$3,4,2)),IF(OFFSET(Scenarios!$A$29,0,$C$1)="Inflation",1,OFFSET(Scenarios!$A$25,0,$C$1)),1)*O$231)*(1+IF(AND(OFFSET(Scenarios!$A$24,0,$C$1)="YES",MID(OFFSET(Scenarios!$A$26,0,$C$1),6,2)&gt;=MID(O$3,4,2)),IF(OFFSET(Scenarios!$A$29,0,$C$1)="Wage",1,OFFSET(Scenarios!$A$25,0,$C$1)),1)*O$218)</f>
        <v>267.16387579663649</v>
      </c>
      <c r="P83" s="276">
        <f ca="1">O$83*(1+IF(AND(OFFSET(Scenarios!$A$24,0,$C$1)="YES",MID(OFFSET(Scenarios!$A$26,0,$C$1),6,2)&gt;=MID(P$3,4,2)),IF(OFFSET(Scenarios!$A$29,0,$C$1)="Inflation",1,OFFSET(Scenarios!$A$25,0,$C$1)),1)*P$231)*(1+IF(AND(OFFSET(Scenarios!$A$24,0,$C$1)="YES",MID(OFFSET(Scenarios!$A$26,0,$C$1),6,2)&gt;=MID(P$3,4,2)),IF(OFFSET(Scenarios!$A$29,0,$C$1)="Wage",1,OFFSET(Scenarios!$A$25,0,$C$1)),1)*P$218)</f>
        <v>279.93344077711936</v>
      </c>
      <c r="Q83" s="276">
        <f ca="1">P$83*(1+IF(AND(OFFSET(Scenarios!$A$24,0,$C$1)="YES",MID(OFFSET(Scenarios!$A$26,0,$C$1),6,2)&gt;=MID(Q$3,4,2)),IF(OFFSET(Scenarios!$A$29,0,$C$1)="Inflation",1,OFFSET(Scenarios!$A$25,0,$C$1)),1)*Q$231)*(1+IF(AND(OFFSET(Scenarios!$A$24,0,$C$1)="YES",MID(OFFSET(Scenarios!$A$26,0,$C$1),6,2)&gt;=MID(Q$3,4,2)),IF(OFFSET(Scenarios!$A$29,0,$C$1)="Wage",1,OFFSET(Scenarios!$A$25,0,$C$1)),1)*Q$218)</f>
        <v>293.31334946258312</v>
      </c>
      <c r="R83" s="276">
        <f ca="1">Q$83*(1+IF(AND(OFFSET(Scenarios!$A$24,0,$C$1)="YES",MID(OFFSET(Scenarios!$A$26,0,$C$1),6,2)&gt;=MID(R$3,4,2)),IF(OFFSET(Scenarios!$A$29,0,$C$1)="Inflation",1,OFFSET(Scenarios!$A$25,0,$C$1)),1)*R$231)*(1+IF(AND(OFFSET(Scenarios!$A$24,0,$C$1)="YES",MID(OFFSET(Scenarios!$A$26,0,$C$1),6,2)&gt;=MID(R$3,4,2)),IF(OFFSET(Scenarios!$A$29,0,$C$1)="Wage",1,OFFSET(Scenarios!$A$25,0,$C$1)),1)*R$218)</f>
        <v>303.66731069861225</v>
      </c>
      <c r="S83" s="276">
        <f ca="1">R$83*(1+IF(AND(OFFSET(Scenarios!$A$24,0,$C$1)="YES",MID(OFFSET(Scenarios!$A$26,0,$C$1),6,2)&gt;=MID(S$3,4,2)),IF(OFFSET(Scenarios!$A$29,0,$C$1)="Inflation",1,OFFSET(Scenarios!$A$25,0,$C$1)),1)*S$231)*(1+IF(AND(OFFSET(Scenarios!$A$24,0,$C$1)="YES",MID(OFFSET(Scenarios!$A$26,0,$C$1),6,2)&gt;=MID(S$3,4,2)),IF(OFFSET(Scenarios!$A$29,0,$C$1)="Wage",1,OFFSET(Scenarios!$A$25,0,$C$1)),1)*S$218)</f>
        <v>314.38676676627324</v>
      </c>
      <c r="T83" s="276">
        <f ca="1">S$83*(1+IF(AND(OFFSET(Scenarios!$A$24,0,$C$1)="YES",MID(OFFSET(Scenarios!$A$26,0,$C$1),6,2)&gt;=MID(T$3,4,2)),IF(OFFSET(Scenarios!$A$29,0,$C$1)="Inflation",1,OFFSET(Scenarios!$A$25,0,$C$1)),1)*T$231)*(1+IF(AND(OFFSET(Scenarios!$A$24,0,$C$1)="YES",MID(OFFSET(Scenarios!$A$26,0,$C$1),6,2)&gt;=MID(T$3,4,2)),IF(OFFSET(Scenarios!$A$29,0,$C$1)="Wage",1,OFFSET(Scenarios!$A$25,0,$C$1)),1)*T$218)</f>
        <v>325.48461963312263</v>
      </c>
    </row>
    <row r="84" spans="1:20" x14ac:dyDescent="0.2">
      <c r="A84" s="47" t="s">
        <v>166</v>
      </c>
      <c r="B84" s="62"/>
      <c r="C84" s="99"/>
      <c r="D84" s="282">
        <f>Data!C$186</f>
        <v>213.12</v>
      </c>
      <c r="E84" s="282">
        <f>Data!D$186</f>
        <v>219.9</v>
      </c>
      <c r="F84" s="275">
        <f>Data!E$186</f>
        <v>239.75</v>
      </c>
      <c r="G84" s="275">
        <f>Data!F$186</f>
        <v>249.29</v>
      </c>
      <c r="H84" s="275">
        <f>Data!G$186</f>
        <v>259.70999999999998</v>
      </c>
      <c r="I84" s="275">
        <f>Data!H$186</f>
        <v>266.08999999999997</v>
      </c>
      <c r="J84" s="275">
        <f>Data!I$186</f>
        <v>272.54000000000002</v>
      </c>
      <c r="K84" s="276">
        <f ca="1">IF(OFFSET(Scenarios!$A$40,0,$C$1)="Yes", IF((2*J$84*(1+K$218))/(K$82-K$83) &gt; OFFSET(Scenarios!$A$41,0,$C$1), J$84*(1+K$218), 0.5*(K$82-K$83)*OFFSET(Scenarios!$A$41,0,$C$1)), J$84*(1+K$218))</f>
        <v>281.28528400664999</v>
      </c>
      <c r="L84" s="276">
        <f ca="1">IF(OFFSET(Scenarios!$A$40,0,$C$1)="Yes", IF((2*K$84*(1+L$218))/(L$82-L$83) &gt; OFFSET(Scenarios!$A$41,0,$C$1), K$84*(1+L$218), 0.5*(L$82-L$83)*OFFSET(Scenarios!$A$41,0,$C$1)), K$84*(1+L$218))</f>
        <v>290.30058218915934</v>
      </c>
      <c r="M84" s="276">
        <f ca="1">IF(OFFSET(Scenarios!$A$40,0,$C$1)="Yes", IF((2*L$84*(1+M$218))/(M$82-M$83) &gt; OFFSET(Scenarios!$A$41,0,$C$1), L$84*(1+M$218), 0.5*(M$82-M$83)*OFFSET(Scenarios!$A$41,0,$C$1)), L$84*(1+M$218))</f>
        <v>299.59043071025451</v>
      </c>
      <c r="N84" s="276">
        <f ca="1">IF(OFFSET(Scenarios!$A$40,0,$C$1)="Yes", IF((2*M$84*(1+N$218))/(N$82-N$83) &gt; OFFSET(Scenarios!$A$41,0,$C$1), M$84*(1+N$218), 0.5*(N$82-N$83)*OFFSET(Scenarios!$A$41,0,$C$1)), M$84*(1+N$218))</f>
        <v>309.16243297182825</v>
      </c>
      <c r="O84" s="276">
        <f ca="1">IF(OFFSET(Scenarios!$A$40,0,$C$1)="Yes", IF((2*N$84*(1+O$218))/(O$82-O$83) &gt; OFFSET(Scenarios!$A$41,0,$C$1), N$84*(1+O$218), 0.5*(O$82-O$83)*OFFSET(Scenarios!$A$41,0,$C$1)), N$84*(1+O$218))</f>
        <v>319.024360965489</v>
      </c>
      <c r="P84" s="276">
        <f ca="1">IF(OFFSET(Scenarios!$A$40,0,$C$1)="Yes", IF((2*O$84*(1+P$218))/(P$82-P$83) &gt; OFFSET(Scenarios!$A$41,0,$C$1), O$84*(1+P$218), 0.5*(P$82-P$83)*OFFSET(Scenarios!$A$41,0,$C$1)), O$84*(1+P$218))</f>
        <v>329.18415645316645</v>
      </c>
      <c r="Q84" s="276">
        <f ca="1">IF(OFFSET(Scenarios!$A$40,0,$C$1)="Yes", IF((2*P$84*(1+Q$218))/(Q$82-Q$83) &gt; OFFSET(Scenarios!$A$41,0,$C$1), P$84*(1+Q$218), 0.5*(Q$82-Q$83)*OFFSET(Scenarios!$A$41,0,$C$1)), P$84*(1+Q$218))</f>
        <v>339.64993196137283</v>
      </c>
      <c r="R84" s="276">
        <f ca="1">IF(OFFSET(Scenarios!$A$40,0,$C$1)="Yes", IF((2*Q$84*(1+R$218))/(R$82-R$83) &gt; OFFSET(Scenarios!$A$41,0,$C$1), Q$84*(1+R$218), 0.5*(R$82-R$83)*OFFSET(Scenarios!$A$41,0,$C$1)), Q$84*(1+R$218))</f>
        <v>351.63957455960929</v>
      </c>
      <c r="S84" s="276">
        <f ca="1">IF(OFFSET(Scenarios!$A$40,0,$C$1)="Yes", IF((2*R$84*(1+S$218))/(S$82-S$83) &gt; OFFSET(Scenarios!$A$41,0,$C$1), R$84*(1+S$218), 0.5*(S$82-S$83)*OFFSET(Scenarios!$A$41,0,$C$1)), R$84*(1+S$218))</f>
        <v>364.05245154156347</v>
      </c>
      <c r="T84" s="276">
        <f ca="1">IF(OFFSET(Scenarios!$A$40,0,$C$1)="Yes", IF((2*S$84*(1+T$218))/(T$82-T$83) &gt; OFFSET(Scenarios!$A$41,0,$C$1), S$84*(1+T$218), 0.5*(T$82-T$83)*OFFSET(Scenarios!$A$41,0,$C$1)), S$84*(1+T$218))</f>
        <v>376.90350308098056</v>
      </c>
    </row>
    <row r="85" spans="1:20" x14ac:dyDescent="0.2">
      <c r="A85" s="47" t="s">
        <v>260</v>
      </c>
      <c r="B85" s="62"/>
      <c r="C85" s="99"/>
      <c r="D85" s="94">
        <f>Data!C$187</f>
        <v>1.268</v>
      </c>
      <c r="E85" s="94">
        <f>Data!D$187</f>
        <v>1.3819999999999999</v>
      </c>
      <c r="F85" s="180">
        <f>Data!E$187</f>
        <v>1.292</v>
      </c>
      <c r="G85" s="180">
        <f>Data!F$187</f>
        <v>1.3420000000000001</v>
      </c>
      <c r="H85" s="180">
        <f>Data!G$187</f>
        <v>1.4590000000000001</v>
      </c>
      <c r="I85" s="180">
        <f>Data!H$187</f>
        <v>1.5840000000000001</v>
      </c>
      <c r="J85" s="180">
        <f>Data!I$187</f>
        <v>1.7</v>
      </c>
      <c r="K85" s="99">
        <f ca="1">J$85*K$73/J$73</f>
        <v>1.8160695875666686</v>
      </c>
      <c r="L85" s="99">
        <f t="shared" ref="L85:T85" ca="1" si="43">K$85*L$73/K$73</f>
        <v>1.9391689114627029</v>
      </c>
      <c r="M85" s="99">
        <f t="shared" ca="1" si="43"/>
        <v>2.0658909060602633</v>
      </c>
      <c r="N85" s="99">
        <f t="shared" ca="1" si="43"/>
        <v>2.1996964245791735</v>
      </c>
      <c r="O85" s="99">
        <f t="shared" ca="1" si="43"/>
        <v>2.3398580983501747</v>
      </c>
      <c r="P85" s="99">
        <f t="shared" ca="1" si="43"/>
        <v>2.4900688509241435</v>
      </c>
      <c r="Q85" s="99">
        <f t="shared" ca="1" si="43"/>
        <v>2.6497472362215011</v>
      </c>
      <c r="R85" s="99">
        <f t="shared" ca="1" si="43"/>
        <v>2.8316622863940153</v>
      </c>
      <c r="S85" s="99">
        <f t="shared" ca="1" si="43"/>
        <v>3.0248410449957639</v>
      </c>
      <c r="T85" s="99">
        <f t="shared" ca="1" si="43"/>
        <v>3.2287240937794053</v>
      </c>
    </row>
    <row r="86" spans="1:20" x14ac:dyDescent="0.2">
      <c r="A86" s="147" t="s">
        <v>656</v>
      </c>
      <c r="B86" s="54"/>
      <c r="C86" s="99"/>
      <c r="D86" s="94">
        <f>Data!C$184</f>
        <v>52</v>
      </c>
      <c r="E86" s="94">
        <f>Data!D$184</f>
        <v>37</v>
      </c>
      <c r="F86" s="180">
        <f>Data!E$184</f>
        <v>44</v>
      </c>
      <c r="G86" s="180">
        <f>Data!F$184</f>
        <v>60</v>
      </c>
      <c r="H86" s="180">
        <f>Data!G$184</f>
        <v>63</v>
      </c>
      <c r="I86" s="180">
        <f>Data!H$184</f>
        <v>57</v>
      </c>
      <c r="J86" s="180">
        <f>Data!I$184</f>
        <v>50</v>
      </c>
      <c r="K86" s="99">
        <f ca="1">J$86*(K$223*K$226)/(J$223*J$226)</f>
        <v>49.386159619474874</v>
      </c>
      <c r="L86" s="99">
        <f t="shared" ref="L86:T86" ca="1" si="44">K$86*(L$223*L$226)/(K$223*K$226)</f>
        <v>48.765307189599071</v>
      </c>
      <c r="M86" s="99">
        <f t="shared" ca="1" si="44"/>
        <v>48.115997415113348</v>
      </c>
      <c r="N86" s="99">
        <f t="shared" ca="1" si="44"/>
        <v>47.517406306346359</v>
      </c>
      <c r="O86" s="99">
        <f t="shared" ca="1" si="44"/>
        <v>47.839245048401409</v>
      </c>
      <c r="P86" s="99">
        <f t="shared" ca="1" si="44"/>
        <v>48.149391191084597</v>
      </c>
      <c r="Q86" s="99">
        <f t="shared" ca="1" si="44"/>
        <v>48.450368581512151</v>
      </c>
      <c r="R86" s="99">
        <f t="shared" ca="1" si="44"/>
        <v>48.738122287117768</v>
      </c>
      <c r="S86" s="99">
        <f t="shared" ca="1" si="44"/>
        <v>49.026035851231377</v>
      </c>
      <c r="T86" s="99">
        <f t="shared" ca="1" si="44"/>
        <v>49.29270861219419</v>
      </c>
    </row>
    <row r="87" spans="1:20" x14ac:dyDescent="0.2">
      <c r="A87" s="44"/>
      <c r="B87" s="58"/>
      <c r="C87" s="99"/>
      <c r="D87" s="94"/>
      <c r="E87" s="9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</row>
    <row r="88" spans="1:20" x14ac:dyDescent="0.2">
      <c r="A88" s="147" t="s">
        <v>657</v>
      </c>
      <c r="B88" s="103"/>
      <c r="C88" s="99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</row>
    <row r="89" spans="1:20" x14ac:dyDescent="0.2">
      <c r="A89" s="43" t="s">
        <v>175</v>
      </c>
      <c r="B89" s="103"/>
      <c r="C89" s="99"/>
      <c r="D89" s="96">
        <f ca="1">Data!C$42+IF(OFFSET(Scenarios!$A$62,0,$C$1)="Yes",OFFSET(Scenarios!$A$63,0,$C$1)*D$70,0)</f>
        <v>10.355</v>
      </c>
      <c r="E89" s="96">
        <f ca="1">Data!D$42+IF(OFFSET(Scenarios!$A$62,0,$C$1)="Yes",OFFSET(Scenarios!$A$63,0,$C$1)*E$70,0)</f>
        <v>11.297000000000001</v>
      </c>
      <c r="F89" s="187">
        <f ca="1">Data!E$42+IF(OFFSET(Scenarios!$A$62,0,$C$1)="Yes",OFFSET(Scenarios!$A$63,0,$C$1)*F$70,0)</f>
        <v>12.674000000000001</v>
      </c>
      <c r="G89" s="187">
        <f ca="1">Data!F$42+IF(OFFSET(Scenarios!$A$62,0,$C$1)="Yes",OFFSET(Scenarios!$A$63,0,$C$1)*G$70,0)</f>
        <v>12.744</v>
      </c>
      <c r="H89" s="187">
        <f ca="1">Data!G$42+IF(OFFSET(Scenarios!$A$62,0,$C$1)="Yes",OFFSET(Scenarios!$A$63,0,$C$1)*H$70,0)</f>
        <v>12.717000000000001</v>
      </c>
      <c r="I89" s="187">
        <f ca="1">Data!H$42+IF(OFFSET(Scenarios!$A$62,0,$C$1)="Yes",OFFSET(Scenarios!$A$63,0,$C$1)*I$70,0)</f>
        <v>12.712</v>
      </c>
      <c r="J89" s="187">
        <f ca="1">Data!I$42+IF(OFFSET(Scenarios!$A$62,0,$C$1)="Yes",OFFSET(Scenarios!$A$63,0,$C$1)*J$70,0)</f>
        <v>12.766999999999999</v>
      </c>
      <c r="K89" s="101">
        <f ca="1">J$89*SUM(K$91,K$92)/SUM(J$91,J$92)+IF(OFFSET(Scenarios!$A$62,0,$C$1)="Yes",(K$70-J$70*SUM(K$91,K$92)/SUM(J$91,J$92))*OFFSET(Scenarios!$A$63,0,$C$1),0)</f>
        <v>12.973794841627337</v>
      </c>
      <c r="L89" s="101">
        <f ca="1">K$89*SUM(L$91,L$92)/SUM(K$91,K$92)+IF(OFFSET(Scenarios!$A$62,0,$C$1)="Yes",(L$70-K$70*SUM(L$91,L$92)/SUM(K$91,K$92))*OFFSET(Scenarios!$A$63,0,$C$1),0)</f>
        <v>13.190356478792619</v>
      </c>
      <c r="M89" s="101">
        <f ca="1">L$89*SUM(M$91,M$92)/SUM(L$91,L$92)+IF(OFFSET(Scenarios!$A$62,0,$C$1)="Yes",(M$70-L$70*SUM(M$91,M$92)/SUM(L$91,L$92))*OFFSET(Scenarios!$A$63,0,$C$1),0)</f>
        <v>13.415823962632103</v>
      </c>
      <c r="N89" s="101">
        <f ca="1">M$89*SUM(N$91,N$92)/SUM(M$91,M$92)+IF(OFFSET(Scenarios!$A$62,0,$C$1)="Yes",(N$70-M$70*SUM(N$91,N$92)/SUM(M$91,M$92))*OFFSET(Scenarios!$A$63,0,$C$1),0)</f>
        <v>13.649692698515917</v>
      </c>
      <c r="O89" s="101">
        <f ca="1">N$89*SUM(O$91,O$92)/SUM(N$91,N$92)+IF(OFFSET(Scenarios!$A$62,0,$C$1)="Yes",(O$70-N$70*SUM(O$91,O$92)/SUM(N$91,N$92))*OFFSET(Scenarios!$A$63,0,$C$1),0)</f>
        <v>13.875169204323477</v>
      </c>
      <c r="P89" s="101">
        <f ca="1">O$89*SUM(P$91,P$92)/SUM(O$91,O$92)+IF(OFFSET(Scenarios!$A$62,0,$C$1)="Yes",(P$70-O$70*SUM(P$91,P$92)/SUM(O$91,O$92))*OFFSET(Scenarios!$A$63,0,$C$1),0)</f>
        <v>14.107508747008351</v>
      </c>
      <c r="Q89" s="101">
        <f ca="1">P$89*SUM(Q$91,Q$92)/SUM(P$91,P$92)+IF(OFFSET(Scenarios!$A$62,0,$C$1)="Yes",(Q$70-P$70*SUM(Q$91,Q$92)/SUM(P$91,P$92))*OFFSET(Scenarios!$A$63,0,$C$1),0)</f>
        <v>14.348714634110888</v>
      </c>
      <c r="R89" s="101">
        <f ca="1">Q$89*SUM(R$91,R$92)/SUM(Q$91,Q$92)+IF(OFFSET(Scenarios!$A$62,0,$C$1)="Yes",(R$70-Q$70*SUM(R$91,R$92)/SUM(Q$91,Q$92))*OFFSET(Scenarios!$A$63,0,$C$1),0)</f>
        <v>14.602612194667568</v>
      </c>
      <c r="S89" s="101">
        <f ca="1">R$89*SUM(S$91,S$92)/SUM(R$91,R$92)+IF(OFFSET(Scenarios!$A$62,0,$C$1)="Yes",(S$70-R$70*SUM(S$91,S$92)/SUM(R$91,R$92))*OFFSET(Scenarios!$A$63,0,$C$1),0)</f>
        <v>14.872224673984233</v>
      </c>
      <c r="T89" s="101">
        <f ca="1">S$89*SUM(T$91,T$92)/SUM(S$91,S$92)+IF(OFFSET(Scenarios!$A$62,0,$C$1)="Yes",(T$70-S$70*SUM(T$91,T$92)/SUM(S$91,S$92))*OFFSET(Scenarios!$A$63,0,$C$1),0)</f>
        <v>15.127621069035266</v>
      </c>
    </row>
    <row r="90" spans="1:20" x14ac:dyDescent="0.2">
      <c r="A90" s="43" t="s">
        <v>176</v>
      </c>
      <c r="B90" s="103"/>
      <c r="C90" s="99"/>
      <c r="D90" s="96">
        <f ca="1">Data!C$16-Data!C$42+D$89</f>
        <v>10.661</v>
      </c>
      <c r="E90" s="96">
        <f ca="1">Data!D$16-Data!D$42+E$89</f>
        <v>10.808999999999999</v>
      </c>
      <c r="F90" s="187">
        <f ca="1">Data!E$16-Data!E$42+F$89</f>
        <v>11.884</v>
      </c>
      <c r="G90" s="187">
        <f ca="1">Data!F$16-Data!F$42+G$89</f>
        <v>11.874000000000001</v>
      </c>
      <c r="H90" s="187">
        <f ca="1">Data!G$16-Data!G$42+H$89</f>
        <v>11.864000000000001</v>
      </c>
      <c r="I90" s="187">
        <f ca="1">Data!H$16-Data!H$42+I$89</f>
        <v>11.861000000000001</v>
      </c>
      <c r="J90" s="187">
        <f ca="1">Data!I$16-Data!I$42+J$89</f>
        <v>11.917</v>
      </c>
      <c r="K90" s="101">
        <f ca="1">(J$90-J$89)*SUM(K$91,K$92)/SUM(J$91,J$92)+K$89</f>
        <v>12.110026876139498</v>
      </c>
      <c r="L90" s="101">
        <f t="shared" ref="L90:T90" ca="1" si="45">(K$90-K$89)*SUM(L$91,L$92)/SUM(K$91,K$92)+L$89</f>
        <v>12.312170295118012</v>
      </c>
      <c r="M90" s="101">
        <f t="shared" ca="1" si="45"/>
        <v>12.522626628235827</v>
      </c>
      <c r="N90" s="101">
        <f t="shared" ca="1" si="45"/>
        <v>12.740924875711929</v>
      </c>
      <c r="O90" s="101">
        <f t="shared" ca="1" si="45"/>
        <v>12.951389630134166</v>
      </c>
      <c r="P90" s="101">
        <f t="shared" ca="1" si="45"/>
        <v>13.168260494877304</v>
      </c>
      <c r="Q90" s="101">
        <f t="shared" ca="1" si="45"/>
        <v>13.393407401480337</v>
      </c>
      <c r="R90" s="101">
        <f t="shared" ca="1" si="45"/>
        <v>13.630400996620461</v>
      </c>
      <c r="S90" s="101">
        <f t="shared" ca="1" si="45"/>
        <v>13.882063244291542</v>
      </c>
      <c r="T90" s="101">
        <f t="shared" ca="1" si="45"/>
        <v>14.120455884678725</v>
      </c>
    </row>
    <row r="91" spans="1:20" x14ac:dyDescent="0.2">
      <c r="A91" s="147" t="s">
        <v>102</v>
      </c>
      <c r="B91" s="103"/>
      <c r="C91" s="99"/>
      <c r="D91" s="94">
        <f>SUM(SUM(Popn!D$9:D$13)*Tracks!$M$50,SUM(Popn!D$14:D$18)*Tracks!$M$51,SUM(Popn!D$19:D$23)*Tracks!$M$52,SUM(Popn!D$24:D$28)*Tracks!$M$53,SUM(Popn!D$29:D$33)*Tracks!$M$54,SUM(Popn!D$34:D$38)*Tracks!$M$55,SUM(Popn!D$39:D$43)*Tracks!$M$56,SUM(Popn!D$44:D$48)*Tracks!$M$57,SUM(Popn!D$49:D$53)*Tracks!$M$58,SUM(Popn!D$54:D$58)*Tracks!$M$59,SUM(Popn!D$59:D$63)*Tracks!$M$60,SUM(Popn!D$64:D$68)*Tracks!$M$61,SUM(Popn!D$69:D$73)*Tracks!$M$62,SUM(Popn!D$74:D$78)*Tracks!$M$63,SUM(Popn!D$79:D$83)*Tracks!$M$64,SUM(Popn!D$84:D$88)*Tracks!$M$65,SUM(Popn!D$89:D$93)*Tracks!$M$66,SUM(Popn!D$94:D$99)*Tracks!$M$67)/1000000000</f>
        <v>4.3046136455913269</v>
      </c>
      <c r="E91" s="94">
        <f>SUM(SUM(Popn!E$9:E$13)*Tracks!$M$50,SUM(Popn!E$14:E$18)*Tracks!$M$51,SUM(Popn!E$19:E$23)*Tracks!$M$52,SUM(Popn!E$24:E$28)*Tracks!$M$53,SUM(Popn!E$29:E$33)*Tracks!$M$54,SUM(Popn!E$34:E$38)*Tracks!$M$55,SUM(Popn!E$39:E$43)*Tracks!$M$56,SUM(Popn!E$44:E$48)*Tracks!$M$57,SUM(Popn!E$49:E$53)*Tracks!$M$58,SUM(Popn!E$54:E$58)*Tracks!$M$59,SUM(Popn!E$59:E$63)*Tracks!$M$60,SUM(Popn!E$64:E$68)*Tracks!$M$61,SUM(Popn!E$69:E$73)*Tracks!$M$62,SUM(Popn!E$74:E$78)*Tracks!$M$63,SUM(Popn!E$79:E$83)*Tracks!$M$64,SUM(Popn!E$84:E$88)*Tracks!$M$65,SUM(Popn!E$89:E$93)*Tracks!$M$66,SUM(Popn!E$94:E$99)*Tracks!$M$67)/1000000000</f>
        <v>4.3896674057440048</v>
      </c>
      <c r="F91" s="180">
        <f>SUM(SUM(Popn!F$9:F$13)*Tracks!$M$50,SUM(Popn!F$14:F$18)*Tracks!$M$51,SUM(Popn!F$19:F$23)*Tracks!$M$52,SUM(Popn!F$24:F$28)*Tracks!$M$53,SUM(Popn!F$29:F$33)*Tracks!$M$54,SUM(Popn!F$34:F$38)*Tracks!$M$55,SUM(Popn!F$39:F$43)*Tracks!$M$56,SUM(Popn!F$44:F$48)*Tracks!$M$57,SUM(Popn!F$49:F$53)*Tracks!$M$58,SUM(Popn!F$54:F$58)*Tracks!$M$59,SUM(Popn!F$59:F$63)*Tracks!$M$60,SUM(Popn!F$64:F$68)*Tracks!$M$61,SUM(Popn!F$69:F$73)*Tracks!$M$62,SUM(Popn!F$74:F$78)*Tracks!$M$63,SUM(Popn!F$79:F$83)*Tracks!$M$64,SUM(Popn!F$84:F$88)*Tracks!$M$65,SUM(Popn!F$89:F$93)*Tracks!$M$66,SUM(Popn!F$94:F$99)*Tracks!$M$67)/1000000000</f>
        <v>4.4743556837192511</v>
      </c>
      <c r="G91" s="180">
        <f>SUM(SUM(Popn!G$9:G$13)*Tracks!$M$50,SUM(Popn!G$14:G$18)*Tracks!$M$51,SUM(Popn!G$19:G$23)*Tracks!$M$52,SUM(Popn!G$24:G$28)*Tracks!$M$53,SUM(Popn!G$29:G$33)*Tracks!$M$54,SUM(Popn!G$34:G$38)*Tracks!$M$55,SUM(Popn!G$39:G$43)*Tracks!$M$56,SUM(Popn!G$44:G$48)*Tracks!$M$57,SUM(Popn!G$49:G$53)*Tracks!$M$58,SUM(Popn!G$54:G$58)*Tracks!$M$59,SUM(Popn!G$59:G$63)*Tracks!$M$60,SUM(Popn!G$64:G$68)*Tracks!$M$61,SUM(Popn!G$69:G$73)*Tracks!$M$62,SUM(Popn!G$74:G$78)*Tracks!$M$63,SUM(Popn!G$79:G$83)*Tracks!$M$64,SUM(Popn!G$84:G$88)*Tracks!$M$65,SUM(Popn!G$89:G$93)*Tracks!$M$66,SUM(Popn!G$94:G$99)*Tracks!$M$67)/1000000000</f>
        <v>4.5619841972691129</v>
      </c>
      <c r="H91" s="180">
        <f>SUM(SUM(Popn!H$9:H$13)*Tracks!$M$50,SUM(Popn!H$14:H$18)*Tracks!$M$51,SUM(Popn!H$19:H$23)*Tracks!$M$52,SUM(Popn!H$24:H$28)*Tracks!$M$53,SUM(Popn!H$29:H$33)*Tracks!$M$54,SUM(Popn!H$34:H$38)*Tracks!$M$55,SUM(Popn!H$39:H$43)*Tracks!$M$56,SUM(Popn!H$44:H$48)*Tracks!$M$57,SUM(Popn!H$49:H$53)*Tracks!$M$58,SUM(Popn!H$54:H$58)*Tracks!$M$59,SUM(Popn!H$59:H$63)*Tracks!$M$60,SUM(Popn!H$64:H$68)*Tracks!$M$61,SUM(Popn!H$69:H$73)*Tracks!$M$62,SUM(Popn!H$74:H$78)*Tracks!$M$63,SUM(Popn!H$79:H$83)*Tracks!$M$64,SUM(Popn!H$84:H$88)*Tracks!$M$65,SUM(Popn!H$89:H$93)*Tracks!$M$66,SUM(Popn!H$94:H$99)*Tracks!$M$67)/1000000000</f>
        <v>4.6501545240352264</v>
      </c>
      <c r="I91" s="180">
        <f>SUM(SUM(Popn!I$9:I$13)*Tracks!$M$50,SUM(Popn!I$14:I$18)*Tracks!$M$51,SUM(Popn!I$19:I$23)*Tracks!$M$52,SUM(Popn!I$24:I$28)*Tracks!$M$53,SUM(Popn!I$29:I$33)*Tracks!$M$54,SUM(Popn!I$34:I$38)*Tracks!$M$55,SUM(Popn!I$39:I$43)*Tracks!$M$56,SUM(Popn!I$44:I$48)*Tracks!$M$57,SUM(Popn!I$49:I$53)*Tracks!$M$58,SUM(Popn!I$54:I$58)*Tracks!$M$59,SUM(Popn!I$59:I$63)*Tracks!$M$60,SUM(Popn!I$64:I$68)*Tracks!$M$61,SUM(Popn!I$69:I$73)*Tracks!$M$62,SUM(Popn!I$74:I$78)*Tracks!$M$63,SUM(Popn!I$79:I$83)*Tracks!$M$64,SUM(Popn!I$84:I$88)*Tracks!$M$65,SUM(Popn!I$89:I$93)*Tracks!$M$66,SUM(Popn!I$94:I$99)*Tracks!$M$67)/1000000000</f>
        <v>4.7371239169524326</v>
      </c>
      <c r="J91" s="180">
        <f>SUM(SUM(Popn!J$9:J$13)*Tracks!$M$50,SUM(Popn!J$14:J$18)*Tracks!$M$51,SUM(Popn!J$19:J$23)*Tracks!$M$52,SUM(Popn!J$24:J$28)*Tracks!$M$53,SUM(Popn!J$29:J$33)*Tracks!$M$54,SUM(Popn!J$34:J$38)*Tracks!$M$55,SUM(Popn!J$39:J$43)*Tracks!$M$56,SUM(Popn!J$44:J$48)*Tracks!$M$57,SUM(Popn!J$49:J$53)*Tracks!$M$58,SUM(Popn!J$54:J$58)*Tracks!$M$59,SUM(Popn!J$59:J$63)*Tracks!$M$60,SUM(Popn!J$64:J$68)*Tracks!$M$61,SUM(Popn!J$69:J$73)*Tracks!$M$62,SUM(Popn!J$74:J$78)*Tracks!$M$63,SUM(Popn!J$79:J$83)*Tracks!$M$64,SUM(Popn!J$84:J$88)*Tracks!$M$65,SUM(Popn!J$89:J$93)*Tracks!$M$66,SUM(Popn!J$94:J$99)*Tracks!$M$67)/1000000000</f>
        <v>4.8196656302436729</v>
      </c>
      <c r="K91" s="99">
        <f>SUM(SUM(Popn!K$9:K$13)*Tracks!$M$50,SUM(Popn!K$14:K$18)*Tracks!$M$51,SUM(Popn!K$19:K$23)*Tracks!$M$52,SUM(Popn!K$24:K$28)*Tracks!$M$53,SUM(Popn!K$29:K$33)*Tracks!$M$54,SUM(Popn!K$34:K$38)*Tracks!$M$55,SUM(Popn!K$39:K$43)*Tracks!$M$56,SUM(Popn!K$44:K$48)*Tracks!$M$57,SUM(Popn!K$49:K$53)*Tracks!$M$58,SUM(Popn!K$54:K$58)*Tracks!$M$59,SUM(Popn!K$59:K$63)*Tracks!$M$60,SUM(Popn!K$64:K$68)*Tracks!$M$61,SUM(Popn!K$69:K$73)*Tracks!$M$62,SUM(Popn!K$74:K$78)*Tracks!$M$63,SUM(Popn!K$79:K$83)*Tracks!$M$64,SUM(Popn!K$84:K$88)*Tracks!$M$65,SUM(Popn!K$89:K$93)*Tracks!$M$66,SUM(Popn!K$94:K$99)*Tracks!$M$67)/1000000000</f>
        <v>4.9043321606753372</v>
      </c>
      <c r="L91" s="99">
        <f>SUM(SUM(Popn!L$9:L$13)*Tracks!$M$50,SUM(Popn!L$14:L$18)*Tracks!$M$51,SUM(Popn!L$19:L$23)*Tracks!$M$52,SUM(Popn!L$24:L$28)*Tracks!$M$53,SUM(Popn!L$29:L$33)*Tracks!$M$54,SUM(Popn!L$34:L$38)*Tracks!$M$55,SUM(Popn!L$39:L$43)*Tracks!$M$56,SUM(Popn!L$44:L$48)*Tracks!$M$57,SUM(Popn!L$49:L$53)*Tracks!$M$58,SUM(Popn!L$54:L$58)*Tracks!$M$59,SUM(Popn!L$59:L$63)*Tracks!$M$60,SUM(Popn!L$64:L$68)*Tracks!$M$61,SUM(Popn!L$69:L$73)*Tracks!$M$62,SUM(Popn!L$74:L$78)*Tracks!$M$63,SUM(Popn!L$79:L$83)*Tracks!$M$64,SUM(Popn!L$84:L$88)*Tracks!$M$65,SUM(Popn!L$89:L$93)*Tracks!$M$66,SUM(Popn!L$94:L$99)*Tracks!$M$67)/1000000000</f>
        <v>4.9916146107634818</v>
      </c>
      <c r="M91" s="99">
        <f>SUM(SUM(Popn!M$9:M$13)*Tracks!$M$50,SUM(Popn!M$14:M$18)*Tracks!$M$51,SUM(Popn!M$19:M$23)*Tracks!$M$52,SUM(Popn!M$24:M$28)*Tracks!$M$53,SUM(Popn!M$29:M$33)*Tracks!$M$54,SUM(Popn!M$34:M$38)*Tracks!$M$55,SUM(Popn!M$39:M$43)*Tracks!$M$56,SUM(Popn!M$44:M$48)*Tracks!$M$57,SUM(Popn!M$49:M$53)*Tracks!$M$58,SUM(Popn!M$54:M$58)*Tracks!$M$59,SUM(Popn!M$59:M$63)*Tracks!$M$60,SUM(Popn!M$64:M$68)*Tracks!$M$61,SUM(Popn!M$69:M$73)*Tracks!$M$62,SUM(Popn!M$74:M$78)*Tracks!$M$63,SUM(Popn!M$79:M$83)*Tracks!$M$64,SUM(Popn!M$84:M$88)*Tracks!$M$65,SUM(Popn!M$89:M$93)*Tracks!$M$66,SUM(Popn!M$94:M$99)*Tracks!$M$67)/1000000000</f>
        <v>5.0818345229101674</v>
      </c>
      <c r="N91" s="99">
        <f>SUM(SUM(Popn!N$9:N$13)*Tracks!$M$50,SUM(Popn!N$14:N$18)*Tracks!$M$51,SUM(Popn!N$19:N$23)*Tracks!$M$52,SUM(Popn!N$24:N$28)*Tracks!$M$53,SUM(Popn!N$29:N$33)*Tracks!$M$54,SUM(Popn!N$34:N$38)*Tracks!$M$55,SUM(Popn!N$39:N$43)*Tracks!$M$56,SUM(Popn!N$44:N$48)*Tracks!$M$57,SUM(Popn!N$49:N$53)*Tracks!$M$58,SUM(Popn!N$54:N$58)*Tracks!$M$59,SUM(Popn!N$59:N$63)*Tracks!$M$60,SUM(Popn!N$64:N$68)*Tracks!$M$61,SUM(Popn!N$69:N$73)*Tracks!$M$62,SUM(Popn!N$74:N$78)*Tracks!$M$63,SUM(Popn!N$79:N$83)*Tracks!$M$64,SUM(Popn!N$84:N$88)*Tracks!$M$65,SUM(Popn!N$89:N$93)*Tracks!$M$66,SUM(Popn!N$94:N$99)*Tracks!$M$67)/1000000000</f>
        <v>5.1761882493434852</v>
      </c>
      <c r="O91" s="99">
        <f>SUM(SUM(Popn!O$9:O$13)*Tracks!$M$50,SUM(Popn!O$14:O$18)*Tracks!$M$51,SUM(Popn!O$19:O$23)*Tracks!$M$52,SUM(Popn!O$24:O$28)*Tracks!$M$53,SUM(Popn!O$29:O$33)*Tracks!$M$54,SUM(Popn!O$34:O$38)*Tracks!$M$55,SUM(Popn!O$39:O$43)*Tracks!$M$56,SUM(Popn!O$44:O$48)*Tracks!$M$57,SUM(Popn!O$49:O$53)*Tracks!$M$58,SUM(Popn!O$54:O$58)*Tracks!$M$59,SUM(Popn!O$59:O$63)*Tracks!$M$60,SUM(Popn!O$64:O$68)*Tracks!$M$61,SUM(Popn!O$69:O$73)*Tracks!$M$62,SUM(Popn!O$74:O$78)*Tracks!$M$63,SUM(Popn!O$79:O$83)*Tracks!$M$64,SUM(Popn!O$84:O$88)*Tracks!$M$65,SUM(Popn!O$89:O$93)*Tracks!$M$66,SUM(Popn!O$94:O$99)*Tracks!$M$67)/1000000000</f>
        <v>5.2660622383500924</v>
      </c>
      <c r="P91" s="99">
        <f>SUM(SUM(Popn!P$9:P$13)*Tracks!$M$50,SUM(Popn!P$14:P$18)*Tracks!$M$51,SUM(Popn!P$19:P$23)*Tracks!$M$52,SUM(Popn!P$24:P$28)*Tracks!$M$53,SUM(Popn!P$29:P$33)*Tracks!$M$54,SUM(Popn!P$34:P$38)*Tracks!$M$55,SUM(Popn!P$39:P$43)*Tracks!$M$56,SUM(Popn!P$44:P$48)*Tracks!$M$57,SUM(Popn!P$49:P$53)*Tracks!$M$58,SUM(Popn!P$54:P$58)*Tracks!$M$59,SUM(Popn!P$59:P$63)*Tracks!$M$60,SUM(Popn!P$64:P$68)*Tracks!$M$61,SUM(Popn!P$69:P$73)*Tracks!$M$62,SUM(Popn!P$74:P$78)*Tracks!$M$63,SUM(Popn!P$79:P$83)*Tracks!$M$64,SUM(Popn!P$84:P$88)*Tracks!$M$65,SUM(Popn!P$89:P$93)*Tracks!$M$66,SUM(Popn!P$94:P$99)*Tracks!$M$67)/1000000000</f>
        <v>5.3585246853833546</v>
      </c>
      <c r="Q91" s="99">
        <f>SUM(SUM(Popn!Q$9:Q$13)*Tracks!$M$50,SUM(Popn!Q$14:Q$18)*Tracks!$M$51,SUM(Popn!Q$19:Q$23)*Tracks!$M$52,SUM(Popn!Q$24:Q$28)*Tracks!$M$53,SUM(Popn!Q$29:Q$33)*Tracks!$M$54,SUM(Popn!Q$34:Q$38)*Tracks!$M$55,SUM(Popn!Q$39:Q$43)*Tracks!$M$56,SUM(Popn!Q$44:Q$48)*Tracks!$M$57,SUM(Popn!Q$49:Q$53)*Tracks!$M$58,SUM(Popn!Q$54:Q$58)*Tracks!$M$59,SUM(Popn!Q$59:Q$63)*Tracks!$M$60,SUM(Popn!Q$64:Q$68)*Tracks!$M$61,SUM(Popn!Q$69:Q$73)*Tracks!$M$62,SUM(Popn!Q$74:Q$78)*Tracks!$M$63,SUM(Popn!Q$79:Q$83)*Tracks!$M$64,SUM(Popn!Q$84:Q$88)*Tracks!$M$65,SUM(Popn!Q$89:Q$93)*Tracks!$M$66,SUM(Popn!Q$94:Q$99)*Tracks!$M$67)/1000000000</f>
        <v>5.4539179263044248</v>
      </c>
      <c r="R91" s="99">
        <f>SUM(SUM(Popn!R$9:R$13)*Tracks!$M$50,SUM(Popn!R$14:R$18)*Tracks!$M$51,SUM(Popn!R$19:R$23)*Tracks!$M$52,SUM(Popn!R$24:R$28)*Tracks!$M$53,SUM(Popn!R$29:R$33)*Tracks!$M$54,SUM(Popn!R$34:R$38)*Tracks!$M$55,SUM(Popn!R$39:R$43)*Tracks!$M$56,SUM(Popn!R$44:R$48)*Tracks!$M$57,SUM(Popn!R$49:R$53)*Tracks!$M$58,SUM(Popn!R$54:R$58)*Tracks!$M$59,SUM(Popn!R$59:R$63)*Tracks!$M$60,SUM(Popn!R$64:R$68)*Tracks!$M$61,SUM(Popn!R$69:R$73)*Tracks!$M$62,SUM(Popn!R$74:R$78)*Tracks!$M$63,SUM(Popn!R$79:R$83)*Tracks!$M$64,SUM(Popn!R$84:R$88)*Tracks!$M$65,SUM(Popn!R$89:R$93)*Tracks!$M$66,SUM(Popn!R$94:R$99)*Tracks!$M$67)/1000000000</f>
        <v>5.5521705558361987</v>
      </c>
      <c r="S91" s="99">
        <f>SUM(SUM(Popn!S$9:S$13)*Tracks!$M$50,SUM(Popn!S$14:S$18)*Tracks!$M$51,SUM(Popn!S$19:S$23)*Tracks!$M$52,SUM(Popn!S$24:S$28)*Tracks!$M$53,SUM(Popn!S$29:S$33)*Tracks!$M$54,SUM(Popn!S$34:S$38)*Tracks!$M$55,SUM(Popn!S$39:S$43)*Tracks!$M$56,SUM(Popn!S$44:S$48)*Tracks!$M$57,SUM(Popn!S$49:S$53)*Tracks!$M$58,SUM(Popn!S$54:S$58)*Tracks!$M$59,SUM(Popn!S$59:S$63)*Tracks!$M$60,SUM(Popn!S$64:S$68)*Tracks!$M$61,SUM(Popn!S$69:S$73)*Tracks!$M$62,SUM(Popn!S$74:S$78)*Tracks!$M$63,SUM(Popn!S$79:S$83)*Tracks!$M$64,SUM(Popn!S$84:S$88)*Tracks!$M$65,SUM(Popn!S$89:S$93)*Tracks!$M$66,SUM(Popn!S$94:S$99)*Tracks!$M$67)/1000000000</f>
        <v>5.6557683088026698</v>
      </c>
      <c r="T91" s="99">
        <f>SUM(SUM(Popn!T$9:T$13)*Tracks!$M$50,SUM(Popn!T$14:T$18)*Tracks!$M$51,SUM(Popn!T$19:T$23)*Tracks!$M$52,SUM(Popn!T$24:T$28)*Tracks!$M$53,SUM(Popn!T$29:T$33)*Tracks!$M$54,SUM(Popn!T$34:T$38)*Tracks!$M$55,SUM(Popn!T$39:T$43)*Tracks!$M$56,SUM(Popn!T$44:T$48)*Tracks!$M$57,SUM(Popn!T$49:T$53)*Tracks!$M$58,SUM(Popn!T$54:T$58)*Tracks!$M$59,SUM(Popn!T$59:T$63)*Tracks!$M$60,SUM(Popn!T$64:T$68)*Tracks!$M$61,SUM(Popn!T$69:T$73)*Tracks!$M$62,SUM(Popn!T$74:T$78)*Tracks!$M$63,SUM(Popn!T$79:T$83)*Tracks!$M$64,SUM(Popn!T$84:T$88)*Tracks!$M$65,SUM(Popn!T$89:T$93)*Tracks!$M$66,SUM(Popn!T$94:T$99)*Tracks!$M$67)/1000000000</f>
        <v>5.7537636017446907</v>
      </c>
    </row>
    <row r="92" spans="1:20" x14ac:dyDescent="0.2">
      <c r="A92" s="147" t="s">
        <v>103</v>
      </c>
      <c r="B92" s="103"/>
      <c r="C92" s="99"/>
      <c r="D92" s="117">
        <f>SUM(SUM(Popn!D$103:D$107)*Tracks!$L$50,SUM(Popn!D$108:D$112)*Tracks!$L$51,SUM(Popn!D$113:D$117)*Tracks!$L$52,SUM(Popn!D$118:D$122)*Tracks!$L$53,SUM(Popn!D$123:D$127)*Tracks!$L$54,SUM(Popn!D$128:D$132)*Tracks!$L$55,SUM(Popn!D$133:D$137)*Tracks!$L$56,SUM(Popn!D$138:D$142)*Tracks!$L$57,SUM(Popn!D$143:D$147)*Tracks!$L$58,SUM(Popn!D$148:D$152)*Tracks!$L$59,SUM(Popn!D$153:D$157)*Tracks!$L$60,SUM(Popn!D$158:D$162)*Tracks!$L$61,SUM(Popn!D$163:D$167)*Tracks!$L$62,SUM(Popn!D$168:D$172)*Tracks!$L$63,SUM(Popn!D$173:D$177)*Tracks!$L$64,SUM(Popn!D$178:D$182)*Tracks!$L$65,SUM(Popn!D$183:D$187)*Tracks!$L$66,SUM(Popn!D$188:D$193)*Tracks!$L$67)/1000000000</f>
        <v>5.0262368690498418</v>
      </c>
      <c r="E92" s="117">
        <f>SUM(SUM(Popn!E$103:E$107)*Tracks!$L$50,SUM(Popn!E$108:E$112)*Tracks!$L$51,SUM(Popn!E$113:E$117)*Tracks!$L$52,SUM(Popn!E$118:E$122)*Tracks!$L$53,SUM(Popn!E$123:E$127)*Tracks!$L$54,SUM(Popn!E$128:E$132)*Tracks!$L$55,SUM(Popn!E$133:E$137)*Tracks!$L$56,SUM(Popn!E$138:E$142)*Tracks!$L$57,SUM(Popn!E$143:E$147)*Tracks!$L$58,SUM(Popn!E$148:E$152)*Tracks!$L$59,SUM(Popn!E$153:E$157)*Tracks!$L$60,SUM(Popn!E$158:E$162)*Tracks!$L$61,SUM(Popn!E$163:E$167)*Tracks!$L$62,SUM(Popn!E$168:E$172)*Tracks!$L$63,SUM(Popn!E$173:E$177)*Tracks!$L$64,SUM(Popn!E$178:E$182)*Tracks!$L$65,SUM(Popn!E$183:E$187)*Tracks!$L$66,SUM(Popn!E$188:E$193)*Tracks!$L$67)/1000000000</f>
        <v>5.1015756866571271</v>
      </c>
      <c r="F92" s="185">
        <f>SUM(SUM(Popn!F$103:F$107)*Tracks!$L$50,SUM(Popn!F$108:F$112)*Tracks!$L$51,SUM(Popn!F$113:F$117)*Tracks!$L$52,SUM(Popn!F$118:F$122)*Tracks!$L$53,SUM(Popn!F$123:F$127)*Tracks!$L$54,SUM(Popn!F$128:F$132)*Tracks!$L$55,SUM(Popn!F$133:F$137)*Tracks!$L$56,SUM(Popn!F$138:F$142)*Tracks!$L$57,SUM(Popn!F$143:F$147)*Tracks!$L$58,SUM(Popn!F$148:F$152)*Tracks!$L$59,SUM(Popn!F$153:F$157)*Tracks!$L$60,SUM(Popn!F$158:F$162)*Tracks!$L$61,SUM(Popn!F$163:F$167)*Tracks!$L$62,SUM(Popn!F$168:F$172)*Tracks!$L$63,SUM(Popn!F$173:F$177)*Tracks!$L$64,SUM(Popn!F$178:F$182)*Tracks!$L$65,SUM(Popn!F$183:F$187)*Tracks!$L$66,SUM(Popn!F$188:F$193)*Tracks!$L$67)/1000000000</f>
        <v>5.1793406947113052</v>
      </c>
      <c r="G92" s="185">
        <f>SUM(SUM(Popn!G$103:G$107)*Tracks!$L$50,SUM(Popn!G$108:G$112)*Tracks!$L$51,SUM(Popn!G$113:G$117)*Tracks!$L$52,SUM(Popn!G$118:G$122)*Tracks!$L$53,SUM(Popn!G$123:G$127)*Tracks!$L$54,SUM(Popn!G$128:G$132)*Tracks!$L$55,SUM(Popn!G$133:G$137)*Tracks!$L$56,SUM(Popn!G$138:G$142)*Tracks!$L$57,SUM(Popn!G$143:G$147)*Tracks!$L$58,SUM(Popn!G$148:G$152)*Tracks!$L$59,SUM(Popn!G$153:G$157)*Tracks!$L$60,SUM(Popn!G$158:G$162)*Tracks!$L$61,SUM(Popn!G$163:G$167)*Tracks!$L$62,SUM(Popn!G$168:G$172)*Tracks!$L$63,SUM(Popn!G$173:G$177)*Tracks!$L$64,SUM(Popn!G$178:G$182)*Tracks!$L$65,SUM(Popn!G$183:G$187)*Tracks!$L$66,SUM(Popn!G$188:G$193)*Tracks!$L$67)/1000000000</f>
        <v>5.2627540184003436</v>
      </c>
      <c r="H92" s="185">
        <f>SUM(SUM(Popn!H$103:H$107)*Tracks!$L$50,SUM(Popn!H$108:H$112)*Tracks!$L$51,SUM(Popn!H$113:H$117)*Tracks!$L$52,SUM(Popn!H$118:H$122)*Tracks!$L$53,SUM(Popn!H$123:H$127)*Tracks!$L$54,SUM(Popn!H$128:H$132)*Tracks!$L$55,SUM(Popn!H$133:H$137)*Tracks!$L$56,SUM(Popn!H$138:H$142)*Tracks!$L$57,SUM(Popn!H$143:H$147)*Tracks!$L$58,SUM(Popn!H$148:H$152)*Tracks!$L$59,SUM(Popn!H$153:H$157)*Tracks!$L$60,SUM(Popn!H$158:H$162)*Tracks!$L$61,SUM(Popn!H$163:H$167)*Tracks!$L$62,SUM(Popn!H$168:H$172)*Tracks!$L$63,SUM(Popn!H$173:H$177)*Tracks!$L$64,SUM(Popn!H$178:H$182)*Tracks!$L$65,SUM(Popn!H$183:H$187)*Tracks!$L$66,SUM(Popn!H$188:H$193)*Tracks!$L$67)/1000000000</f>
        <v>5.346709763980142</v>
      </c>
      <c r="I92" s="185">
        <f>SUM(SUM(Popn!I$103:I$107)*Tracks!$L$50,SUM(Popn!I$108:I$112)*Tracks!$L$51,SUM(Popn!I$113:I$117)*Tracks!$L$52,SUM(Popn!I$118:I$122)*Tracks!$L$53,SUM(Popn!I$123:I$127)*Tracks!$L$54,SUM(Popn!I$128:I$132)*Tracks!$L$55,SUM(Popn!I$133:I$137)*Tracks!$L$56,SUM(Popn!I$138:I$142)*Tracks!$L$57,SUM(Popn!I$143:I$147)*Tracks!$L$58,SUM(Popn!I$148:I$152)*Tracks!$L$59,SUM(Popn!I$153:I$157)*Tracks!$L$60,SUM(Popn!I$158:I$162)*Tracks!$L$61,SUM(Popn!I$163:I$167)*Tracks!$L$62,SUM(Popn!I$168:I$172)*Tracks!$L$63,SUM(Popn!I$173:I$177)*Tracks!$L$64,SUM(Popn!I$178:I$182)*Tracks!$L$65,SUM(Popn!I$183:I$187)*Tracks!$L$66,SUM(Popn!I$188:I$193)*Tracks!$L$67)/1000000000</f>
        <v>5.4294250339880312</v>
      </c>
      <c r="J92" s="185">
        <f>SUM(SUM(Popn!J$103:J$107)*Tracks!$L$50,SUM(Popn!J$108:J$112)*Tracks!$L$51,SUM(Popn!J$113:J$117)*Tracks!$L$52,SUM(Popn!J$118:J$122)*Tracks!$L$53,SUM(Popn!J$123:J$127)*Tracks!$L$54,SUM(Popn!J$128:J$132)*Tracks!$L$55,SUM(Popn!J$133:J$137)*Tracks!$L$56,SUM(Popn!J$138:J$142)*Tracks!$L$57,SUM(Popn!J$143:J$147)*Tracks!$L$58,SUM(Popn!J$148:J$152)*Tracks!$L$59,SUM(Popn!J$153:J$157)*Tracks!$L$60,SUM(Popn!J$158:J$162)*Tracks!$L$61,SUM(Popn!J$163:J$167)*Tracks!$L$62,SUM(Popn!J$168:J$172)*Tracks!$L$63,SUM(Popn!J$173:J$177)*Tracks!$L$64,SUM(Popn!J$178:J$182)*Tracks!$L$65,SUM(Popn!J$183:J$187)*Tracks!$L$66,SUM(Popn!J$188:J$193)*Tracks!$L$67)/1000000000</f>
        <v>5.5107833300205069</v>
      </c>
      <c r="K92" s="136">
        <f>SUM(SUM(Popn!K$103:K$107)*Tracks!$L$50,SUM(Popn!K$108:K$112)*Tracks!$L$51,SUM(Popn!K$113:K$117)*Tracks!$L$52,SUM(Popn!K$118:K$122)*Tracks!$L$53,SUM(Popn!K$123:K$127)*Tracks!$L$54,SUM(Popn!K$128:K$132)*Tracks!$L$55,SUM(Popn!K$133:K$137)*Tracks!$L$56,SUM(Popn!K$138:K$142)*Tracks!$L$57,SUM(Popn!K$143:K$147)*Tracks!$L$58,SUM(Popn!K$148:K$152)*Tracks!$L$59,SUM(Popn!K$153:K$157)*Tracks!$L$60,SUM(Popn!K$158:K$162)*Tracks!$L$61,SUM(Popn!K$163:K$167)*Tracks!$L$62,SUM(Popn!K$168:K$172)*Tracks!$L$63,SUM(Popn!K$173:K$177)*Tracks!$L$64,SUM(Popn!K$178:K$182)*Tracks!$L$65,SUM(Popn!K$183:K$187)*Tracks!$L$66,SUM(Popn!K$188:K$193)*Tracks!$L$67)/1000000000</f>
        <v>5.5934453463638976</v>
      </c>
      <c r="L92" s="136">
        <f>SUM(SUM(Popn!L$103:L$107)*Tracks!$L$50,SUM(Popn!L$108:L$112)*Tracks!$L$51,SUM(Popn!L$113:L$117)*Tracks!$L$52,SUM(Popn!L$118:L$122)*Tracks!$L$53,SUM(Popn!L$123:L$127)*Tracks!$L$54,SUM(Popn!L$128:L$132)*Tracks!$L$55,SUM(Popn!L$133:L$137)*Tracks!$L$56,SUM(Popn!L$138:L$142)*Tracks!$L$57,SUM(Popn!L$143:L$147)*Tracks!$L$58,SUM(Popn!L$148:L$152)*Tracks!$L$59,SUM(Popn!L$153:L$157)*Tracks!$L$60,SUM(Popn!L$158:L$162)*Tracks!$L$61,SUM(Popn!L$163:L$167)*Tracks!$L$62,SUM(Popn!L$168:L$172)*Tracks!$L$63,SUM(Popn!L$173:L$177)*Tracks!$L$64,SUM(Popn!L$178:L$182)*Tracks!$L$65,SUM(Popn!L$183:L$187)*Tracks!$L$66,SUM(Popn!L$188:L$193)*Tracks!$L$67)/1000000000</f>
        <v>5.6813942693067858</v>
      </c>
      <c r="M92" s="136">
        <f>SUM(SUM(Popn!M$103:M$107)*Tracks!$L$50,SUM(Popn!M$108:M$112)*Tracks!$L$51,SUM(Popn!M$113:M$117)*Tracks!$L$52,SUM(Popn!M$118:M$122)*Tracks!$L$53,SUM(Popn!M$123:M$127)*Tracks!$L$54,SUM(Popn!M$128:M$132)*Tracks!$L$55,SUM(Popn!M$133:M$137)*Tracks!$L$56,SUM(Popn!M$138:M$142)*Tracks!$L$57,SUM(Popn!M$143:M$147)*Tracks!$L$58,SUM(Popn!M$148:M$152)*Tracks!$L$59,SUM(Popn!M$153:M$157)*Tracks!$L$60,SUM(Popn!M$158:M$162)*Tracks!$L$61,SUM(Popn!M$163:M$167)*Tracks!$L$62,SUM(Popn!M$168:M$172)*Tracks!$L$63,SUM(Popn!M$173:M$177)*Tracks!$L$64,SUM(Popn!M$178:M$182)*Tracks!$L$65,SUM(Popn!M$183:M$187)*Tracks!$L$66,SUM(Popn!M$188:M$193)*Tracks!$L$67)/1000000000</f>
        <v>5.7736119175895642</v>
      </c>
      <c r="N92" s="136">
        <f>SUM(SUM(Popn!N$103:N$107)*Tracks!$L$50,SUM(Popn!N$108:N$112)*Tracks!$L$51,SUM(Popn!N$113:N$117)*Tracks!$L$52,SUM(Popn!N$118:N$122)*Tracks!$L$53,SUM(Popn!N$123:N$127)*Tracks!$L$54,SUM(Popn!N$128:N$132)*Tracks!$L$55,SUM(Popn!N$133:N$137)*Tracks!$L$56,SUM(Popn!N$138:N$142)*Tracks!$L$57,SUM(Popn!N$143:N$147)*Tracks!$L$58,SUM(Popn!N$148:N$152)*Tracks!$L$59,SUM(Popn!N$153:N$157)*Tracks!$L$60,SUM(Popn!N$158:N$162)*Tracks!$L$61,SUM(Popn!N$163:N$167)*Tracks!$L$62,SUM(Popn!N$168:N$172)*Tracks!$L$63,SUM(Popn!N$173:N$177)*Tracks!$L$64,SUM(Popn!N$178:N$182)*Tracks!$L$65,SUM(Popn!N$183:N$187)*Tracks!$L$66,SUM(Popn!N$188:N$193)*Tracks!$L$67)/1000000000</f>
        <v>5.8684936450177059</v>
      </c>
      <c r="O92" s="136">
        <f>SUM(SUM(Popn!O$103:O$107)*Tracks!$L$50,SUM(Popn!O$108:O$112)*Tracks!$L$51,SUM(Popn!O$113:O$117)*Tracks!$L$52,SUM(Popn!O$118:O$122)*Tracks!$L$53,SUM(Popn!O$123:O$127)*Tracks!$L$54,SUM(Popn!O$128:O$132)*Tracks!$L$55,SUM(Popn!O$133:O$137)*Tracks!$L$56,SUM(Popn!O$138:O$142)*Tracks!$L$57,SUM(Popn!O$143:O$147)*Tracks!$L$58,SUM(Popn!O$148:O$152)*Tracks!$L$59,SUM(Popn!O$153:O$157)*Tracks!$L$60,SUM(Popn!O$158:O$162)*Tracks!$L$61,SUM(Popn!O$163:O$167)*Tracks!$L$62,SUM(Popn!O$168:O$172)*Tracks!$L$63,SUM(Popn!O$173:O$177)*Tracks!$L$64,SUM(Popn!O$178:O$182)*Tracks!$L$65,SUM(Popn!O$183:O$187)*Tracks!$L$66,SUM(Popn!O$188:O$193)*Tracks!$L$67)/1000000000</f>
        <v>5.9610645165878751</v>
      </c>
      <c r="P92" s="136">
        <f>SUM(SUM(Popn!P$103:P$107)*Tracks!$L$50,SUM(Popn!P$108:P$112)*Tracks!$L$51,SUM(Popn!P$113:P$117)*Tracks!$L$52,SUM(Popn!P$118:P$122)*Tracks!$L$53,SUM(Popn!P$123:P$127)*Tracks!$L$54,SUM(Popn!P$128:P$132)*Tracks!$L$55,SUM(Popn!P$133:P$137)*Tracks!$L$56,SUM(Popn!P$138:P$142)*Tracks!$L$57,SUM(Popn!P$143:P$147)*Tracks!$L$58,SUM(Popn!P$148:P$152)*Tracks!$L$59,SUM(Popn!P$153:P$157)*Tracks!$L$60,SUM(Popn!P$158:P$162)*Tracks!$L$61,SUM(Popn!P$163:P$167)*Tracks!$L$62,SUM(Popn!P$168:P$172)*Tracks!$L$63,SUM(Popn!P$173:P$177)*Tracks!$L$64,SUM(Popn!P$178:P$182)*Tracks!$L$65,SUM(Popn!P$183:P$187)*Tracks!$L$66,SUM(Popn!P$188:P$193)*Tracks!$L$67)/1000000000</f>
        <v>6.0566001730368084</v>
      </c>
      <c r="Q92" s="136">
        <f>SUM(SUM(Popn!Q$103:Q$107)*Tracks!$L$50,SUM(Popn!Q$108:Q$112)*Tracks!$L$51,SUM(Popn!Q$113:Q$117)*Tracks!$L$52,SUM(Popn!Q$118:Q$122)*Tracks!$L$53,SUM(Popn!Q$123:Q$127)*Tracks!$L$54,SUM(Popn!Q$128:Q$132)*Tracks!$L$55,SUM(Popn!Q$133:Q$137)*Tracks!$L$56,SUM(Popn!Q$138:Q$142)*Tracks!$L$57,SUM(Popn!Q$143:Q$147)*Tracks!$L$58,SUM(Popn!Q$148:Q$152)*Tracks!$L$59,SUM(Popn!Q$153:Q$157)*Tracks!$L$60,SUM(Popn!Q$158:Q$162)*Tracks!$L$61,SUM(Popn!Q$163:Q$167)*Tracks!$L$62,SUM(Popn!Q$168:Q$172)*Tracks!$L$63,SUM(Popn!Q$173:Q$177)*Tracks!$L$64,SUM(Popn!Q$178:Q$182)*Tracks!$L$65,SUM(Popn!Q$183:Q$187)*Tracks!$L$66,SUM(Popn!Q$188:Q$193)*Tracks!$L$67)/1000000000</f>
        <v>6.1563792596498486</v>
      </c>
      <c r="R92" s="136">
        <f>SUM(SUM(Popn!R$103:R$107)*Tracks!$L$50,SUM(Popn!R$108:R$112)*Tracks!$L$51,SUM(Popn!R$113:R$117)*Tracks!$L$52,SUM(Popn!R$118:R$122)*Tracks!$L$53,SUM(Popn!R$123:R$127)*Tracks!$L$54,SUM(Popn!R$128:R$132)*Tracks!$L$55,SUM(Popn!R$133:R$137)*Tracks!$L$56,SUM(Popn!R$138:R$142)*Tracks!$L$57,SUM(Popn!R$143:R$147)*Tracks!$L$58,SUM(Popn!R$148:R$152)*Tracks!$L$59,SUM(Popn!R$153:R$157)*Tracks!$L$60,SUM(Popn!R$158:R$162)*Tracks!$L$61,SUM(Popn!R$163:R$167)*Tracks!$L$62,SUM(Popn!R$168:R$172)*Tracks!$L$63,SUM(Popn!R$173:R$177)*Tracks!$L$64,SUM(Popn!R$178:R$182)*Tracks!$L$65,SUM(Popn!R$183:R$187)*Tracks!$L$66,SUM(Popn!R$188:R$193)*Tracks!$L$67)/1000000000</f>
        <v>6.2635684559554967</v>
      </c>
      <c r="S92" s="136">
        <f>SUM(SUM(Popn!S$103:S$107)*Tracks!$L$50,SUM(Popn!S$108:S$112)*Tracks!$L$51,SUM(Popn!S$113:S$117)*Tracks!$L$52,SUM(Popn!S$118:S$122)*Tracks!$L$53,SUM(Popn!S$123:S$127)*Tracks!$L$54,SUM(Popn!S$128:S$132)*Tracks!$L$55,SUM(Popn!S$133:S$137)*Tracks!$L$56,SUM(Popn!S$138:S$142)*Tracks!$L$57,SUM(Popn!S$143:S$147)*Tracks!$L$58,SUM(Popn!S$148:S$152)*Tracks!$L$59,SUM(Popn!S$153:S$157)*Tracks!$L$60,SUM(Popn!S$158:S$162)*Tracks!$L$61,SUM(Popn!S$163:S$167)*Tracks!$L$62,SUM(Popn!S$168:S$172)*Tracks!$L$63,SUM(Popn!S$173:S$177)*Tracks!$L$64,SUM(Popn!S$178:S$182)*Tracks!$L$65,SUM(Popn!S$183:S$187)*Tracks!$L$66,SUM(Popn!S$188:S$193)*Tracks!$L$67)/1000000000</f>
        <v>6.3781282933885795</v>
      </c>
      <c r="T92" s="136">
        <f>SUM(SUM(Popn!T$103:T$107)*Tracks!$L$50,SUM(Popn!T$108:T$112)*Tracks!$L$51,SUM(Popn!T$113:T$117)*Tracks!$L$52,SUM(Popn!T$118:T$122)*Tracks!$L$53,SUM(Popn!T$123:T$127)*Tracks!$L$54,SUM(Popn!T$128:T$132)*Tracks!$L$55,SUM(Popn!T$133:T$137)*Tracks!$L$56,SUM(Popn!T$138:T$142)*Tracks!$L$57,SUM(Popn!T$143:T$147)*Tracks!$L$58,SUM(Popn!T$148:T$152)*Tracks!$L$59,SUM(Popn!T$153:T$157)*Tracks!$L$60,SUM(Popn!T$158:T$162)*Tracks!$L$61,SUM(Popn!T$163:T$167)*Tracks!$L$62,SUM(Popn!T$168:T$172)*Tracks!$L$63,SUM(Popn!T$173:T$177)*Tracks!$L$64,SUM(Popn!T$178:T$182)*Tracks!$L$65,SUM(Popn!T$183:T$187)*Tracks!$L$66,SUM(Popn!T$188:T$193)*Tracks!$L$67)/1000000000</f>
        <v>6.4867876118439236</v>
      </c>
    </row>
    <row r="93" spans="1:20" x14ac:dyDescent="0.2">
      <c r="A93" s="147"/>
      <c r="B93" s="103"/>
      <c r="C93" s="99"/>
      <c r="D93" s="94"/>
      <c r="E93" s="94"/>
      <c r="F93" s="99"/>
      <c r="G93" s="99"/>
      <c r="H93" s="99"/>
      <c r="I93" s="99"/>
      <c r="J93" s="99"/>
      <c r="T93" s="99"/>
    </row>
    <row r="94" spans="1:20" x14ac:dyDescent="0.2">
      <c r="A94" s="147" t="s">
        <v>658</v>
      </c>
      <c r="B94" s="103"/>
      <c r="C94" s="99"/>
      <c r="D94" s="94"/>
      <c r="E94" s="94"/>
      <c r="F94" s="99"/>
      <c r="G94" s="99"/>
      <c r="H94" s="99"/>
      <c r="I94" s="99"/>
      <c r="J94" s="99"/>
      <c r="T94" s="99"/>
    </row>
    <row r="95" spans="1:20" x14ac:dyDescent="0.2">
      <c r="A95" s="43" t="s">
        <v>177</v>
      </c>
      <c r="B95" s="103"/>
      <c r="C95" s="99"/>
      <c r="D95" s="96">
        <f ca="1">Data!C$43+IF(OFFSET(Scenarios!$A$62,0,$C$1)="Yes",OFFSET(Scenarios!$A$64,0,$C$1)*D$70,0)</f>
        <v>9.2690000000000001</v>
      </c>
      <c r="E95" s="96">
        <f ca="1">Data!D$43+IF(OFFSET(Scenarios!$A$62,0,$C$1)="Yes",OFFSET(Scenarios!$A$64,0,$C$1)*E$70,0)</f>
        <v>9.5510000000000002</v>
      </c>
      <c r="F95" s="187">
        <f ca="1">Data!E$43+IF(OFFSET(Scenarios!$A$62,0,$C$1)="Yes",OFFSET(Scenarios!$A$64,0,$C$1)*F$70,0)</f>
        <v>10.739000000000001</v>
      </c>
      <c r="G95" s="187">
        <f ca="1">Data!F$43+IF(OFFSET(Scenarios!$A$62,0,$C$1)="Yes",OFFSET(Scenarios!$A$64,0,$C$1)*G$70,0)</f>
        <v>11.117000000000001</v>
      </c>
      <c r="H95" s="187">
        <f ca="1">Data!G$43+IF(OFFSET(Scenarios!$A$62,0,$C$1)="Yes",OFFSET(Scenarios!$A$64,0,$C$1)*H$70,0)</f>
        <v>11.302</v>
      </c>
      <c r="I95" s="187">
        <f ca="1">Data!H$43+IF(OFFSET(Scenarios!$A$62,0,$C$1)="Yes",OFFSET(Scenarios!$A$64,0,$C$1)*I$70,0)</f>
        <v>11.419</v>
      </c>
      <c r="J95" s="187">
        <f ca="1">Data!I$43+IF(OFFSET(Scenarios!$A$62,0,$C$1)="Yes",OFFSET(Scenarios!$A$64,0,$C$1)*J$70,0)</f>
        <v>11.488</v>
      </c>
      <c r="K95" s="101">
        <f ca="1">J$95*(1+AVERAGE(Popn!K$198:K$200))+IF(OFFSET(Scenarios!$A$62,0,$C$1)="Yes",(K$70-J$70*(1+AVERAGE(Popn!K$198:K$200)))*OFFSET(Scenarios!$A$64,0,$C$1),0)</f>
        <v>11.471767549586461</v>
      </c>
      <c r="L95" s="101">
        <f ca="1">K$95*(1+AVERAGE(Popn!L$198:L$200))+IF(OFFSET(Scenarios!$A$62,0,$C$1)="Yes",(L$70-K$70*(1+AVERAGE(Popn!L$198:L$200)))*OFFSET(Scenarios!$A$64,0,$C$1),0)</f>
        <v>11.43196244402291</v>
      </c>
      <c r="M95" s="101">
        <f ca="1">L$95*(1+AVERAGE(Popn!M$198:M$200))+IF(OFFSET(Scenarios!$A$62,0,$C$1)="Yes",(M$70-L$70*(1+AVERAGE(Popn!M$198:M$200)))*OFFSET(Scenarios!$A$64,0,$C$1),0)</f>
        <v>11.382420291373462</v>
      </c>
      <c r="N95" s="101">
        <f ca="1">M$95*(1+AVERAGE(Popn!N$198:N$200))+IF(OFFSET(Scenarios!$A$62,0,$C$1)="Yes",(N$70-M$70*(1+AVERAGE(Popn!N$198:N$200)))*OFFSET(Scenarios!$A$64,0,$C$1),0)</f>
        <v>11.344864902189894</v>
      </c>
      <c r="O95" s="101">
        <f ca="1">N$95*(1+AVERAGE(Popn!O$198:O$200))+IF(OFFSET(Scenarios!$A$62,0,$C$1)="Yes",(O$70-N$70*(1+AVERAGE(Popn!O$198:O$200)))*OFFSET(Scenarios!$A$64,0,$C$1),0)</f>
        <v>11.319317955497072</v>
      </c>
      <c r="P95" s="101">
        <f ca="1">O$95*(1+AVERAGE(Popn!P$198:P$200))+IF(OFFSET(Scenarios!$A$62,0,$C$1)="Yes",(P$70-O$70*(1+AVERAGE(Popn!P$198:P$200)))*OFFSET(Scenarios!$A$64,0,$C$1),0)</f>
        <v>11.303750741248301</v>
      </c>
      <c r="Q95" s="101">
        <f ca="1">P$95*(1+AVERAGE(Popn!Q$198:Q$200))+IF(OFFSET(Scenarios!$A$62,0,$C$1)="Yes",(Q$70-P$70*(1+AVERAGE(Popn!Q$198:Q$200)))*OFFSET(Scenarios!$A$64,0,$C$1),0)</f>
        <v>11.280645690988926</v>
      </c>
      <c r="R95" s="101">
        <f ca="1">Q$95*(1+AVERAGE(Popn!R$198:R$200))+IF(OFFSET(Scenarios!$A$62,0,$C$1)="Yes",(R$70-Q$70*(1+AVERAGE(Popn!R$198:R$200)))*OFFSET(Scenarios!$A$64,0,$C$1),0)</f>
        <v>11.269142774650531</v>
      </c>
      <c r="S95" s="101">
        <f ca="1">R$95*(1+AVERAGE(Popn!S$198:S$200))+IF(OFFSET(Scenarios!$A$62,0,$C$1)="Yes",(S$70-R$70*(1+AVERAGE(Popn!S$198:S$200)))*OFFSET(Scenarios!$A$64,0,$C$1),0)</f>
        <v>11.279817015832647</v>
      </c>
      <c r="T95" s="101">
        <f ca="1">S$95*(1+AVERAGE(Popn!T$198:T$200))+IF(OFFSET(Scenarios!$A$62,0,$C$1)="Yes",(T$70-S$70*(1+AVERAGE(Popn!T$198:T$200)))*OFFSET(Scenarios!$A$64,0,$C$1),0)</f>
        <v>11.288567320229438</v>
      </c>
    </row>
    <row r="96" spans="1:20" x14ac:dyDescent="0.2">
      <c r="A96" s="43" t="s">
        <v>178</v>
      </c>
      <c r="B96" s="103"/>
      <c r="C96" s="99"/>
      <c r="D96" s="96">
        <f ca="1">Data!C$17-Data!C$43+D$95</f>
        <v>9.8529999999999998</v>
      </c>
      <c r="E96" s="96">
        <f ca="1">Data!D$17-Data!D$43+E$95</f>
        <v>10.397</v>
      </c>
      <c r="F96" s="187">
        <f ca="1">Data!E$17-Data!E$43+F$95</f>
        <v>11.643000000000001</v>
      </c>
      <c r="G96" s="187">
        <f ca="1">Data!F$17-Data!F$43+G$95</f>
        <v>11.946999999999999</v>
      </c>
      <c r="H96" s="187">
        <f ca="1">Data!G$17-Data!G$43+H$95</f>
        <v>12.167</v>
      </c>
      <c r="I96" s="187">
        <f ca="1">Data!H$17-Data!H$43+I$95</f>
        <v>12.452999999999999</v>
      </c>
      <c r="J96" s="187">
        <f ca="1">Data!I$17-Data!I$43+J$95</f>
        <v>12.657999999999999</v>
      </c>
      <c r="K96" s="101">
        <f ca="1">(J$96-J$95)*(1+AVERAGE(Popn!K$198:K$200))+K$95</f>
        <v>12.640114349117813</v>
      </c>
      <c r="L96" s="101">
        <f ca="1">(K$96-K$95)*(1+AVERAGE(Popn!L$198:L$200))+L$95</f>
        <v>12.59625527650087</v>
      </c>
      <c r="M96" s="101">
        <f ca="1">(L$96-L$95)*(1+AVERAGE(Popn!M$198:M$200))+M$95</f>
        <v>12.541667483304778</v>
      </c>
      <c r="N96" s="101">
        <f ca="1">(M$96-M$95)*(1+AVERAGE(Popn!N$198:N$200))+N$95</f>
        <v>12.500287250341199</v>
      </c>
      <c r="O96" s="101">
        <f ca="1">(N$96-N$95)*(1+AVERAGE(Popn!O$198:O$200))+O$95</f>
        <v>12.472138464544042</v>
      </c>
      <c r="P96" s="101">
        <f ca="1">(O$96-O$95)*(1+AVERAGE(Popn!P$198:P$200))+P$95</f>
        <v>12.454985801072512</v>
      </c>
      <c r="Q96" s="101">
        <f ca="1">(P$96-P$95)*(1+AVERAGE(Popn!Q$198:Q$200))+Q$95</f>
        <v>12.429527607637349</v>
      </c>
      <c r="R96" s="101">
        <f ca="1">(Q$96-Q$95)*(1+AVERAGE(Popn!R$198:R$200))+R$95</f>
        <v>12.416853172138445</v>
      </c>
      <c r="S96" s="101">
        <f ca="1">(R$96-R$95)*(1+AVERAGE(Popn!S$198:S$200))+S$95</f>
        <v>12.428614535725076</v>
      </c>
      <c r="T96" s="101">
        <f ca="1">(S$96-S$95)*(1+AVERAGE(Popn!T$198:T$200))+T$95</f>
        <v>12.438256018407404</v>
      </c>
    </row>
    <row r="97" spans="1:20" x14ac:dyDescent="0.2">
      <c r="A97" s="43"/>
      <c r="B97" s="138"/>
      <c r="C97" s="143"/>
      <c r="D97" s="137"/>
      <c r="E97" s="137"/>
      <c r="F97" s="143"/>
      <c r="G97" s="143"/>
      <c r="H97" s="143"/>
      <c r="I97" s="143"/>
      <c r="J97" s="143"/>
      <c r="K97" s="145"/>
      <c r="L97" s="145"/>
      <c r="M97" s="145"/>
      <c r="N97" s="145"/>
      <c r="O97" s="145"/>
      <c r="P97" s="145"/>
      <c r="Q97" s="145"/>
      <c r="R97" s="145"/>
      <c r="S97" s="145"/>
      <c r="T97" s="145"/>
    </row>
    <row r="98" spans="1:20" x14ac:dyDescent="0.2">
      <c r="A98" s="147" t="s">
        <v>392</v>
      </c>
      <c r="C98" s="94"/>
      <c r="D98" s="94"/>
      <c r="E98" s="94"/>
      <c r="F98" s="94"/>
      <c r="G98" s="94"/>
      <c r="H98" s="94"/>
      <c r="I98" s="94"/>
      <c r="J98" s="94"/>
      <c r="T98" s="99"/>
    </row>
    <row r="99" spans="1:20" x14ac:dyDescent="0.2">
      <c r="A99" s="47" t="s">
        <v>533</v>
      </c>
      <c r="B99" s="54"/>
      <c r="C99" s="94"/>
      <c r="D99" s="94">
        <f>Data!C$41</f>
        <v>0.64500000000000002</v>
      </c>
      <c r="E99" s="94">
        <f>Data!D$41</f>
        <v>0.69</v>
      </c>
      <c r="F99" s="180">
        <f>Data!E$41</f>
        <v>0.65400000000000003</v>
      </c>
      <c r="G99" s="180">
        <f>Data!F$41</f>
        <v>0.55500000000000005</v>
      </c>
      <c r="H99" s="180">
        <f>Data!G$41</f>
        <v>0.54500000000000004</v>
      </c>
      <c r="I99" s="180">
        <f>Data!H$41</f>
        <v>0.54800000000000004</v>
      </c>
      <c r="J99" s="180">
        <f>Data!I$41</f>
        <v>0.54900000000000004</v>
      </c>
      <c r="K99" s="99">
        <f>J$99*Tracks!N$15/Tracks!M$15</f>
        <v>0.54919879948618766</v>
      </c>
      <c r="L99" s="99">
        <f>K$99*Tracks!O$15/Tracks!N$15</f>
        <v>0.55186840178859653</v>
      </c>
      <c r="M99" s="99">
        <f>L$99*Tracks!P$15/Tracks!O$15</f>
        <v>0.55641457728701771</v>
      </c>
      <c r="N99" s="99">
        <f>M$99*Tracks!Q$15/Tracks!P$15</f>
        <v>0.5607143390001228</v>
      </c>
      <c r="O99" s="99">
        <f>N$99*Tracks!R$15/Tracks!Q$15</f>
        <v>0.56359995486873737</v>
      </c>
      <c r="P99" s="99">
        <f>O$99*Tracks!S$15/Tracks!R$15</f>
        <v>0.56679317987123268</v>
      </c>
      <c r="Q99" s="99">
        <f>P$99*Tracks!T$15/Tracks!S$15</f>
        <v>0.56882603860873904</v>
      </c>
      <c r="R99" s="99">
        <f>Q$99*Tracks!U$15/Tracks!T$15</f>
        <v>0.56882150549949051</v>
      </c>
      <c r="S99" s="99">
        <f>R$99*Tracks!V$15/Tracks!U$15</f>
        <v>0.56719075174178057</v>
      </c>
      <c r="T99" s="99">
        <f>S$99*Tracks!W$15/Tracks!V$15</f>
        <v>0.5646221252562027</v>
      </c>
    </row>
    <row r="100" spans="1:20" x14ac:dyDescent="0.2">
      <c r="A100" s="47" t="s">
        <v>218</v>
      </c>
      <c r="B100" s="54"/>
      <c r="C100" s="94"/>
      <c r="D100" s="94">
        <f>Data!C$49</f>
        <v>0</v>
      </c>
      <c r="E100" s="94">
        <f>Data!D$49</f>
        <v>1.101</v>
      </c>
      <c r="F100" s="180">
        <f>Data!E$49</f>
        <v>1.3484</v>
      </c>
      <c r="G100" s="180">
        <f>Data!F$49</f>
        <v>0.88178999999999996</v>
      </c>
      <c r="H100" s="180">
        <f>Data!G$49</f>
        <v>0.90664000000000011</v>
      </c>
      <c r="I100" s="180">
        <f>Data!H$49</f>
        <v>0.91719000000000006</v>
      </c>
      <c r="J100" s="180">
        <f>Data!I$49</f>
        <v>0.94981999999999989</v>
      </c>
      <c r="K100" s="99">
        <f>Tracks!H$107/1000</f>
        <v>0.96916329163779924</v>
      </c>
      <c r="L100" s="99">
        <f>Tracks!I$107/1000</f>
        <v>0.98151486803044119</v>
      </c>
      <c r="M100" s="99">
        <f>Tracks!J$107/1000</f>
        <v>0.99677589228536034</v>
      </c>
      <c r="N100" s="99">
        <f>Tracks!K$107/1000</f>
        <v>1.0170199601204142</v>
      </c>
      <c r="O100" s="99">
        <f>Tracks!L$107/1000</f>
        <v>1.0367822031177616</v>
      </c>
      <c r="P100" s="99">
        <f>Tracks!M$107/1000</f>
        <v>1.0559440976578072</v>
      </c>
      <c r="Q100" s="382">
        <f>P$100*(1+Popn!Q$197)</f>
        <v>1.0640242764374679</v>
      </c>
      <c r="R100" s="99">
        <f>Q$100*(1+Popn!R$197)</f>
        <v>1.0719965996605594</v>
      </c>
      <c r="S100" s="99">
        <f>R$100*(1+Popn!S$197)</f>
        <v>1.0798430914009864</v>
      </c>
      <c r="T100" s="99">
        <f>S$100*(1+Popn!T$197)</f>
        <v>1.0875615046679874</v>
      </c>
    </row>
    <row r="101" spans="1:20" x14ac:dyDescent="0.2">
      <c r="A101" s="93" t="s">
        <v>575</v>
      </c>
      <c r="B101" s="54"/>
      <c r="C101" s="94"/>
      <c r="D101" s="94">
        <f ca="1">Data!C$45+IF(OFFSET(Scenarios!$A$62,0,$C$1)="Yes",OFFSET(Scenarios!$A$65,0,$C$1)*D$70,0)</f>
        <v>2.6989999999999998</v>
      </c>
      <c r="E101" s="94">
        <f ca="1">Data!D$45+IF(OFFSET(Scenarios!$A$62,0,$C$1)="Yes",OFFSET(Scenarios!$A$65,0,$C$1)*E$70,0)</f>
        <v>2.8940000000000001</v>
      </c>
      <c r="F101" s="180">
        <f ca="1">Data!E$45+IF(OFFSET(Scenarios!$A$62,0,$C$1)="Yes",OFFSET(Scenarios!$A$65,0,$C$1)*F$70,0)</f>
        <v>3.1389999999999998</v>
      </c>
      <c r="G101" s="180">
        <f ca="1">Data!F$45+IF(OFFSET(Scenarios!$A$62,0,$C$1)="Yes",OFFSET(Scenarios!$A$65,0,$C$1)*G$70,0)</f>
        <v>3.13</v>
      </c>
      <c r="H101" s="180">
        <f ca="1">Data!G$45+IF(OFFSET(Scenarios!$A$62,0,$C$1)="Yes",OFFSET(Scenarios!$A$65,0,$C$1)*H$70,0)</f>
        <v>3.13</v>
      </c>
      <c r="I101" s="180">
        <f ca="1">Data!H$45+IF(OFFSET(Scenarios!$A$62,0,$C$1)="Yes",OFFSET(Scenarios!$A$65,0,$C$1)*I$70,0)</f>
        <v>3.1280000000000001</v>
      </c>
      <c r="J101" s="180">
        <f ca="1">Data!I$45+IF(OFFSET(Scenarios!$A$62,0,$C$1)="Yes",OFFSET(Scenarios!$A$65,0,$C$1)*J$70,0)</f>
        <v>3.1429999999999998</v>
      </c>
      <c r="K101" s="99">
        <f ca="1">J$101*(1+K$222)+IF(OFFSET(Scenarios!$A$62,0,$C$1)="Yes",(K$70-J$70*(1+K$222))*SUM(OFFSET(Scenarios!$A$65,0,$C$1)),0)</f>
        <v>3.1745006367251891</v>
      </c>
      <c r="L101" s="99">
        <f ca="1">K$101*(1+L$222)+IF(OFFSET(Scenarios!$A$62,0,$C$1)="Yes",(L$70-K$70*(1+L$222))*SUM(OFFSET(Scenarios!$A$65,0,$C$1)),0)</f>
        <v>3.2073119673548898</v>
      </c>
      <c r="M101" s="99">
        <f ca="1">L$101*(1+M$222)+IF(OFFSET(Scenarios!$A$62,0,$C$1)="Yes",(M$70-L$70*(1+M$222))*SUM(OFFSET(Scenarios!$A$65,0,$C$1)),0)</f>
        <v>3.2389445531308687</v>
      </c>
      <c r="N101" s="99">
        <f ca="1">M$101*(1+N$222)+IF(OFFSET(Scenarios!$A$62,0,$C$1)="Yes",(N$70-M$70*(1+N$222))*SUM(OFFSET(Scenarios!$A$65,0,$C$1)),0)</f>
        <v>3.2683252084400372</v>
      </c>
      <c r="O101" s="99">
        <f ca="1">N$101*(1+O$222)+IF(OFFSET(Scenarios!$A$62,0,$C$1)="Yes",(O$70-N$70*(1+O$222))*SUM(OFFSET(Scenarios!$A$65,0,$C$1)),0)</f>
        <v>3.2978202195932234</v>
      </c>
      <c r="P101" s="99">
        <f ca="1">O$101*(1+P$222)+IF(OFFSET(Scenarios!$A$62,0,$C$1)="Yes",(P$70-O$70*(1+P$222))*SUM(OFFSET(Scenarios!$A$65,0,$C$1)),0)</f>
        <v>3.3283004503256395</v>
      </c>
      <c r="Q101" s="99">
        <f ca="1">P$101*(1+Q$222)+IF(OFFSET(Scenarios!$A$62,0,$C$1)="Yes",(Q$70-P$70*(1+Q$222))*SUM(OFFSET(Scenarios!$A$65,0,$C$1)),0)</f>
        <v>3.3583144610785989</v>
      </c>
      <c r="R101" s="99">
        <f ca="1">Q$101*(1+R$222)+IF(OFFSET(Scenarios!$A$62,0,$C$1)="Yes",(R$70-Q$70*(1+R$222))*SUM(OFFSET(Scenarios!$A$65,0,$C$1)),0)</f>
        <v>3.3895336064954367</v>
      </c>
      <c r="S101" s="99">
        <f ca="1">R$101*(1+S$222)+IF(OFFSET(Scenarios!$A$62,0,$C$1)="Yes",(S$70-R$70*(1+S$222))*SUM(OFFSET(Scenarios!$A$65,0,$C$1)),0)</f>
        <v>3.4224592929691551</v>
      </c>
      <c r="T101" s="99">
        <f ca="1">S$101*(1+T$222)+IF(OFFSET(Scenarios!$A$62,0,$C$1)="Yes",(T$70-S$70*(1+T$222))*SUM(OFFSET(Scenarios!$A$65,0,$C$1)),0)</f>
        <v>3.4551826575649955</v>
      </c>
    </row>
    <row r="102" spans="1:20" x14ac:dyDescent="0.2">
      <c r="A102" s="93" t="s">
        <v>766</v>
      </c>
      <c r="B102" s="54"/>
      <c r="C102" s="94"/>
      <c r="D102" s="94">
        <f ca="1">Data!C$46+IF(OFFSET(Scenarios!$A$62,0,$C$1)="Yes",OFFSET(Scenarios!$A$66,0,$C$1)*D$70,0)</f>
        <v>1.5169999999999999</v>
      </c>
      <c r="E102" s="94">
        <f ca="1">Data!D$46+IF(OFFSET(Scenarios!$A$62,0,$C$1)="Yes",OFFSET(Scenarios!$A$66,0,$C$1)*E$70,0)</f>
        <v>1.5620000000000001</v>
      </c>
      <c r="F102" s="180">
        <f ca="1">Data!E$46+IF(OFFSET(Scenarios!$A$62,0,$C$1)="Yes",OFFSET(Scenarios!$A$66,0,$C$1)*F$70,0)</f>
        <v>1.756</v>
      </c>
      <c r="G102" s="180">
        <f ca="1">Data!F$46+IF(OFFSET(Scenarios!$A$62,0,$C$1)="Yes",OFFSET(Scenarios!$A$66,0,$C$1)*G$70,0)</f>
        <v>1.7310000000000001</v>
      </c>
      <c r="H102" s="180">
        <f ca="1">Data!G$46+IF(OFFSET(Scenarios!$A$62,0,$C$1)="Yes",OFFSET(Scenarios!$A$66,0,$C$1)*H$70,0)</f>
        <v>1.718</v>
      </c>
      <c r="I102" s="180">
        <f ca="1">Data!H$46+IF(OFFSET(Scenarios!$A$62,0,$C$1)="Yes",OFFSET(Scenarios!$A$66,0,$C$1)*I$70,0)</f>
        <v>1.7090000000000001</v>
      </c>
      <c r="J102" s="180">
        <f ca="1">Data!I$46+IF(OFFSET(Scenarios!$A$62,0,$C$1)="Yes",OFFSET(Scenarios!$A$66,0,$C$1)*J$70,0)</f>
        <v>1.708</v>
      </c>
      <c r="K102" s="99">
        <f ca="1">J$102*(1+K$224)+IF(OFFSET(Scenarios!$A$62,0,$C$1)="Yes",(K$70-J$70*(1+K$224))*SUM(OFFSET(Scenarios!$A$66,0,$C$1)),0)</f>
        <v>1.7237857052505268</v>
      </c>
      <c r="L102" s="99">
        <f ca="1">K$102*(1+L$224)+IF(OFFSET(Scenarios!$A$62,0,$C$1)="Yes",(L$70-K$70*(1+L$224))*SUM(OFFSET(Scenarios!$A$66,0,$C$1)),0)</f>
        <v>1.7400243587903217</v>
      </c>
      <c r="M102" s="99">
        <f ca="1">L$102*(1+M$224)+IF(OFFSET(Scenarios!$A$62,0,$C$1)="Yes",(M$70-L$70*(1+M$224))*SUM(OFFSET(Scenarios!$A$66,0,$C$1)),0)</f>
        <v>1.7559642807002911</v>
      </c>
      <c r="N102" s="99">
        <f ca="1">M$102*(1+N$224)+IF(OFFSET(Scenarios!$A$62,0,$C$1)="Yes",(N$70-M$70*(1+N$224))*SUM(OFFSET(Scenarios!$A$66,0,$C$1)),0)</f>
        <v>1.7704145747214592</v>
      </c>
      <c r="O102" s="99">
        <f ca="1">N$102*(1+O$224)+IF(OFFSET(Scenarios!$A$62,0,$C$1)="Yes",(O$70-N$70*(1+O$224))*SUM(OFFSET(Scenarios!$A$66,0,$C$1)),0)</f>
        <v>1.7824057174191656</v>
      </c>
      <c r="P102" s="99">
        <f ca="1">O$102*(1+P$224)+IF(OFFSET(Scenarios!$A$62,0,$C$1)="Yes",(P$70-O$70*(1+P$224))*SUM(OFFSET(Scenarios!$A$66,0,$C$1)),0)</f>
        <v>1.7939612145302659</v>
      </c>
      <c r="Q102" s="99">
        <f ca="1">P$102*(1+Q$224)+IF(OFFSET(Scenarios!$A$62,0,$C$1)="Yes",(Q$70-P$70*(1+Q$224))*SUM(OFFSET(Scenarios!$A$66,0,$C$1)),0)</f>
        <v>1.8051751001375576</v>
      </c>
      <c r="R102" s="99">
        <f ca="1">Q$102*(1+R$224)+IF(OFFSET(Scenarios!$A$62,0,$C$1)="Yes",(R$70-Q$70*(1+R$224))*SUM(OFFSET(Scenarios!$A$66,0,$C$1)),0)</f>
        <v>1.8158962946204777</v>
      </c>
      <c r="S102" s="99">
        <f ca="1">R$102*(1+S$224)+IF(OFFSET(Scenarios!$A$62,0,$C$1)="Yes",(S$70-R$70*(1+S$224))*SUM(OFFSET(Scenarios!$A$66,0,$C$1)),0)</f>
        <v>1.8266234451488654</v>
      </c>
      <c r="T102" s="99">
        <f ca="1">S$102*(1+T$224)+IF(OFFSET(Scenarios!$A$62,0,$C$1)="Yes",(T$70-S$70*(1+T$224))*SUM(OFFSET(Scenarios!$A$66,0,$C$1)),0)</f>
        <v>1.836559200893739</v>
      </c>
    </row>
    <row r="103" spans="1:20" x14ac:dyDescent="0.2">
      <c r="A103" s="93" t="s">
        <v>569</v>
      </c>
      <c r="B103" s="54"/>
      <c r="C103" s="94"/>
      <c r="D103" s="94">
        <f ca="1">Data!C$47+IF(OFFSET(Scenarios!$A$62,0,$C$1)="Yes",OFFSET(Scenarios!$A$67,0,$C$1)*D$70,0)</f>
        <v>2.4049999999999998</v>
      </c>
      <c r="E103" s="94">
        <f ca="1">Data!D$47+IF(OFFSET(Scenarios!$A$62,0,$C$1)="Yes",OFFSET(Scenarios!$A$67,0,$C$1)*E$70,0)</f>
        <v>2.2440000000000002</v>
      </c>
      <c r="F103" s="180">
        <f ca="1">Data!E$47+IF(OFFSET(Scenarios!$A$62,0,$C$1)="Yes",OFFSET(Scenarios!$A$67,0,$C$1)*F$70,0)</f>
        <v>3.8140000000000001</v>
      </c>
      <c r="G103" s="180">
        <f ca="1">Data!F$47+IF(OFFSET(Scenarios!$A$62,0,$C$1)="Yes",OFFSET(Scenarios!$A$67,0,$C$1)*G$70,0)</f>
        <v>2.649</v>
      </c>
      <c r="H103" s="180">
        <f ca="1">Data!G$47+IF(OFFSET(Scenarios!$A$62,0,$C$1)="Yes",OFFSET(Scenarios!$A$67,0,$C$1)*H$70,0)</f>
        <v>2.6150000000000002</v>
      </c>
      <c r="I103" s="180">
        <f ca="1">Data!H$47+IF(OFFSET(Scenarios!$A$62,0,$C$1)="Yes",OFFSET(Scenarios!$A$67,0,$C$1)*I$70,0)</f>
        <v>2.5150000000000001</v>
      </c>
      <c r="J103" s="180">
        <f ca="1">Data!I$47+IF(OFFSET(Scenarios!$A$62,0,$C$1)="Yes",OFFSET(Scenarios!$A$67,0,$C$1)*J$70,0)</f>
        <v>2.548</v>
      </c>
      <c r="K103" s="99">
        <f ca="1">J$103*(1+K$224)+IF(OFFSET(Scenarios!$A$62,0,$C$1)="Yes",(K$70-J$70*(1+K$224))*SUM(OFFSET(Scenarios!$A$67,0,$C$1)),0)</f>
        <v>2.5715491668491466</v>
      </c>
      <c r="L103" s="99">
        <f ca="1">K$103*(1+L$224)+IF(OFFSET(Scenarios!$A$62,0,$C$1)="Yes",(L$70-K$70*(1+L$224))*SUM(OFFSET(Scenarios!$A$67,0,$C$1)),0)</f>
        <v>2.5957740434412995</v>
      </c>
      <c r="M103" s="99">
        <f ca="1">L$103*(1+M$224)+IF(OFFSET(Scenarios!$A$62,0,$C$1)="Yes",(M$70-L$70*(1+M$224))*SUM(OFFSET(Scenarios!$A$67,0,$C$1)),0)</f>
        <v>2.6195532712086309</v>
      </c>
      <c r="N103" s="99">
        <f ca="1">M$103*(1+N$224)+IF(OFFSET(Scenarios!$A$62,0,$C$1)="Yes",(N$70-M$70*(1+N$224))*SUM(OFFSET(Scenarios!$A$67,0,$C$1)),0)</f>
        <v>2.6411102672074227</v>
      </c>
      <c r="O103" s="99">
        <f ca="1">N$103*(1+O$224)+IF(OFFSET(Scenarios!$A$62,0,$C$1)="Yes",(O$70-N$70*(1+O$224))*SUM(OFFSET(Scenarios!$A$67,0,$C$1)),0)</f>
        <v>2.658998693199083</v>
      </c>
      <c r="P103" s="99">
        <f ca="1">O$103*(1+P$224)+IF(OFFSET(Scenarios!$A$62,0,$C$1)="Yes",(P$70-O$70*(1+P$224))*SUM(OFFSET(Scenarios!$A$67,0,$C$1)),0)</f>
        <v>2.6762372216762982</v>
      </c>
      <c r="Q103" s="99">
        <f ca="1">P$103*(1+Q$224)+IF(OFFSET(Scenarios!$A$62,0,$C$1)="Yes",(Q$70-P$70*(1+Q$224))*SUM(OFFSET(Scenarios!$A$67,0,$C$1)),0)</f>
        <v>2.692966132992094</v>
      </c>
      <c r="R103" s="99">
        <f ca="1">Q$103*(1+R$224)+IF(OFFSET(Scenarios!$A$62,0,$C$1)="Yes",(R$70-Q$70*(1+R$224))*SUM(OFFSET(Scenarios!$A$67,0,$C$1)),0)</f>
        <v>2.7089600460731718</v>
      </c>
      <c r="S103" s="99">
        <f ca="1">R$103*(1+S$224)+IF(OFFSET(Scenarios!$A$62,0,$C$1)="Yes",(S$70-R$70*(1+S$224))*SUM(OFFSET(Scenarios!$A$67,0,$C$1)),0)</f>
        <v>2.7249628444024059</v>
      </c>
      <c r="T103" s="99">
        <f ca="1">S$103*(1+T$224)+IF(OFFSET(Scenarios!$A$62,0,$C$1)="Yes",(T$70-S$70*(1+T$224))*SUM(OFFSET(Scenarios!$A$67,0,$C$1)),0)</f>
        <v>2.7397850373988568</v>
      </c>
    </row>
    <row r="104" spans="1:20" x14ac:dyDescent="0.2">
      <c r="A104" s="93" t="s">
        <v>895</v>
      </c>
      <c r="B104" s="54"/>
      <c r="C104" s="94"/>
      <c r="D104" s="94">
        <f ca="1">SUM(Data!C$44,Data!C$48,Data!C$50:C$51,Data!C$53:C$54,Data!C$58)+IF(OFFSET(Scenarios!$A$62,0,$C$1)="Yes",(1-SUM(OFFSET(Scenarios!$A$63,0,$C$1,5,1)))*D$70,0)</f>
        <v>8.016</v>
      </c>
      <c r="E104" s="94">
        <f ca="1">SUM(Data!D$44,Data!D$48,Data!D$50:D$51,Data!D$53:D$54,Data!D$58)+IF(OFFSET(Scenarios!$A$62,0,$C$1)="Yes",(1-SUM(OFFSET(Scenarios!$A$63,0,$C$1,5,1)))*E$70,0)</f>
        <v>7.3209999999999997</v>
      </c>
      <c r="F104" s="180">
        <f ca="1">SUM(Data!E$44,Data!E$48,Data!E$50:E$51,Data!E$53:E$54,Data!E$58)+IF(OFFSET(Scenarios!$A$62,0,$C$1)="Yes",(1-SUM(OFFSET(Scenarios!$A$63,0,$C$1,5,1)))*F$70,0)</f>
        <v>6.3395999999999999</v>
      </c>
      <c r="G104" s="180">
        <f ca="1">SUM(Data!F$44,Data!F$48,Data!F$50:F$51,Data!F$53:F$54,Data!F$58)+IF(OFFSET(Scenarios!$A$62,0,$C$1)="Yes",(1-SUM(OFFSET(Scenarios!$A$63,0,$C$1,5,1)))*G$70,0)</f>
        <v>7.2762100000000007</v>
      </c>
      <c r="H104" s="180">
        <f ca="1">SUM(Data!G$44,Data!G$48,Data!G$50:G$51,Data!G$53:G$54,Data!G$58)+IF(OFFSET(Scenarios!$A$62,0,$C$1)="Yes",(1-SUM(OFFSET(Scenarios!$A$63,0,$C$1,5,1)))*H$70,0)</f>
        <v>7.3703599999999998</v>
      </c>
      <c r="I104" s="180">
        <f ca="1">SUM(Data!H$44,Data!H$48,Data!H$50:H$51,Data!H$53:H$54,Data!H$58)+IF(OFFSET(Scenarios!$A$62,0,$C$1)="Yes",(1-SUM(OFFSET(Scenarios!$A$63,0,$C$1,5,1)))*I$70,0)</f>
        <v>7.5198100000000005</v>
      </c>
      <c r="J104" s="180">
        <f ca="1">SUM(Data!I$44,Data!I$48,Data!I$50:I$51,Data!I$53:I$54,Data!I$58)+IF(OFFSET(Scenarios!$A$62,0,$C$1)="Yes",(1-SUM(OFFSET(Scenarios!$A$63,0,$C$1,5,1)))*J$70,0)</f>
        <v>7.67218</v>
      </c>
      <c r="K104" s="99">
        <f ca="1">J$104*(1+K$222)+IF(OFFSET(Scenarios!$A$62,0,$C$1)="Yes",(K$70-J$70*(1+K$222))*(1-SUM(OFFSET(Scenarios!$A$63,0,$C$1,5,1))),0)</f>
        <v>7.7490742268756803</v>
      </c>
      <c r="L104" s="99">
        <f ca="1">K$104*(1+L$222)+IF(OFFSET(Scenarios!$A$62,0,$C$1)="Yes",(L$70-K$70*(1+L$222))*(1-SUM(OFFSET(Scenarios!$A$63,0,$C$1,5,1))),0)</f>
        <v>7.8291679063636144</v>
      </c>
      <c r="M104" s="99">
        <f ca="1">L$104*(1+M$222)+IF(OFFSET(Scenarios!$A$62,0,$C$1)="Yes",(M$70-L$70*(1+M$222))*(1-SUM(OFFSET(Scenarios!$A$63,0,$C$1,5,1))),0)</f>
        <v>7.9063842257841523</v>
      </c>
      <c r="N104" s="99">
        <f ca="1">M$104*(1+N$222)+IF(OFFSET(Scenarios!$A$62,0,$C$1)="Yes",(N$70-M$70*(1+N$222))*(1-SUM(OFFSET(Scenarios!$A$63,0,$C$1,5,1))),0)</f>
        <v>7.9781034991057869</v>
      </c>
      <c r="O104" s="99">
        <f ca="1">N$104*(1+O$222)+IF(OFFSET(Scenarios!$A$62,0,$C$1)="Yes",(O$70-N$70*(1+O$222))*(1-SUM(OFFSET(Scenarios!$A$63,0,$C$1,5,1))),0)</f>
        <v>8.0501019192996317</v>
      </c>
      <c r="P104" s="99">
        <f ca="1">O$104*(1+P$222)+IF(OFFSET(Scenarios!$A$62,0,$C$1)="Yes",(P$70-O$70*(1+P$222))*(1-SUM(OFFSET(Scenarios!$A$63,0,$C$1,5,1))),0)</f>
        <v>8.1245052971617469</v>
      </c>
      <c r="Q104" s="99">
        <f ca="1">P$104*(1+Q$222)+IF(OFFSET(Scenarios!$A$62,0,$C$1)="Yes",(Q$70-P$70*(1+Q$222))*(1-SUM(OFFSET(Scenarios!$A$63,0,$C$1,5,1))),0)</f>
        <v>8.1977706146986993</v>
      </c>
      <c r="R104" s="99">
        <f ca="1">Q$104*(1+R$222)+IF(OFFSET(Scenarios!$A$62,0,$C$1)="Yes",(R$70-Q$70*(1+R$222))*(1-SUM(OFFSET(Scenarios!$A$63,0,$C$1,5,1))),0)</f>
        <v>8.2739777108120158</v>
      </c>
      <c r="S104" s="99">
        <f ca="1">R$104*(1+S$222)+IF(OFFSET(Scenarios!$A$62,0,$C$1)="Yes",(S$70-R$70*(1+S$222))*(1-SUM(OFFSET(Scenarios!$A$63,0,$C$1,5,1))),0)</f>
        <v>8.3543505371721594</v>
      </c>
      <c r="T104" s="99">
        <f ca="1">S$104*(1+T$222)+IF(OFFSET(Scenarios!$A$62,0,$C$1)="Yes",(T$70-S$70*(1+T$222))*(1-SUM(OFFSET(Scenarios!$A$63,0,$C$1,5,1))),0)</f>
        <v>8.4342294882968538</v>
      </c>
    </row>
    <row r="105" spans="1:20" x14ac:dyDescent="0.2">
      <c r="A105" s="258" t="s">
        <v>130</v>
      </c>
      <c r="B105" s="54"/>
      <c r="C105" s="94"/>
      <c r="D105" s="280">
        <f>Data!C$52</f>
        <v>0</v>
      </c>
      <c r="E105" s="280">
        <f>Data!D$52</f>
        <v>0</v>
      </c>
      <c r="F105" s="186">
        <f>Data!E$52</f>
        <v>0.32700000000000001</v>
      </c>
      <c r="G105" s="186">
        <f>Data!F$52</f>
        <v>0.95599999999999996</v>
      </c>
      <c r="H105" s="186">
        <f>Data!G$52</f>
        <v>0.629</v>
      </c>
      <c r="I105" s="186">
        <f>Data!H$52</f>
        <v>0.64200000000000002</v>
      </c>
      <c r="J105" s="186">
        <f>Data!I$52</f>
        <v>1.07</v>
      </c>
      <c r="K105" s="107">
        <f>Tracks!H$115</f>
        <v>1.35</v>
      </c>
      <c r="L105" s="107">
        <f>Tracks!I$115</f>
        <v>1.35</v>
      </c>
      <c r="M105" s="107">
        <f>Tracks!J$115</f>
        <v>1.35</v>
      </c>
      <c r="N105" s="107">
        <f>Tracks!K$115</f>
        <v>1.35</v>
      </c>
      <c r="O105" s="107">
        <f>Tracks!L$115</f>
        <v>1.35</v>
      </c>
      <c r="P105" s="107">
        <f>Tracks!M$115</f>
        <v>1.2479166666666666</v>
      </c>
      <c r="Q105" s="107">
        <f>Tracks!N$115</f>
        <v>1.1458333333333335</v>
      </c>
      <c r="R105" s="107">
        <f>Tracks!O$115</f>
        <v>1.04375</v>
      </c>
      <c r="S105" s="107">
        <f>Tracks!P$115</f>
        <v>0.94166666666666665</v>
      </c>
      <c r="T105" s="107">
        <f>Tracks!Q$115</f>
        <v>0.83958333333333335</v>
      </c>
    </row>
    <row r="106" spans="1:20" x14ac:dyDescent="0.2">
      <c r="A106" s="43" t="s">
        <v>180</v>
      </c>
      <c r="B106" s="54"/>
      <c r="C106" s="94"/>
      <c r="D106" s="96">
        <f t="shared" ref="D106:T106" ca="1" si="46">SUM(D$99:D$105)</f>
        <v>15.282</v>
      </c>
      <c r="E106" s="96">
        <f t="shared" ca="1" si="46"/>
        <v>15.812000000000001</v>
      </c>
      <c r="F106" s="187">
        <f t="shared" ca="1" si="46"/>
        <v>17.378000000000004</v>
      </c>
      <c r="G106" s="187">
        <f t="shared" ca="1" si="46"/>
        <v>17.178999999999998</v>
      </c>
      <c r="H106" s="187">
        <f t="shared" ca="1" si="46"/>
        <v>16.914000000000001</v>
      </c>
      <c r="I106" s="187">
        <f t="shared" ca="1" si="46"/>
        <v>16.978999999999999</v>
      </c>
      <c r="J106" s="187">
        <f t="shared" ca="1" si="46"/>
        <v>17.64</v>
      </c>
      <c r="K106" s="101">
        <f t="shared" ca="1" si="46"/>
        <v>18.08727182682453</v>
      </c>
      <c r="L106" s="101">
        <f t="shared" ca="1" si="46"/>
        <v>18.255661545769165</v>
      </c>
      <c r="M106" s="101">
        <f t="shared" ca="1" si="46"/>
        <v>18.424036800396323</v>
      </c>
      <c r="N106" s="101">
        <f t="shared" ca="1" si="46"/>
        <v>18.585687848595242</v>
      </c>
      <c r="O106" s="101">
        <f t="shared" ca="1" si="46"/>
        <v>18.739708707497606</v>
      </c>
      <c r="P106" s="101">
        <f t="shared" ca="1" si="46"/>
        <v>18.793658127889653</v>
      </c>
      <c r="Q106" s="101">
        <f t="shared" ca="1" si="46"/>
        <v>18.832909957286489</v>
      </c>
      <c r="R106" s="101">
        <f t="shared" ca="1" si="46"/>
        <v>18.872935763161149</v>
      </c>
      <c r="S106" s="101">
        <f t="shared" ca="1" si="46"/>
        <v>18.917096629502019</v>
      </c>
      <c r="T106" s="101">
        <f t="shared" ca="1" si="46"/>
        <v>18.957523347411968</v>
      </c>
    </row>
    <row r="107" spans="1:20" x14ac:dyDescent="0.2">
      <c r="A107" s="43" t="s">
        <v>723</v>
      </c>
      <c r="B107" s="138"/>
      <c r="C107" s="94"/>
      <c r="D107" s="96">
        <f ca="1">SUM(Data!C$18:C$28)-SUM(Data!C$44:C$54)+D$106</f>
        <v>25.501000000000001</v>
      </c>
      <c r="E107" s="96">
        <f ca="1">SUM(Data!D$18:D$28)-SUM(Data!D$44:D$54)+E$106</f>
        <v>30.026</v>
      </c>
      <c r="F107" s="187">
        <f ca="1">SUM(Data!E$18:E$28)-SUM(Data!E$44:E$54)+F$106</f>
        <v>31.644000000000005</v>
      </c>
      <c r="G107" s="187">
        <f ca="1">SUM(Data!F$18:F$28)-SUM(Data!F$44:F$54)+G$106</f>
        <v>32.215999999999994</v>
      </c>
      <c r="H107" s="187">
        <f ca="1">SUM(Data!G$18:G$28)-SUM(Data!G$44:G$54)+H$106</f>
        <v>33.191000000000003</v>
      </c>
      <c r="I107" s="187">
        <f ca="1">SUM(Data!H$18:H$28)-SUM(Data!H$44:H$54)+I$106</f>
        <v>33.509</v>
      </c>
      <c r="J107" s="187">
        <f ca="1">SUM(Data!I$18:I$28)-SUM(Data!I$44:I$54)+J$106</f>
        <v>34.634</v>
      </c>
      <c r="K107" s="146">
        <f t="shared" ref="K107:T107" ca="1" si="47">(J$107-J$106)*(1+K$215)+K$106</f>
        <v>35.862396798783863</v>
      </c>
      <c r="L107" s="146">
        <f t="shared" ca="1" si="47"/>
        <v>36.851076720004613</v>
      </c>
      <c r="M107" s="146">
        <f t="shared" ca="1" si="47"/>
        <v>37.872572822628271</v>
      </c>
      <c r="N107" s="146">
        <f t="shared" ca="1" si="47"/>
        <v>38.905563599085362</v>
      </c>
      <c r="O107" s="146">
        <f t="shared" ca="1" si="47"/>
        <v>39.919362289290305</v>
      </c>
      <c r="P107" s="146">
        <f t="shared" ca="1" si="47"/>
        <v>40.863110115623343</v>
      </c>
      <c r="Q107" s="146">
        <f t="shared" ca="1" si="47"/>
        <v>41.824237482930016</v>
      </c>
      <c r="R107" s="146">
        <f t="shared" ca="1" si="47"/>
        <v>42.81722612316257</v>
      </c>
      <c r="S107" s="146">
        <f t="shared" ca="1" si="47"/>
        <v>43.85306104500026</v>
      </c>
      <c r="T107" s="146">
        <f t="shared" ca="1" si="47"/>
        <v>44.914152251765984</v>
      </c>
    </row>
    <row r="108" spans="1:20" x14ac:dyDescent="0.2">
      <c r="A108" s="43"/>
      <c r="B108" s="138"/>
      <c r="C108" s="94"/>
      <c r="D108" s="96"/>
      <c r="E108" s="96"/>
      <c r="F108" s="187"/>
      <c r="G108" s="187"/>
      <c r="H108" s="187"/>
      <c r="I108" s="187"/>
      <c r="J108" s="187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</row>
    <row r="109" spans="1:20" x14ac:dyDescent="0.2">
      <c r="A109" s="147" t="s">
        <v>659</v>
      </c>
      <c r="B109" s="138"/>
      <c r="C109" s="94"/>
      <c r="D109" s="96"/>
      <c r="E109" s="96"/>
      <c r="F109" s="60"/>
      <c r="G109" s="60"/>
      <c r="H109" s="60"/>
      <c r="I109" s="60"/>
      <c r="J109" s="60"/>
      <c r="K109" s="96"/>
      <c r="L109" s="96"/>
      <c r="M109" s="96"/>
      <c r="N109" s="96"/>
      <c r="O109" s="96"/>
      <c r="P109" s="96"/>
      <c r="Q109" s="96"/>
      <c r="R109" s="96"/>
      <c r="S109" s="96"/>
      <c r="T109" s="96"/>
    </row>
    <row r="110" spans="1:20" x14ac:dyDescent="0.2">
      <c r="A110" s="43" t="s">
        <v>741</v>
      </c>
      <c r="B110" s="138"/>
      <c r="C110" s="94"/>
      <c r="D110" s="96">
        <f>SUM(Data!C$55:C$56)</f>
        <v>2.3290000000000002</v>
      </c>
      <c r="E110" s="96">
        <f>SUM(Data!D$55:D$56)</f>
        <v>2.46</v>
      </c>
      <c r="F110" s="187">
        <f>SUM(Data!E$55:E$56)</f>
        <v>2.5649999999999999</v>
      </c>
      <c r="G110" s="187">
        <f>SUM(Data!F$55:F$56)</f>
        <v>2.484</v>
      </c>
      <c r="H110" s="187">
        <f>SUM(Data!G$55:G$56)</f>
        <v>2.9849999999999999</v>
      </c>
      <c r="I110" s="187">
        <f>SUM(Data!H$55:H$56)</f>
        <v>3.5569999999999999</v>
      </c>
      <c r="J110" s="187">
        <f>SUM(Data!I$55:I$56)</f>
        <v>4.3220000000000001</v>
      </c>
      <c r="K110" s="60">
        <f ca="1">J$204*K$219</f>
        <v>4.6073399999999998</v>
      </c>
      <c r="L110" s="60">
        <f t="shared" ref="L110:T110" ca="1" si="48">K$204*L$219</f>
        <v>5.3174272521507255</v>
      </c>
      <c r="M110" s="60">
        <f t="shared" ca="1" si="48"/>
        <v>6.0347224268644171</v>
      </c>
      <c r="N110" s="60">
        <f t="shared" ca="1" si="48"/>
        <v>6.7434685999963619</v>
      </c>
      <c r="O110" s="60">
        <f t="shared" ca="1" si="48"/>
        <v>7.4096756089978051</v>
      </c>
      <c r="P110" s="60">
        <f t="shared" ca="1" si="48"/>
        <v>8.0781354343689404</v>
      </c>
      <c r="Q110" s="60">
        <f t="shared" ca="1" si="48"/>
        <v>8.7450619540308345</v>
      </c>
      <c r="R110" s="60">
        <f t="shared" ca="1" si="48"/>
        <v>9.4031571009998558</v>
      </c>
      <c r="S110" s="60">
        <f t="shared" ca="1" si="48"/>
        <v>10.077831507894395</v>
      </c>
      <c r="T110" s="60">
        <f t="shared" ca="1" si="48"/>
        <v>10.768496623664495</v>
      </c>
    </row>
    <row r="111" spans="1:20" x14ac:dyDescent="0.2">
      <c r="A111" s="43" t="s">
        <v>757</v>
      </c>
      <c r="B111" s="138"/>
      <c r="C111" s="94"/>
      <c r="D111" s="96">
        <f>SUM(Data!C$29:C$30)</f>
        <v>2.8849999999999998</v>
      </c>
      <c r="E111" s="96">
        <f>SUM(Data!D$29:D$30)</f>
        <v>3.101</v>
      </c>
      <c r="F111" s="187">
        <f>SUM(Data!E$29:E$30)</f>
        <v>3.2189999999999999</v>
      </c>
      <c r="G111" s="187">
        <f>SUM(Data!F$29:F$30)</f>
        <v>3.3149999999999999</v>
      </c>
      <c r="H111" s="187">
        <f>SUM(Data!G$29:G$30)</f>
        <v>3.9330000000000003</v>
      </c>
      <c r="I111" s="187">
        <f>SUM(Data!H$29:H$30)</f>
        <v>4.5360000000000005</v>
      </c>
      <c r="J111" s="187">
        <f>SUM(Data!I$29:I$30)</f>
        <v>5.3800000000000008</v>
      </c>
      <c r="K111" s="101">
        <f ca="1">SUM(J$202,J$199)*K$219</f>
        <v>5.6603999999999992</v>
      </c>
      <c r="L111" s="101">
        <f t="shared" ref="L111:T111" ca="1" si="49">SUM(K$202,K$199)*L$219</f>
        <v>6.3817290677494629</v>
      </c>
      <c r="M111" s="101">
        <f t="shared" ca="1" si="49"/>
        <v>7.1474454140900674</v>
      </c>
      <c r="N111" s="101">
        <f t="shared" ca="1" si="49"/>
        <v>7.9062464384421896</v>
      </c>
      <c r="O111" s="101">
        <f t="shared" ca="1" si="49"/>
        <v>8.6229900227653005</v>
      </c>
      <c r="P111" s="101">
        <f t="shared" ca="1" si="49"/>
        <v>9.3401717677694585</v>
      </c>
      <c r="Q111" s="101">
        <f t="shared" ca="1" si="49"/>
        <v>10.057073853930875</v>
      </c>
      <c r="R111" s="101">
        <f t="shared" ca="1" si="49"/>
        <v>10.766489424156015</v>
      </c>
      <c r="S111" s="101">
        <f t="shared" ca="1" si="49"/>
        <v>11.493687129687945</v>
      </c>
      <c r="T111" s="101">
        <f t="shared" ca="1" si="49"/>
        <v>12.238580115743764</v>
      </c>
    </row>
    <row r="112" spans="1:20" x14ac:dyDescent="0.2">
      <c r="A112" s="43"/>
      <c r="B112" s="138"/>
      <c r="C112" s="94"/>
      <c r="D112" s="96"/>
      <c r="E112" s="96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</row>
    <row r="113" spans="1:20" x14ac:dyDescent="0.2">
      <c r="A113" s="147" t="s">
        <v>660</v>
      </c>
      <c r="B113" s="60"/>
      <c r="C113" s="94"/>
      <c r="D113" s="94"/>
      <c r="E113" s="94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</row>
    <row r="114" spans="1:20" x14ac:dyDescent="0.2">
      <c r="A114" s="47" t="s">
        <v>169</v>
      </c>
      <c r="B114" s="54"/>
      <c r="C114" s="94"/>
      <c r="D114" s="181">
        <f>Data!C$86</f>
        <v>9.8550000000000004</v>
      </c>
      <c r="E114" s="94">
        <f t="shared" ref="E114:T114" si="50">D$120</f>
        <v>12.973000000000001</v>
      </c>
      <c r="F114" s="142">
        <f t="shared" si="50"/>
        <v>14.212000000000002</v>
      </c>
      <c r="G114" s="142">
        <f t="shared" si="50"/>
        <v>14.335000000000003</v>
      </c>
      <c r="H114" s="142">
        <f t="shared" si="50"/>
        <v>17.787000000000003</v>
      </c>
      <c r="I114" s="142">
        <f t="shared" si="50"/>
        <v>21.486000000000001</v>
      </c>
      <c r="J114" s="142">
        <f t="shared" si="50"/>
        <v>25.466999999999999</v>
      </c>
      <c r="K114" s="99">
        <f t="shared" si="50"/>
        <v>29.804000000000002</v>
      </c>
      <c r="L114" s="99">
        <f t="shared" si="50"/>
        <v>34.223940150441813</v>
      </c>
      <c r="M114" s="99">
        <f t="shared" si="50"/>
        <v>38.904630229601949</v>
      </c>
      <c r="N114" s="99">
        <f t="shared" si="50"/>
        <v>43.872807989701251</v>
      </c>
      <c r="O114" s="99">
        <f t="shared" si="50"/>
        <v>49.131233585882313</v>
      </c>
      <c r="P114" s="99">
        <f t="shared" si="50"/>
        <v>54.678501411835057</v>
      </c>
      <c r="Q114" s="99">
        <f t="shared" si="50"/>
        <v>60.510012911569675</v>
      </c>
      <c r="R114" s="99">
        <f t="shared" si="50"/>
        <v>66.625408164445261</v>
      </c>
      <c r="S114" s="99">
        <f t="shared" si="50"/>
        <v>72.949928333775361</v>
      </c>
      <c r="T114" s="99">
        <f t="shared" si="50"/>
        <v>79.472941753894119</v>
      </c>
    </row>
    <row r="115" spans="1:20" x14ac:dyDescent="0.2">
      <c r="A115" s="251" t="s">
        <v>495</v>
      </c>
      <c r="B115" s="54"/>
      <c r="C115" s="94"/>
      <c r="D115" s="94">
        <f>Data!C$87</f>
        <v>2.0489999999999999</v>
      </c>
      <c r="E115" s="94">
        <f>Data!D$87</f>
        <v>2.1040000000000001</v>
      </c>
      <c r="F115" s="142">
        <f>Data!E$87</f>
        <v>2.242</v>
      </c>
      <c r="G115" s="142">
        <f>Data!F$87</f>
        <v>2.2309999999999999</v>
      </c>
      <c r="H115" s="142">
        <f>Data!G$87</f>
        <v>2.258</v>
      </c>
      <c r="I115" s="142">
        <f>Data!H$87</f>
        <v>2.2989999999999999</v>
      </c>
      <c r="J115" s="142">
        <f>Data!I$87</f>
        <v>2.3980000000000001</v>
      </c>
      <c r="K115" s="99">
        <f>Tracks!O$6</f>
        <v>2.3863621594612159</v>
      </c>
      <c r="L115" s="99">
        <f>Tracks!P$6</f>
        <v>2.357448976691142</v>
      </c>
      <c r="M115" s="99">
        <f>Tracks!Q$6</f>
        <v>2.3378409886424087</v>
      </c>
      <c r="N115" s="99">
        <f>Tracks!R$6</f>
        <v>2.3025828987531316</v>
      </c>
      <c r="O115" s="99">
        <f>Tracks!S$6</f>
        <v>2.247459257415521</v>
      </c>
      <c r="P115" s="99">
        <f>Tracks!T$6</f>
        <v>2.1694634973066549</v>
      </c>
      <c r="Q115" s="99">
        <f>Tracks!U$6</f>
        <v>2.0729989264175632</v>
      </c>
      <c r="R115" s="99">
        <f>Tracks!V$6</f>
        <v>1.8859446104658986</v>
      </c>
      <c r="S115" s="99">
        <f>Tracks!W$6</f>
        <v>1.6752497027927458</v>
      </c>
      <c r="T115" s="99">
        <f>Tracks!X$6</f>
        <v>1.437031201784265</v>
      </c>
    </row>
    <row r="116" spans="1:20" x14ac:dyDescent="0.2">
      <c r="A116" s="251" t="s">
        <v>496</v>
      </c>
      <c r="B116" s="54"/>
      <c r="C116" s="94"/>
      <c r="D116" s="94">
        <f>Data!C$88</f>
        <v>0.436</v>
      </c>
      <c r="E116" s="94">
        <f>Data!D$88</f>
        <v>0.38500000000000001</v>
      </c>
      <c r="F116" s="142">
        <f>Data!E$88</f>
        <v>0.43099999999999999</v>
      </c>
      <c r="G116" s="142">
        <f>Data!F$88</f>
        <v>0.48699999999999999</v>
      </c>
      <c r="H116" s="142">
        <f>Data!G$88</f>
        <v>0.56200000000000006</v>
      </c>
      <c r="I116" s="142">
        <f>Data!H$88</f>
        <v>0.64200000000000002</v>
      </c>
      <c r="J116" s="142">
        <f>Data!I$88</f>
        <v>0.72499999999999998</v>
      </c>
      <c r="K116" s="99">
        <f>J$116*Tracks!O$7/Tracks!N$7-J$118*J$116/SUM(J$116,J$117)*(Tracks!O$7/Tracks!N$7-1)</f>
        <v>0.74587931418630149</v>
      </c>
      <c r="L116" s="99">
        <f>K$116*Tracks!P$7/Tracks!O$7-K$118*K$116/SUM(K$116,K$117)*(Tracks!P$7/Tracks!O$7-1)</f>
        <v>0.84321054452551125</v>
      </c>
      <c r="M116" s="99">
        <f>L$116*Tracks!Q$7/Tracks!P$7-L$118*L$116/SUM(L$116,L$117)*(Tracks!Q$7/Tracks!P$7-1)</f>
        <v>0.94639938048341732</v>
      </c>
      <c r="N116" s="99">
        <f>M$116*Tracks!R$7/Tracks!Q$7-M$118*M$116/SUM(M$116,M$117)*(Tracks!R$7/Tracks!Q$7-1)</f>
        <v>1.055774344021825</v>
      </c>
      <c r="O116" s="99">
        <f>N$116*Tracks!S$7/Tracks!R$7-N$118*N$116/SUM(N$116,N$117)*(Tracks!S$7/Tracks!R$7-1)</f>
        <v>1.1713521311198762</v>
      </c>
      <c r="P116" s="99">
        <f>O$116*Tracks!T$7/Tracks!S$7-O$118*O$116/SUM(O$116,O$117)*(Tracks!T$7/Tracks!S$7-1)</f>
        <v>1.2930701144585168</v>
      </c>
      <c r="Q116" s="99">
        <f>P$116*Tracks!U$7/Tracks!T$7-P$118*P$116/SUM(P$116,P$117)*(Tracks!U$7/Tracks!T$7-1)</f>
        <v>1.4208729615144635</v>
      </c>
      <c r="R116" s="99">
        <f>Q$116*Tracks!V$7/Tracks!U$7-Q$118*Q$116/SUM(Q$116,Q$117)*(Tracks!V$7/Tracks!U$7-1)</f>
        <v>1.5539952356169444</v>
      </c>
      <c r="S116" s="99">
        <f>R$116*Tracks!W$7/Tracks!V$7-R$118*R$116/SUM(R$116,R$117)*(Tracks!W$7/Tracks!V$7-1)</f>
        <v>1.6914887075978222</v>
      </c>
      <c r="T116" s="99">
        <f>S$116*Tracks!X$7/Tracks!W$7-S$118*S$116/SUM(S$116,S$117)*(Tracks!X$7/Tracks!W$7-1)</f>
        <v>1.8330777445800253</v>
      </c>
    </row>
    <row r="117" spans="1:20" x14ac:dyDescent="0.2">
      <c r="A117" s="251" t="s">
        <v>497</v>
      </c>
      <c r="B117" s="54"/>
      <c r="C117" s="94"/>
      <c r="D117" s="94">
        <f>Data!C$90</f>
        <v>1.3129999999999999</v>
      </c>
      <c r="E117" s="94">
        <f>Data!D$90</f>
        <v>-0.995</v>
      </c>
      <c r="F117" s="142">
        <f>Data!E$90</f>
        <v>-2.363</v>
      </c>
      <c r="G117" s="142">
        <f>Data!F$90</f>
        <v>1.321</v>
      </c>
      <c r="H117" s="142">
        <f>Data!G$90</f>
        <v>1.569</v>
      </c>
      <c r="I117" s="142">
        <f>Data!H$90</f>
        <v>1.8360000000000001</v>
      </c>
      <c r="J117" s="142">
        <f>Data!I$90</f>
        <v>2.1139999999999999</v>
      </c>
      <c r="K117" s="99">
        <f>J$117*Tracks!O$7/Tracks!N$7-J$118*J$117/SUM(J$116,J$117)*(Tracks!O$7/Tracks!N$7-1)</f>
        <v>2.1748812002618498</v>
      </c>
      <c r="L117" s="99">
        <f>K$117*Tracks!P$7/Tracks!O$7-K$118*K$117/SUM(K$116,K$117)*(Tracks!P$7/Tracks!O$7-1)</f>
        <v>2.4586856429336978</v>
      </c>
      <c r="M117" s="99">
        <f>L$117*Tracks!Q$7/Tracks!P$7-L$118*L$117/SUM(L$116,L$117)*(Tracks!Q$7/Tracks!P$7-1)</f>
        <v>2.7595700556440614</v>
      </c>
      <c r="N117" s="99">
        <f>M$117*Tracks!R$7/Tracks!Q$7-M$118*M$117/SUM(M$116,M$117)*(Tracks!R$7/Tracks!Q$7-1)</f>
        <v>3.0784923631201906</v>
      </c>
      <c r="O117" s="99">
        <f>N$117*Tracks!S$7/Tracks!R$7-N$118*N$117/SUM(N$116,N$117)*(Tracks!S$7/Tracks!R$7-1)</f>
        <v>3.4155012485343699</v>
      </c>
      <c r="P117" s="99">
        <f>O$117*Tracks!T$7/Tracks!S$7-O$118*O$117/SUM(O$116,O$117)*(Tracks!T$7/Tracks!S$7-1)</f>
        <v>3.7704140992624886</v>
      </c>
      <c r="Q117" s="99">
        <f>P$117*Tracks!U$7/Tracks!T$7-P$118*P$117/SUM(P$116,P$117)*(Tracks!U$7/Tracks!T$7-1)</f>
        <v>4.1430695732987246</v>
      </c>
      <c r="R117" s="99">
        <f>Q$117*Tracks!V$7/Tracks!U$7-Q$118*Q$117/SUM(Q$116,Q$117)*(Tracks!V$7/Tracks!U$7-1)</f>
        <v>4.5312357628885787</v>
      </c>
      <c r="S117" s="99">
        <f>R$117*Tracks!W$7/Tracks!V$7-R$118*R$117/SUM(R$116,R$117)*(Tracks!W$7/Tracks!V$7-1)</f>
        <v>4.9321477625679933</v>
      </c>
      <c r="T117" s="99">
        <f>S$117*Tracks!X$7/Tracks!W$7-S$118*S$117/SUM(S$116,S$117)*(Tracks!X$7/Tracks!W$7-1)</f>
        <v>5.3450018648857549</v>
      </c>
    </row>
    <row r="118" spans="1:20" x14ac:dyDescent="0.2">
      <c r="A118" s="259" t="s">
        <v>751</v>
      </c>
      <c r="B118" s="54"/>
      <c r="C118" s="94"/>
      <c r="D118" s="94">
        <f>Data!C$89</f>
        <v>-2.6999999999999996E-2</v>
      </c>
      <c r="E118" s="94">
        <f>Data!D$89</f>
        <v>1.8000000000000002E-2</v>
      </c>
      <c r="F118" s="142">
        <f>Data!E$89</f>
        <v>0.15599999999999992</v>
      </c>
      <c r="G118" s="142">
        <f>Data!F$89</f>
        <v>0.16800000000000001</v>
      </c>
      <c r="H118" s="142">
        <f>Data!G$89</f>
        <v>0.19599999999999995</v>
      </c>
      <c r="I118" s="142">
        <f>Data!H$89</f>
        <v>0.222</v>
      </c>
      <c r="J118" s="142">
        <f>Data!I$89</f>
        <v>0.245</v>
      </c>
      <c r="K118" s="99">
        <f>J$118</f>
        <v>0.245</v>
      </c>
      <c r="L118" s="99">
        <f t="shared" ref="L118:T118" si="51">K$118</f>
        <v>0.245</v>
      </c>
      <c r="M118" s="99">
        <f t="shared" si="51"/>
        <v>0.245</v>
      </c>
      <c r="N118" s="99">
        <f t="shared" si="51"/>
        <v>0.245</v>
      </c>
      <c r="O118" s="99">
        <f t="shared" si="51"/>
        <v>0.245</v>
      </c>
      <c r="P118" s="99">
        <f t="shared" si="51"/>
        <v>0.245</v>
      </c>
      <c r="Q118" s="99">
        <f t="shared" si="51"/>
        <v>0.245</v>
      </c>
      <c r="R118" s="99">
        <f t="shared" si="51"/>
        <v>0.245</v>
      </c>
      <c r="S118" s="99">
        <f t="shared" si="51"/>
        <v>0.245</v>
      </c>
      <c r="T118" s="99">
        <f t="shared" si="51"/>
        <v>0.245</v>
      </c>
    </row>
    <row r="119" spans="1:20" x14ac:dyDescent="0.2">
      <c r="A119" s="259" t="s">
        <v>662</v>
      </c>
      <c r="B119" s="54"/>
      <c r="C119" s="94"/>
      <c r="D119" s="280">
        <f>Data!C$91</f>
        <v>0.70699999999999996</v>
      </c>
      <c r="E119" s="280">
        <f>Data!D$91</f>
        <v>0.23699999999999999</v>
      </c>
      <c r="F119" s="186">
        <f>Data!E$91</f>
        <v>3.1000000000000028E-2</v>
      </c>
      <c r="G119" s="186">
        <f>Data!F$91</f>
        <v>0.41899999999999998</v>
      </c>
      <c r="H119" s="186">
        <f>Data!G$91</f>
        <v>0.49399999999999999</v>
      </c>
      <c r="I119" s="186">
        <f>Data!H$91</f>
        <v>0.57399999999999995</v>
      </c>
      <c r="J119" s="186">
        <f>Data!I$91</f>
        <v>0.65500000000000003</v>
      </c>
      <c r="K119" s="107">
        <f>Tracks!O$8</f>
        <v>0.64218252346755633</v>
      </c>
      <c r="L119" s="107">
        <f>Tracks!P$8</f>
        <v>0.73365508499021015</v>
      </c>
      <c r="M119" s="107">
        <f>Tracks!Q$8</f>
        <v>0.83063266467059493</v>
      </c>
      <c r="N119" s="107">
        <f>Tracks!R$8</f>
        <v>0.93342400971408379</v>
      </c>
      <c r="O119" s="107">
        <f>Tracks!S$8</f>
        <v>1.0420448111170191</v>
      </c>
      <c r="P119" s="107">
        <f>Tracks!T$8</f>
        <v>1.1564362112930413</v>
      </c>
      <c r="Q119" s="107">
        <f>Tracks!U$8</f>
        <v>1.2765462083551651</v>
      </c>
      <c r="R119" s="107">
        <f>Tracks!V$8</f>
        <v>1.4016554396413257</v>
      </c>
      <c r="S119" s="107">
        <f>Tracks!W$8</f>
        <v>1.5308727528397958</v>
      </c>
      <c r="T119" s="107">
        <f>Tracks!X$8</f>
        <v>1.6639391062717872</v>
      </c>
    </row>
    <row r="120" spans="1:20" x14ac:dyDescent="0.2">
      <c r="A120" s="43" t="s">
        <v>170</v>
      </c>
      <c r="B120" s="54"/>
      <c r="C120" s="94"/>
      <c r="D120" s="96">
        <f t="shared" ref="D120:T120" si="52">SUM(D$114:D$117)-SUM(D$118,D$119)</f>
        <v>12.973000000000001</v>
      </c>
      <c r="E120" s="96">
        <f t="shared" si="52"/>
        <v>14.212000000000002</v>
      </c>
      <c r="F120" s="187">
        <f t="shared" si="52"/>
        <v>14.335000000000003</v>
      </c>
      <c r="G120" s="187">
        <f t="shared" si="52"/>
        <v>17.787000000000003</v>
      </c>
      <c r="H120" s="187">
        <f t="shared" si="52"/>
        <v>21.486000000000001</v>
      </c>
      <c r="I120" s="187">
        <f t="shared" si="52"/>
        <v>25.466999999999999</v>
      </c>
      <c r="J120" s="187">
        <f t="shared" si="52"/>
        <v>29.804000000000002</v>
      </c>
      <c r="K120" s="101">
        <f t="shared" si="52"/>
        <v>34.223940150441813</v>
      </c>
      <c r="L120" s="101">
        <f t="shared" si="52"/>
        <v>38.904630229601949</v>
      </c>
      <c r="M120" s="101">
        <f t="shared" si="52"/>
        <v>43.872807989701251</v>
      </c>
      <c r="N120" s="101">
        <f t="shared" si="52"/>
        <v>49.131233585882313</v>
      </c>
      <c r="O120" s="101">
        <f t="shared" si="52"/>
        <v>54.678501411835057</v>
      </c>
      <c r="P120" s="101">
        <f t="shared" si="52"/>
        <v>60.510012911569675</v>
      </c>
      <c r="Q120" s="101">
        <f t="shared" si="52"/>
        <v>66.625408164445261</v>
      </c>
      <c r="R120" s="101">
        <f t="shared" si="52"/>
        <v>72.949928333775361</v>
      </c>
      <c r="S120" s="101">
        <f t="shared" si="52"/>
        <v>79.472941753894119</v>
      </c>
      <c r="T120" s="101">
        <f t="shared" si="52"/>
        <v>86.179113458872379</v>
      </c>
    </row>
    <row r="121" spans="1:20" x14ac:dyDescent="0.2">
      <c r="A121" s="147" t="s">
        <v>661</v>
      </c>
      <c r="B121" s="60"/>
      <c r="C121" s="94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</row>
    <row r="122" spans="1:20" x14ac:dyDescent="0.2">
      <c r="A122" s="47" t="s">
        <v>338</v>
      </c>
      <c r="B122" s="54"/>
      <c r="C122" s="94"/>
      <c r="D122" s="94">
        <f>Data!C$149</f>
        <v>11.663</v>
      </c>
      <c r="E122" s="94">
        <f>Data!D$149</f>
        <v>13.382</v>
      </c>
      <c r="F122" s="142">
        <f>Data!E$149</f>
        <v>12.873999999999999</v>
      </c>
      <c r="G122" s="142">
        <f>Data!F$149</f>
        <v>16.064999999999998</v>
      </c>
      <c r="H122" s="142">
        <f>Data!G$149</f>
        <v>19.515000000000001</v>
      </c>
      <c r="I122" s="142">
        <f>Data!H$149</f>
        <v>23.286999999999999</v>
      </c>
      <c r="J122" s="142">
        <f>Data!I$149</f>
        <v>27.440999999999999</v>
      </c>
      <c r="K122" s="99">
        <f>J$122*K$120/J$120</f>
        <v>31.510506699378393</v>
      </c>
      <c r="L122" s="99">
        <f t="shared" ref="L122:T122" si="53">K$122*L$120/K$120</f>
        <v>35.820089858089744</v>
      </c>
      <c r="M122" s="99">
        <f t="shared" si="53"/>
        <v>40.394367334766862</v>
      </c>
      <c r="N122" s="99">
        <f t="shared" si="53"/>
        <v>45.235880446590933</v>
      </c>
      <c r="O122" s="99">
        <f t="shared" si="53"/>
        <v>50.343335030269941</v>
      </c>
      <c r="P122" s="99">
        <f t="shared" si="53"/>
        <v>55.712497124761207</v>
      </c>
      <c r="Q122" s="99">
        <f t="shared" si="53"/>
        <v>61.34303534560938</v>
      </c>
      <c r="R122" s="99">
        <f t="shared" si="53"/>
        <v>67.166118085060035</v>
      </c>
      <c r="S122" s="99">
        <f t="shared" si="53"/>
        <v>73.171956605442489</v>
      </c>
      <c r="T122" s="99">
        <f t="shared" si="53"/>
        <v>79.346431768383994</v>
      </c>
    </row>
    <row r="123" spans="1:20" x14ac:dyDescent="0.2">
      <c r="A123" s="47" t="s">
        <v>844</v>
      </c>
      <c r="B123" s="54"/>
      <c r="C123" s="94"/>
      <c r="D123" s="94">
        <f>Data!C$156</f>
        <v>12.523</v>
      </c>
      <c r="E123" s="94">
        <f>Data!D$156</f>
        <v>13.611000000000001</v>
      </c>
      <c r="F123" s="142">
        <f>Data!E$156</f>
        <v>13.278000000000002</v>
      </c>
      <c r="G123" s="142">
        <f>Data!F$156</f>
        <v>16.577999999999999</v>
      </c>
      <c r="H123" s="142">
        <f>Data!G$156</f>
        <v>20.143000000000001</v>
      </c>
      <c r="I123" s="142">
        <f>Data!H$156</f>
        <v>24.055</v>
      </c>
      <c r="J123" s="142">
        <f>Data!I$156</f>
        <v>28.358000000000001</v>
      </c>
      <c r="K123" s="99">
        <f>J$123*K$120/J$120</f>
        <v>32.563498013227381</v>
      </c>
      <c r="L123" s="99">
        <f t="shared" ref="L123:T123" si="54">K$123*L$120/K$120</f>
        <v>37.017095156725674</v>
      </c>
      <c r="M123" s="99">
        <f t="shared" si="54"/>
        <v>41.744231947790496</v>
      </c>
      <c r="N123" s="99">
        <f t="shared" si="54"/>
        <v>46.747534627179249</v>
      </c>
      <c r="O123" s="99">
        <f t="shared" si="54"/>
        <v>52.025665784351702</v>
      </c>
      <c r="P123" s="99">
        <f t="shared" si="54"/>
        <v>57.574249971355933</v>
      </c>
      <c r="Q123" s="99">
        <f t="shared" si="54"/>
        <v>63.392944729812704</v>
      </c>
      <c r="R123" s="99">
        <f t="shared" si="54"/>
        <v>69.410618295839512</v>
      </c>
      <c r="S123" s="99">
        <f t="shared" si="54"/>
        <v>75.617154820055319</v>
      </c>
      <c r="T123" s="99">
        <f t="shared" si="54"/>
        <v>81.997963342729236</v>
      </c>
    </row>
    <row r="124" spans="1:20" x14ac:dyDescent="0.2">
      <c r="A124" s="47" t="s">
        <v>337</v>
      </c>
      <c r="B124" s="54"/>
      <c r="C124" s="94"/>
      <c r="D124" s="94">
        <f>Data!C$191</f>
        <v>1.7000000000000001E-2</v>
      </c>
      <c r="E124" s="94">
        <f>Data!D$191</f>
        <v>3.7999999999999999E-2</v>
      </c>
      <c r="F124" s="142">
        <f>Data!E$191</f>
        <v>3.5000000000000003E-2</v>
      </c>
      <c r="G124" s="142">
        <f>Data!F$191</f>
        <v>0.04</v>
      </c>
      <c r="H124" s="142">
        <f>Data!G$191</f>
        <v>4.3999999999999997E-2</v>
      </c>
      <c r="I124" s="142">
        <f>Data!H$191</f>
        <v>0.05</v>
      </c>
      <c r="J124" s="142">
        <f>Data!I$191</f>
        <v>5.8000000000000003E-2</v>
      </c>
      <c r="K124" s="99">
        <f>J$124*K$116/J$116</f>
        <v>5.9670345134904129E-2</v>
      </c>
      <c r="L124" s="99">
        <f t="shared" ref="L124:T124" si="55">K$124*L$116/K$116</f>
        <v>6.7456843562040916E-2</v>
      </c>
      <c r="M124" s="99">
        <f t="shared" si="55"/>
        <v>7.5711950438673389E-2</v>
      </c>
      <c r="N124" s="99">
        <f t="shared" si="55"/>
        <v>8.4461947521746017E-2</v>
      </c>
      <c r="O124" s="99">
        <f t="shared" si="55"/>
        <v>9.3708170489590112E-2</v>
      </c>
      <c r="P124" s="99">
        <f t="shared" si="55"/>
        <v>0.10344560915668137</v>
      </c>
      <c r="Q124" s="99">
        <f t="shared" si="55"/>
        <v>0.11366983692115711</v>
      </c>
      <c r="R124" s="99">
        <f t="shared" si="55"/>
        <v>0.12431961884935559</v>
      </c>
      <c r="S124" s="99">
        <f t="shared" si="55"/>
        <v>0.13531909660782582</v>
      </c>
      <c r="T124" s="99">
        <f t="shared" si="55"/>
        <v>0.14664621956640206</v>
      </c>
    </row>
    <row r="125" spans="1:20" x14ac:dyDescent="0.2">
      <c r="A125" s="47" t="s">
        <v>694</v>
      </c>
      <c r="B125" s="54"/>
      <c r="C125" s="94"/>
      <c r="D125" s="94">
        <f>Data!C$190</f>
        <v>0.11899999999999999</v>
      </c>
      <c r="E125" s="94">
        <f>Data!D$190</f>
        <v>9.7000000000000003E-2</v>
      </c>
      <c r="F125" s="142">
        <f>Data!E$190</f>
        <v>0.13800000000000001</v>
      </c>
      <c r="G125" s="142">
        <f>Data!F$190</f>
        <v>0.151</v>
      </c>
      <c r="H125" s="142">
        <f>Data!G$190</f>
        <v>0.17299999999999999</v>
      </c>
      <c r="I125" s="142">
        <f>Data!H$190</f>
        <v>0.19800000000000001</v>
      </c>
      <c r="J125" s="142">
        <f>Data!I$190</f>
        <v>0.22</v>
      </c>
      <c r="K125" s="99">
        <f>J$125</f>
        <v>0.22</v>
      </c>
      <c r="L125" s="99">
        <f t="shared" ref="L125:T125" si="56">K$125</f>
        <v>0.22</v>
      </c>
      <c r="M125" s="99">
        <f t="shared" si="56"/>
        <v>0.22</v>
      </c>
      <c r="N125" s="99">
        <f t="shared" si="56"/>
        <v>0.22</v>
      </c>
      <c r="O125" s="99">
        <f t="shared" si="56"/>
        <v>0.22</v>
      </c>
      <c r="P125" s="99">
        <f t="shared" si="56"/>
        <v>0.22</v>
      </c>
      <c r="Q125" s="99">
        <f t="shared" si="56"/>
        <v>0.22</v>
      </c>
      <c r="R125" s="99">
        <f t="shared" si="56"/>
        <v>0.22</v>
      </c>
      <c r="S125" s="99">
        <f t="shared" si="56"/>
        <v>0.22</v>
      </c>
      <c r="T125" s="99">
        <f t="shared" si="56"/>
        <v>0.22</v>
      </c>
    </row>
    <row r="126" spans="1:20" x14ac:dyDescent="0.2">
      <c r="A126" s="42"/>
      <c r="B126" s="60"/>
      <c r="C126" s="94"/>
      <c r="D126" s="283"/>
      <c r="E126" s="283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</row>
    <row r="127" spans="1:20" x14ac:dyDescent="0.2">
      <c r="A127" s="147" t="s">
        <v>412</v>
      </c>
      <c r="C127" s="94"/>
      <c r="D127" s="94"/>
      <c r="E127" s="9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</row>
    <row r="128" spans="1:20" x14ac:dyDescent="0.2">
      <c r="A128" s="47" t="s">
        <v>423</v>
      </c>
      <c r="B128" s="54"/>
      <c r="C128" s="94"/>
      <c r="D128" s="94">
        <f>Data!C$80</f>
        <v>17.417999999999999</v>
      </c>
      <c r="E128" s="94">
        <f>Data!D$80</f>
        <v>20.484000000000002</v>
      </c>
      <c r="F128" s="142">
        <f>Data!E$80</f>
        <v>22.399000000000001</v>
      </c>
      <c r="G128" s="142">
        <f>Data!F$80</f>
        <v>23.842000000000002</v>
      </c>
      <c r="H128" s="142">
        <f>Data!G$80</f>
        <v>25.319000000000003</v>
      </c>
      <c r="I128" s="142">
        <f>Data!H$80</f>
        <v>26.87</v>
      </c>
      <c r="J128" s="142">
        <f>Data!I$80</f>
        <v>28.490000000000002</v>
      </c>
      <c r="K128" s="99">
        <f t="shared" ref="K128:T128" si="57">J$128*IF(K$1="Proj Yr1",AVERAGE(H$128/G$128,I$128/H$128,J$128/I$128),J$128/I$128)</f>
        <v>30.232620583894441</v>
      </c>
      <c r="L128" s="99">
        <f t="shared" si="57"/>
        <v>32.081830374507469</v>
      </c>
      <c r="M128" s="99">
        <f t="shared" si="57"/>
        <v>34.044149011910996</v>
      </c>
      <c r="N128" s="99">
        <f t="shared" si="57"/>
        <v>36.126494916766227</v>
      </c>
      <c r="O128" s="99">
        <f t="shared" si="57"/>
        <v>38.336209682154596</v>
      </c>
      <c r="P128" s="99">
        <f t="shared" si="57"/>
        <v>40.681083957360485</v>
      </c>
      <c r="Q128" s="99">
        <f t="shared" si="57"/>
        <v>43.169384914862562</v>
      </c>
      <c r="R128" s="99">
        <f t="shared" si="57"/>
        <v>45.80988539737227</v>
      </c>
      <c r="S128" s="99">
        <f t="shared" si="57"/>
        <v>48.611894847681363</v>
      </c>
      <c r="T128" s="99">
        <f t="shared" si="57"/>
        <v>51.585292130365865</v>
      </c>
    </row>
    <row r="129" spans="1:20" x14ac:dyDescent="0.2">
      <c r="A129" s="47" t="s">
        <v>349</v>
      </c>
      <c r="B129" s="54"/>
      <c r="C129" s="94"/>
      <c r="D129" s="94">
        <f>Data!C$157</f>
        <v>11.263999999999999</v>
      </c>
      <c r="E129" s="94">
        <f>Data!D$157</f>
        <v>12.496</v>
      </c>
      <c r="F129" s="142">
        <f>Data!E$157</f>
        <v>12.757</v>
      </c>
      <c r="G129" s="142">
        <f>Data!F$157</f>
        <v>13.98</v>
      </c>
      <c r="H129" s="142">
        <f>Data!G$157</f>
        <v>15.171999999999999</v>
      </c>
      <c r="I129" s="142">
        <f>Data!H$157</f>
        <v>16.177</v>
      </c>
      <c r="J129" s="142">
        <f>Data!I$157</f>
        <v>16.992000000000001</v>
      </c>
      <c r="K129" s="99">
        <f t="shared" ref="K129:T129" si="58">K$128*IF(K$1="Proj Yr1",AVERAGE(H$129/H$128,I$129/I$128,J$129/J$128),J$129/J$128)</f>
        <v>18.11639870271582</v>
      </c>
      <c r="L129" s="99">
        <f t="shared" si="58"/>
        <v>19.224507136741479</v>
      </c>
      <c r="M129" s="99">
        <f t="shared" si="58"/>
        <v>20.400394179623586</v>
      </c>
      <c r="N129" s="99">
        <f t="shared" si="58"/>
        <v>21.648205580710716</v>
      </c>
      <c r="O129" s="99">
        <f t="shared" si="58"/>
        <v>22.972340668437109</v>
      </c>
      <c r="P129" s="99">
        <f t="shared" si="58"/>
        <v>24.377467860752088</v>
      </c>
      <c r="Q129" s="99">
        <f t="shared" si="58"/>
        <v>25.8685411242611</v>
      </c>
      <c r="R129" s="99">
        <f t="shared" si="58"/>
        <v>27.450817440107262</v>
      </c>
      <c r="S129" s="99">
        <f t="shared" si="58"/>
        <v>29.129875338171821</v>
      </c>
      <c r="T129" s="99">
        <f t="shared" si="58"/>
        <v>30.911634564938304</v>
      </c>
    </row>
    <row r="130" spans="1:20" x14ac:dyDescent="0.2">
      <c r="A130" s="47" t="s">
        <v>351</v>
      </c>
      <c r="B130" s="54"/>
      <c r="C130" s="94"/>
      <c r="D130" s="94">
        <f>Data!C$151</f>
        <v>9.0109999999999992</v>
      </c>
      <c r="E130" s="94">
        <f>Data!D$151</f>
        <v>10.016999999999999</v>
      </c>
      <c r="F130" s="142">
        <f>Data!E$151</f>
        <v>9.6189999999999998</v>
      </c>
      <c r="G130" s="142">
        <f>Data!F$151</f>
        <v>10.889000000000001</v>
      </c>
      <c r="H130" s="142">
        <f>Data!G$151</f>
        <v>12.190999999999999</v>
      </c>
      <c r="I130" s="142">
        <f>Data!H$151</f>
        <v>13.502000000000001</v>
      </c>
      <c r="J130" s="142">
        <f>Data!I$151</f>
        <v>14.773999999999999</v>
      </c>
      <c r="K130" s="99">
        <f t="shared" ref="K130:T130" si="59">K$129*IF(K$1="Proj Yr1",AVERAGE(H$130/H$129,I$130/I$129,J$130/J$129),J$130/J$129)</f>
        <v>15.143071346851748</v>
      </c>
      <c r="L130" s="99">
        <f t="shared" si="59"/>
        <v>16.069313110010956</v>
      </c>
      <c r="M130" s="99">
        <f t="shared" si="59"/>
        <v>17.052209417295963</v>
      </c>
      <c r="N130" s="99">
        <f t="shared" si="59"/>
        <v>18.095225603026343</v>
      </c>
      <c r="O130" s="99">
        <f t="shared" si="59"/>
        <v>19.202038962311967</v>
      </c>
      <c r="P130" s="99">
        <f t="shared" si="59"/>
        <v>20.376551715855939</v>
      </c>
      <c r="Q130" s="99">
        <f t="shared" si="59"/>
        <v>21.622904767763281</v>
      </c>
      <c r="R130" s="99">
        <f t="shared" si="59"/>
        <v>22.945492304860277</v>
      </c>
      <c r="S130" s="99">
        <f t="shared" si="59"/>
        <v>24.348977288996497</v>
      </c>
      <c r="T130" s="99">
        <f t="shared" si="59"/>
        <v>25.838307896949583</v>
      </c>
    </row>
    <row r="131" spans="1:20" x14ac:dyDescent="0.2">
      <c r="A131" s="47" t="s">
        <v>643</v>
      </c>
      <c r="B131" s="54"/>
      <c r="C131" s="94"/>
      <c r="D131" s="94">
        <f>Data!C$192</f>
        <v>0.377</v>
      </c>
      <c r="E131" s="94">
        <f>Data!D$192</f>
        <v>0.52900000000000003</v>
      </c>
      <c r="F131" s="142">
        <f>Data!E$192</f>
        <v>0.56699999999999995</v>
      </c>
      <c r="G131" s="142">
        <f>Data!F$192</f>
        <v>0.61</v>
      </c>
      <c r="H131" s="142">
        <f>Data!G$192</f>
        <v>0.65200000000000002</v>
      </c>
      <c r="I131" s="142">
        <f>Data!H$192</f>
        <v>0.68400000000000005</v>
      </c>
      <c r="J131" s="142">
        <f>Data!I$192</f>
        <v>0.70299999999999996</v>
      </c>
      <c r="K131" s="99">
        <f>J$131*K$130/J$130</f>
        <v>0.72056174068206158</v>
      </c>
      <c r="L131" s="99">
        <f t="shared" ref="L131:T131" si="60">K$131*L$130/K$130</f>
        <v>0.76463565157287805</v>
      </c>
      <c r="M131" s="99">
        <f t="shared" si="60"/>
        <v>0.81140538922154193</v>
      </c>
      <c r="N131" s="99">
        <f t="shared" si="60"/>
        <v>0.86103584668522515</v>
      </c>
      <c r="O131" s="99">
        <f t="shared" si="60"/>
        <v>0.91370200287703462</v>
      </c>
      <c r="P131" s="99">
        <f t="shared" si="60"/>
        <v>0.96958953947791526</v>
      </c>
      <c r="Q131" s="99">
        <f t="shared" si="60"/>
        <v>1.0288954955826168</v>
      </c>
      <c r="R131" s="99">
        <f t="shared" si="60"/>
        <v>1.0918289623877602</v>
      </c>
      <c r="S131" s="99">
        <f t="shared" si="60"/>
        <v>1.1586118203712286</v>
      </c>
      <c r="T131" s="99">
        <f t="shared" si="60"/>
        <v>1.2294795215619025</v>
      </c>
    </row>
    <row r="132" spans="1:20" x14ac:dyDescent="0.2">
      <c r="A132" s="47" t="s">
        <v>856</v>
      </c>
      <c r="B132" s="54"/>
      <c r="C132" s="94"/>
      <c r="D132" s="94">
        <f>Data!C$193</f>
        <v>2E-3</v>
      </c>
      <c r="E132" s="94">
        <f>Data!D$193</f>
        <v>0.113</v>
      </c>
      <c r="F132" s="142">
        <f>Data!E$193</f>
        <v>0.121</v>
      </c>
      <c r="G132" s="142">
        <f>Data!F$193</f>
        <v>0.13</v>
      </c>
      <c r="H132" s="142">
        <f>Data!G$193</f>
        <v>0.13900000000000001</v>
      </c>
      <c r="I132" s="142">
        <f>Data!H$193</f>
        <v>0.14499999999999999</v>
      </c>
      <c r="J132" s="142">
        <f>Data!I$193</f>
        <v>0.14899999999999999</v>
      </c>
      <c r="K132" s="99">
        <f>J$132*K$131/J$131</f>
        <v>0.15272218970359483</v>
      </c>
      <c r="L132" s="99">
        <f t="shared" ref="L132:T132" si="61">K$132*L$131/K$131</f>
        <v>0.16206360182696844</v>
      </c>
      <c r="M132" s="99">
        <f t="shared" si="61"/>
        <v>0.17197639117213334</v>
      </c>
      <c r="N132" s="99">
        <f t="shared" si="61"/>
        <v>0.18249550662318428</v>
      </c>
      <c r="O132" s="99">
        <f t="shared" si="61"/>
        <v>0.19365803474918658</v>
      </c>
      <c r="P132" s="99">
        <f t="shared" si="61"/>
        <v>0.20550333055790806</v>
      </c>
      <c r="Q132" s="99">
        <f t="shared" si="61"/>
        <v>0.21807315624724027</v>
      </c>
      <c r="R132" s="99">
        <f t="shared" si="61"/>
        <v>0.23141182844349401</v>
      </c>
      <c r="S132" s="99">
        <f t="shared" si="61"/>
        <v>0.24556637444568002</v>
      </c>
      <c r="T132" s="99">
        <f t="shared" si="61"/>
        <v>0.26058669802663365</v>
      </c>
    </row>
    <row r="133" spans="1:20" x14ac:dyDescent="0.2">
      <c r="A133" s="47" t="s">
        <v>536</v>
      </c>
      <c r="B133" s="54"/>
      <c r="C133" s="94"/>
      <c r="D133" s="94">
        <f>Data!C$194-(D$128-C$128)-D$134</f>
        <v>-16.329000000000001</v>
      </c>
      <c r="E133" s="94">
        <f>Data!D$194-(E$128-D$128)-E$134</f>
        <v>-1.5930000000000026</v>
      </c>
      <c r="F133" s="142">
        <f>Data!E$194-(F$128-E$128)-F$134</f>
        <v>-0.89699999999999847</v>
      </c>
      <c r="G133" s="142">
        <f>Data!F$194-(G$128-F$128)-G$134</f>
        <v>-0.35800000000000054</v>
      </c>
      <c r="H133" s="142">
        <f>Data!G$194-(H$128-G$128)-H$134</f>
        <v>-0.32600000000000051</v>
      </c>
      <c r="I133" s="142">
        <f>Data!H$194-(I$128-H$128)-I$134</f>
        <v>-0.33099999999999863</v>
      </c>
      <c r="J133" s="142">
        <f>Data!I$194-(J$128-I$128)-J$134</f>
        <v>-0.34200000000000053</v>
      </c>
      <c r="K133" s="99">
        <f t="shared" ref="K133:T133" ca="1" si="62">SUM(J$133,J$128-I$128,J$134)*(1+K$215) - SUM(K$128-J$128,K$134)</f>
        <v>-0.37296592252984517</v>
      </c>
      <c r="L133" s="99">
        <f t="shared" ca="1" si="62"/>
        <v>-0.38063800814687898</v>
      </c>
      <c r="M133" s="99">
        <f t="shared" ca="1" si="62"/>
        <v>-0.38733801191145378</v>
      </c>
      <c r="N133" s="99">
        <f t="shared" ca="1" si="62"/>
        <v>-0.40146430257218579</v>
      </c>
      <c r="O133" s="99">
        <f t="shared" ca="1" si="62"/>
        <v>-0.43235551157368945</v>
      </c>
      <c r="P133" s="99">
        <f t="shared" ca="1" si="62"/>
        <v>-0.47086049886705439</v>
      </c>
      <c r="Q133" s="99">
        <f t="shared" ca="1" si="62"/>
        <v>-0.52036977340912394</v>
      </c>
      <c r="R133" s="99">
        <f t="shared" ca="1" si="62"/>
        <v>-0.57505708960512614</v>
      </c>
      <c r="S133" s="99">
        <f t="shared" ca="1" si="62"/>
        <v>-0.63897508484967425</v>
      </c>
      <c r="T133" s="99">
        <f t="shared" ca="1" si="62"/>
        <v>-0.72529224861151143</v>
      </c>
    </row>
    <row r="134" spans="1:20" x14ac:dyDescent="0.2">
      <c r="A134" s="47" t="s">
        <v>290</v>
      </c>
      <c r="B134" s="54"/>
      <c r="C134" s="94"/>
      <c r="D134" s="94">
        <f>Data!C$142</f>
        <v>3.1429999999999998</v>
      </c>
      <c r="E134" s="94">
        <f>Data!D$142</f>
        <v>3.423</v>
      </c>
      <c r="F134" s="142">
        <f>Data!E$142</f>
        <v>4.0199999999999996</v>
      </c>
      <c r="G134" s="142">
        <f>Data!F$142</f>
        <v>4.1529999999999996</v>
      </c>
      <c r="H134" s="142">
        <f>Data!G$142</f>
        <v>4.4359999999999999</v>
      </c>
      <c r="I134" s="142">
        <f>Data!H$142</f>
        <v>4.7510000000000003</v>
      </c>
      <c r="J134" s="142">
        <f>Data!I$142</f>
        <v>5.0739999999999998</v>
      </c>
      <c r="K134" s="99">
        <f ca="1">J$134*(1+K$218)*(1+K$231)*K$135/J$135</f>
        <v>5.2743134345448865</v>
      </c>
      <c r="L134" s="99">
        <f t="shared" ref="L134:T134" ca="1" si="63">K$134*(1+L$218)*(1+L$231)*L$135/K$135</f>
        <v>5.4820035492240713</v>
      </c>
      <c r="M134" s="99">
        <f t="shared" ca="1" si="63"/>
        <v>5.6944733472758067</v>
      </c>
      <c r="N134" s="99">
        <f t="shared" ca="1" si="63"/>
        <v>5.9142608460583252</v>
      </c>
      <c r="O134" s="99">
        <f t="shared" ca="1" si="63"/>
        <v>6.1391500760398108</v>
      </c>
      <c r="P134" s="99">
        <f t="shared" ca="1" si="63"/>
        <v>6.3750834948206574</v>
      </c>
      <c r="Q134" s="99">
        <f t="shared" ca="1" si="63"/>
        <v>6.6257437860663817</v>
      </c>
      <c r="R134" s="99">
        <f t="shared" ca="1" si="63"/>
        <v>6.8844290542372955</v>
      </c>
      <c r="S134" s="99">
        <f t="shared" ca="1" si="63"/>
        <v>7.1575049994484843</v>
      </c>
      <c r="T134" s="99">
        <f t="shared" ca="1" si="63"/>
        <v>7.453937263235284</v>
      </c>
    </row>
    <row r="135" spans="1:20" x14ac:dyDescent="0.2">
      <c r="A135" s="147" t="s">
        <v>413</v>
      </c>
      <c r="B135" s="54"/>
      <c r="C135" s="94"/>
      <c r="D135" s="94">
        <f>SUM(SUM(Popn!D$9:D$13)*Tracks!$C$34,SUM(Popn!D$103:D$107)*Tracks!$B$34,SUM(Popn!D$14:D$18)*Tracks!$C$35,SUM(Popn!D$108:D$112)*Tracks!$B$35,SUM(Popn!D$19:D$23)*Tracks!$C$36,SUM(Popn!D$113:D$117)*Tracks!$B$36,SUM(Popn!D$24:D$28)*Tracks!$C$37,SUM(Popn!D$118:D$122)*Tracks!$B$37,SUM(Popn!D$29:D$38)*Tracks!$C$38,SUM(Popn!D$123:D$132)*Tracks!$B$38,SUM(Popn!D$39:D$48)*Tracks!$C$39,SUM(Popn!D$133:D$142)*Tracks!$B$39,SUM(Popn!D$49:D$58)*Tracks!$C$40,SUM(Popn!D$143:D$152)*Tracks!$B$40,SUM(Popn!D$59:D$68)*Tracks!$C$41,SUM(Popn!D$153:D$162)*Tracks!$B$41,SUM(Popn!D$69:D$73)*Tracks!$C$42,SUM(Popn!D$163:D$167)*Tracks!$B$42,SUM(Popn!D$74:D$99)*Tracks!$C$43,SUM(Popn!D$168:D$193)*Tracks!$B$43)/1000000000</f>
        <v>5.5417097200000001</v>
      </c>
      <c r="E135" s="94">
        <f>SUM(SUM(Popn!E$9:E$13)*Tracks!$C$34,SUM(Popn!E$103:E$107)*Tracks!$B$34,SUM(Popn!E$14:E$18)*Tracks!$C$35,SUM(Popn!E$108:E$112)*Tracks!$B$35,SUM(Popn!E$19:E$23)*Tracks!$C$36,SUM(Popn!E$113:E$117)*Tracks!$B$36,SUM(Popn!E$24:E$28)*Tracks!$C$37,SUM(Popn!E$118:E$122)*Tracks!$B$37,SUM(Popn!E$29:E$38)*Tracks!$C$38,SUM(Popn!E$123:E$132)*Tracks!$B$38,SUM(Popn!E$39:E$48)*Tracks!$C$39,SUM(Popn!E$133:E$142)*Tracks!$B$39,SUM(Popn!E$49:E$58)*Tracks!$C$40,SUM(Popn!E$143:E$152)*Tracks!$B$40,SUM(Popn!E$59:E$68)*Tracks!$C$41,SUM(Popn!E$153:E$162)*Tracks!$B$41,SUM(Popn!E$69:E$73)*Tracks!$C$42,SUM(Popn!E$163:E$167)*Tracks!$B$42,SUM(Popn!E$74:E$99)*Tracks!$C$43,SUM(Popn!E$168:E$193)*Tracks!$B$43)/1000000000</f>
        <v>5.5955094399999998</v>
      </c>
      <c r="F135" s="142">
        <f>SUM(SUM(Popn!F$9:F$13)*Tracks!$C$34,SUM(Popn!F$103:F$107)*Tracks!$B$34,SUM(Popn!F$14:F$18)*Tracks!$C$35,SUM(Popn!F$108:F$112)*Tracks!$B$35,SUM(Popn!F$19:F$23)*Tracks!$C$36,SUM(Popn!F$113:F$117)*Tracks!$B$36,SUM(Popn!F$24:F$28)*Tracks!$C$37,SUM(Popn!F$118:F$122)*Tracks!$B$37,SUM(Popn!F$29:F$38)*Tracks!$C$38,SUM(Popn!F$123:F$132)*Tracks!$B$38,SUM(Popn!F$39:F$48)*Tracks!$C$39,SUM(Popn!F$133:F$142)*Tracks!$B$39,SUM(Popn!F$49:F$58)*Tracks!$C$40,SUM(Popn!F$143:F$152)*Tracks!$B$40,SUM(Popn!F$59:F$68)*Tracks!$C$41,SUM(Popn!F$153:F$162)*Tracks!$B$41,SUM(Popn!F$69:F$73)*Tracks!$C$42,SUM(Popn!F$163:F$167)*Tracks!$B$42,SUM(Popn!F$74:F$99)*Tracks!$C$43,SUM(Popn!F$168:F$193)*Tracks!$B$43)/1000000000</f>
        <v>5.6541482700000003</v>
      </c>
      <c r="G135" s="142">
        <f>SUM(SUM(Popn!G$9:G$13)*Tracks!$C$34,SUM(Popn!G$103:G$107)*Tracks!$B$34,SUM(Popn!G$14:G$18)*Tracks!$C$35,SUM(Popn!G$108:G$112)*Tracks!$B$35,SUM(Popn!G$19:G$23)*Tracks!$C$36,SUM(Popn!G$113:G$117)*Tracks!$B$36,SUM(Popn!G$24:G$28)*Tracks!$C$37,SUM(Popn!G$118:G$122)*Tracks!$B$37,SUM(Popn!G$29:G$38)*Tracks!$C$38,SUM(Popn!G$123:G$132)*Tracks!$B$38,SUM(Popn!G$39:G$48)*Tracks!$C$39,SUM(Popn!G$133:G$142)*Tracks!$B$39,SUM(Popn!G$49:G$58)*Tracks!$C$40,SUM(Popn!G$143:G$152)*Tracks!$B$40,SUM(Popn!G$59:G$68)*Tracks!$C$41,SUM(Popn!G$153:G$162)*Tracks!$B$41,SUM(Popn!G$69:G$73)*Tracks!$C$42,SUM(Popn!G$163:G$167)*Tracks!$B$42,SUM(Popn!G$74:G$99)*Tracks!$C$43,SUM(Popn!G$168:G$193)*Tracks!$B$43)/1000000000</f>
        <v>5.7047751900000003</v>
      </c>
      <c r="H135" s="142">
        <f>SUM(SUM(Popn!H$9:H$13)*Tracks!$C$34,SUM(Popn!H$103:H$107)*Tracks!$B$34,SUM(Popn!H$14:H$18)*Tracks!$C$35,SUM(Popn!H$108:H$112)*Tracks!$B$35,SUM(Popn!H$19:H$23)*Tracks!$C$36,SUM(Popn!H$113:H$117)*Tracks!$B$36,SUM(Popn!H$24:H$28)*Tracks!$C$37,SUM(Popn!H$118:H$122)*Tracks!$B$37,SUM(Popn!H$29:H$38)*Tracks!$C$38,SUM(Popn!H$123:H$132)*Tracks!$B$38,SUM(Popn!H$39:H$48)*Tracks!$C$39,SUM(Popn!H$133:H$142)*Tracks!$B$39,SUM(Popn!H$49:H$58)*Tracks!$C$40,SUM(Popn!H$143:H$152)*Tracks!$B$40,SUM(Popn!H$59:H$68)*Tracks!$C$41,SUM(Popn!H$153:H$162)*Tracks!$B$41,SUM(Popn!H$69:H$73)*Tracks!$C$42,SUM(Popn!H$163:H$167)*Tracks!$B$42,SUM(Popn!H$74:H$99)*Tracks!$C$43,SUM(Popn!H$168:H$193)*Tracks!$B$43)/1000000000</f>
        <v>5.7528075999999997</v>
      </c>
      <c r="I135" s="142">
        <f>SUM(SUM(Popn!I$9:I$13)*Tracks!$C$34,SUM(Popn!I$103:I$107)*Tracks!$B$34,SUM(Popn!I$14:I$18)*Tracks!$C$35,SUM(Popn!I$108:I$112)*Tracks!$B$35,SUM(Popn!I$19:I$23)*Tracks!$C$36,SUM(Popn!I$113:I$117)*Tracks!$B$36,SUM(Popn!I$24:I$28)*Tracks!$C$37,SUM(Popn!I$118:I$122)*Tracks!$B$37,SUM(Popn!I$29:I$38)*Tracks!$C$38,SUM(Popn!I$123:I$132)*Tracks!$B$38,SUM(Popn!I$39:I$48)*Tracks!$C$39,SUM(Popn!I$133:I$142)*Tracks!$B$39,SUM(Popn!I$49:I$58)*Tracks!$C$40,SUM(Popn!I$143:I$152)*Tracks!$B$40,SUM(Popn!I$59:I$68)*Tracks!$C$41,SUM(Popn!I$153:I$162)*Tracks!$B$41,SUM(Popn!I$69:I$73)*Tracks!$C$42,SUM(Popn!I$163:I$167)*Tracks!$B$42,SUM(Popn!I$74:I$99)*Tracks!$C$43,SUM(Popn!I$168:I$193)*Tracks!$B$43)/1000000000</f>
        <v>5.7868379699999997</v>
      </c>
      <c r="J135" s="142">
        <f>SUM(SUM(Popn!J$9:J$13)*Tracks!$C$34,SUM(Popn!J$103:J$107)*Tracks!$B$34,SUM(Popn!J$14:J$18)*Tracks!$C$35,SUM(Popn!J$108:J$112)*Tracks!$B$35,SUM(Popn!J$19:J$23)*Tracks!$C$36,SUM(Popn!J$113:J$117)*Tracks!$B$36,SUM(Popn!J$24:J$28)*Tracks!$C$37,SUM(Popn!J$118:J$122)*Tracks!$B$37,SUM(Popn!J$29:J$38)*Tracks!$C$38,SUM(Popn!J$123:J$132)*Tracks!$B$38,SUM(Popn!J$39:J$48)*Tracks!$C$39,SUM(Popn!J$133:J$142)*Tracks!$B$39,SUM(Popn!J$49:J$58)*Tracks!$C$40,SUM(Popn!J$143:J$152)*Tracks!$B$40,SUM(Popn!J$59:J$68)*Tracks!$C$41,SUM(Popn!J$153:J$162)*Tracks!$B$41,SUM(Popn!J$69:J$73)*Tracks!$C$42,SUM(Popn!J$163:J$167)*Tracks!$B$42,SUM(Popn!J$74:J$99)*Tracks!$C$43,SUM(Popn!J$168:J$193)*Tracks!$B$43)/1000000000</f>
        <v>5.8135607299999998</v>
      </c>
      <c r="K135" s="99">
        <f>SUM(SUM(Popn!K$9:K$13)*Tracks!$C$34,SUM(Popn!K$103:K$107)*Tracks!$B$34,SUM(Popn!K$14:K$18)*Tracks!$C$35,SUM(Popn!K$108:K$112)*Tracks!$B$35,SUM(Popn!K$19:K$23)*Tracks!$C$36,SUM(Popn!K$113:K$117)*Tracks!$B$36,SUM(Popn!K$24:K$28)*Tracks!$C$37,SUM(Popn!K$118:K$122)*Tracks!$B$37,SUM(Popn!K$29:K$38)*Tracks!$C$38,SUM(Popn!K$123:K$132)*Tracks!$B$38,SUM(Popn!K$39:K$48)*Tracks!$C$39,SUM(Popn!K$133:K$142)*Tracks!$B$39,SUM(Popn!K$49:K$58)*Tracks!$C$40,SUM(Popn!K$143:K$152)*Tracks!$B$40,SUM(Popn!K$59:K$68)*Tracks!$C$41,SUM(Popn!K$153:K$162)*Tracks!$B$41,SUM(Popn!K$69:K$73)*Tracks!$C$42,SUM(Popn!K$163:K$167)*Tracks!$B$42,SUM(Popn!K$74:K$99)*Tracks!$C$43,SUM(Popn!K$168:K$193)*Tracks!$B$43)/1000000000</f>
        <v>5.8370239000000002</v>
      </c>
      <c r="L135" s="99">
        <f>SUM(SUM(Popn!L$9:L$13)*Tracks!$C$34,SUM(Popn!L$103:L$107)*Tracks!$B$34,SUM(Popn!L$14:L$18)*Tracks!$C$35,SUM(Popn!L$108:L$112)*Tracks!$B$35,SUM(Popn!L$19:L$23)*Tracks!$C$36,SUM(Popn!L$113:L$117)*Tracks!$B$36,SUM(Popn!L$24:L$28)*Tracks!$C$37,SUM(Popn!L$118:L$122)*Tracks!$B$37,SUM(Popn!L$29:L$38)*Tracks!$C$38,SUM(Popn!L$123:L$132)*Tracks!$B$38,SUM(Popn!L$39:L$48)*Tracks!$C$39,SUM(Popn!L$133:L$142)*Tracks!$B$39,SUM(Popn!L$49:L$58)*Tracks!$C$40,SUM(Popn!L$143:L$152)*Tracks!$B$40,SUM(Popn!L$59:L$68)*Tracks!$C$41,SUM(Popn!L$153:L$162)*Tracks!$B$41,SUM(Popn!L$69:L$73)*Tracks!$C$42,SUM(Popn!L$163:L$167)*Tracks!$B$42,SUM(Popn!L$74:L$99)*Tracks!$C$43,SUM(Popn!L$168:L$193)*Tracks!$B$43)/1000000000</f>
        <v>5.8600137500000002</v>
      </c>
      <c r="M135" s="99">
        <f>SUM(SUM(Popn!M$9:M$13)*Tracks!$C$34,SUM(Popn!M$103:M$107)*Tracks!$B$34,SUM(Popn!M$14:M$18)*Tracks!$C$35,SUM(Popn!M$108:M$112)*Tracks!$B$35,SUM(Popn!M$19:M$23)*Tracks!$C$36,SUM(Popn!M$113:M$117)*Tracks!$B$36,SUM(Popn!M$24:M$28)*Tracks!$C$37,SUM(Popn!M$118:M$122)*Tracks!$B$37,SUM(Popn!M$29:M$38)*Tracks!$C$38,SUM(Popn!M$123:M$132)*Tracks!$B$38,SUM(Popn!M$39:M$48)*Tracks!$C$39,SUM(Popn!M$133:M$142)*Tracks!$B$39,SUM(Popn!M$49:M$58)*Tracks!$C$40,SUM(Popn!M$143:M$152)*Tracks!$B$40,SUM(Popn!M$59:M$68)*Tracks!$C$41,SUM(Popn!M$153:M$162)*Tracks!$B$41,SUM(Popn!M$69:M$73)*Tracks!$C$42,SUM(Popn!M$163:M$167)*Tracks!$B$42,SUM(Popn!M$74:M$99)*Tracks!$C$43,SUM(Popn!M$168:M$193)*Tracks!$B$43)/1000000000</f>
        <v>5.8795849999999996</v>
      </c>
      <c r="N135" s="99">
        <f>SUM(SUM(Popn!N$9:N$13)*Tracks!$C$34,SUM(Popn!N$103:N$107)*Tracks!$B$34,SUM(Popn!N$14:N$18)*Tracks!$C$35,SUM(Popn!N$108:N$112)*Tracks!$B$35,SUM(Popn!N$19:N$23)*Tracks!$C$36,SUM(Popn!N$113:N$117)*Tracks!$B$36,SUM(Popn!N$24:N$28)*Tracks!$C$37,SUM(Popn!N$118:N$122)*Tracks!$B$37,SUM(Popn!N$29:N$38)*Tracks!$C$38,SUM(Popn!N$123:N$132)*Tracks!$B$38,SUM(Popn!N$39:N$48)*Tracks!$C$39,SUM(Popn!N$133:N$142)*Tracks!$B$39,SUM(Popn!N$49:N$58)*Tracks!$C$40,SUM(Popn!N$143:N$152)*Tracks!$B$40,SUM(Popn!N$59:N$68)*Tracks!$C$41,SUM(Popn!N$153:N$162)*Tracks!$B$41,SUM(Popn!N$69:N$73)*Tracks!$C$42,SUM(Popn!N$163:N$167)*Tracks!$B$42,SUM(Popn!N$74:N$99)*Tracks!$C$43,SUM(Popn!N$168:N$193)*Tracks!$B$43)/1000000000</f>
        <v>5.8983069500000003</v>
      </c>
      <c r="O135" s="99">
        <f>SUM(SUM(Popn!O$9:O$13)*Tracks!$C$34,SUM(Popn!O$103:O$107)*Tracks!$B$34,SUM(Popn!O$14:O$18)*Tracks!$C$35,SUM(Popn!O$108:O$112)*Tracks!$B$35,SUM(Popn!O$19:O$23)*Tracks!$C$36,SUM(Popn!O$113:O$117)*Tracks!$B$36,SUM(Popn!O$24:O$28)*Tracks!$C$37,SUM(Popn!O$118:O$122)*Tracks!$B$37,SUM(Popn!O$29:O$38)*Tracks!$C$38,SUM(Popn!O$123:O$132)*Tracks!$B$38,SUM(Popn!O$39:O$48)*Tracks!$C$39,SUM(Popn!O$133:O$142)*Tracks!$B$39,SUM(Popn!O$49:O$58)*Tracks!$C$40,SUM(Popn!O$143:O$152)*Tracks!$B$40,SUM(Popn!O$59:O$68)*Tracks!$C$41,SUM(Popn!O$153:O$162)*Tracks!$B$41,SUM(Popn!O$69:O$73)*Tracks!$C$42,SUM(Popn!O$163:O$167)*Tracks!$B$42,SUM(Popn!O$74:O$99)*Tracks!$C$43,SUM(Popn!O$168:O$193)*Tracks!$B$43)/1000000000</f>
        <v>5.9138312900000001</v>
      </c>
      <c r="P135" s="99">
        <f>SUM(SUM(Popn!P$9:P$13)*Tracks!$C$34,SUM(Popn!P$103:P$107)*Tracks!$B$34,SUM(Popn!P$14:P$18)*Tracks!$C$35,SUM(Popn!P$108:P$112)*Tracks!$B$35,SUM(Popn!P$19:P$23)*Tracks!$C$36,SUM(Popn!P$113:P$117)*Tracks!$B$36,SUM(Popn!P$24:P$28)*Tracks!$C$37,SUM(Popn!P$118:P$122)*Tracks!$B$37,SUM(Popn!P$29:P$38)*Tracks!$C$38,SUM(Popn!P$123:P$132)*Tracks!$B$38,SUM(Popn!P$39:P$48)*Tracks!$C$39,SUM(Popn!P$133:P$142)*Tracks!$B$39,SUM(Popn!P$49:P$58)*Tracks!$C$40,SUM(Popn!P$143:P$152)*Tracks!$B$40,SUM(Popn!P$59:P$68)*Tracks!$C$41,SUM(Popn!P$153:P$162)*Tracks!$B$41,SUM(Popn!P$69:P$73)*Tracks!$C$42,SUM(Popn!P$163:P$167)*Tracks!$B$42,SUM(Popn!P$74:P$99)*Tracks!$C$43,SUM(Popn!P$168:P$193)*Tracks!$B$43)/1000000000</f>
        <v>5.9317159200000003</v>
      </c>
      <c r="Q135" s="99">
        <f>SUM(SUM(Popn!Q$9:Q$13)*Tracks!$C$34,SUM(Popn!Q$103:Q$107)*Tracks!$B$34,SUM(Popn!Q$14:Q$18)*Tracks!$C$35,SUM(Popn!Q$108:Q$112)*Tracks!$B$35,SUM(Popn!Q$19:Q$23)*Tracks!$C$36,SUM(Popn!Q$113:Q$117)*Tracks!$B$36,SUM(Popn!Q$24:Q$28)*Tracks!$C$37,SUM(Popn!Q$118:Q$122)*Tracks!$B$37,SUM(Popn!Q$29:Q$38)*Tracks!$C$38,SUM(Popn!Q$123:Q$132)*Tracks!$B$38,SUM(Popn!Q$39:Q$48)*Tracks!$C$39,SUM(Popn!Q$133:Q$142)*Tracks!$B$39,SUM(Popn!Q$49:Q$58)*Tracks!$C$40,SUM(Popn!Q$143:Q$152)*Tracks!$B$40,SUM(Popn!Q$59:Q$68)*Tracks!$C$41,SUM(Popn!Q$153:Q$162)*Tracks!$B$41,SUM(Popn!Q$69:Q$73)*Tracks!$C$42,SUM(Popn!Q$163:Q$167)*Tracks!$B$42,SUM(Popn!Q$74:Q$99)*Tracks!$C$43,SUM(Popn!Q$168:Q$193)*Tracks!$B$43)/1000000000</f>
        <v>5.95474119</v>
      </c>
      <c r="R135" s="99">
        <f>SUM(SUM(Popn!R$9:R$13)*Tracks!$C$34,SUM(Popn!R$103:R$107)*Tracks!$B$34,SUM(Popn!R$14:R$18)*Tracks!$C$35,SUM(Popn!R$108:R$112)*Tracks!$B$35,SUM(Popn!R$19:R$23)*Tracks!$C$36,SUM(Popn!R$113:R$117)*Tracks!$B$36,SUM(Popn!R$24:R$28)*Tracks!$C$37,SUM(Popn!R$118:R$122)*Tracks!$B$37,SUM(Popn!R$29:R$38)*Tracks!$C$38,SUM(Popn!R$123:R$132)*Tracks!$B$38,SUM(Popn!R$39:R$48)*Tracks!$C$39,SUM(Popn!R$133:R$142)*Tracks!$B$39,SUM(Popn!R$49:R$58)*Tracks!$C$40,SUM(Popn!R$143:R$152)*Tracks!$B$40,SUM(Popn!R$59:R$68)*Tracks!$C$41,SUM(Popn!R$153:R$162)*Tracks!$B$41,SUM(Popn!R$69:R$73)*Tracks!$C$42,SUM(Popn!R$163:R$167)*Tracks!$B$42,SUM(Popn!R$74:R$99)*Tracks!$C$43,SUM(Popn!R$168:R$193)*Tracks!$B$43)/1000000000</f>
        <v>5.9762666600000003</v>
      </c>
      <c r="S135" s="99">
        <f>SUM(SUM(Popn!S$9:S$13)*Tracks!$C$34,SUM(Popn!S$103:S$107)*Tracks!$B$34,SUM(Popn!S$14:S$18)*Tracks!$C$35,SUM(Popn!S$108:S$112)*Tracks!$B$35,SUM(Popn!S$19:S$23)*Tracks!$C$36,SUM(Popn!S$113:S$117)*Tracks!$B$36,SUM(Popn!S$24:S$28)*Tracks!$C$37,SUM(Popn!S$118:S$122)*Tracks!$B$37,SUM(Popn!S$29:S$38)*Tracks!$C$38,SUM(Popn!S$123:S$132)*Tracks!$B$38,SUM(Popn!S$39:S$48)*Tracks!$C$39,SUM(Popn!S$133:S$142)*Tracks!$B$39,SUM(Popn!S$49:S$58)*Tracks!$C$40,SUM(Popn!S$143:S$152)*Tracks!$B$40,SUM(Popn!S$59:S$68)*Tracks!$C$41,SUM(Popn!S$153:S$162)*Tracks!$B$41,SUM(Popn!S$69:S$73)*Tracks!$C$42,SUM(Popn!S$163:S$167)*Tracks!$B$42,SUM(Popn!S$74:S$99)*Tracks!$C$43,SUM(Popn!S$168:S$193)*Tracks!$B$43)/1000000000</f>
        <v>6.00146786</v>
      </c>
      <c r="T135" s="99">
        <f>SUM(SUM(Popn!T$9:T$13)*Tracks!$C$34,SUM(Popn!T$103:T$107)*Tracks!$B$34,SUM(Popn!T$14:T$18)*Tracks!$C$35,SUM(Popn!T$108:T$112)*Tracks!$B$35,SUM(Popn!T$19:T$23)*Tracks!$C$36,SUM(Popn!T$113:T$117)*Tracks!$B$36,SUM(Popn!T$24:T$28)*Tracks!$C$37,SUM(Popn!T$118:T$122)*Tracks!$B$37,SUM(Popn!T$29:T$38)*Tracks!$C$38,SUM(Popn!T$123:T$132)*Tracks!$B$38,SUM(Popn!T$39:T$48)*Tracks!$C$39,SUM(Popn!T$133:T$142)*Tracks!$B$39,SUM(Popn!T$49:T$58)*Tracks!$C$40,SUM(Popn!T$143:T$152)*Tracks!$B$40,SUM(Popn!T$59:T$68)*Tracks!$C$41,SUM(Popn!T$153:T$162)*Tracks!$B$41,SUM(Popn!T$69:T$73)*Tracks!$C$42,SUM(Popn!T$163:T$167)*Tracks!$B$42,SUM(Popn!T$74:T$99)*Tracks!$C$43,SUM(Popn!T$168:T$193)*Tracks!$B$43)/1000000000</f>
        <v>6.0369189299999997</v>
      </c>
    </row>
    <row r="136" spans="1:20" x14ac:dyDescent="0.2">
      <c r="A136" s="47"/>
      <c r="B136" s="103"/>
      <c r="C136" s="94"/>
      <c r="D136" s="117"/>
      <c r="E136" s="117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</row>
    <row r="137" spans="1:20" x14ac:dyDescent="0.2">
      <c r="A137" s="147" t="s">
        <v>414</v>
      </c>
      <c r="B137" s="103"/>
      <c r="C137" s="94"/>
      <c r="D137" s="94"/>
      <c r="E137" s="9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</row>
    <row r="138" spans="1:20" x14ac:dyDescent="0.2">
      <c r="A138" s="47" t="s">
        <v>340</v>
      </c>
      <c r="C138" s="94"/>
      <c r="D138" s="94">
        <f>Data!C$158</f>
        <v>5.484</v>
      </c>
      <c r="E138" s="94">
        <f>Data!D$158</f>
        <v>5.6150000000000002</v>
      </c>
      <c r="F138" s="142">
        <f>Data!E$158</f>
        <v>5.7489999999999997</v>
      </c>
      <c r="G138" s="142">
        <f>Data!F$158</f>
        <v>6.1589999999999998</v>
      </c>
      <c r="H138" s="142">
        <f>Data!G$158</f>
        <v>6.5970000000000004</v>
      </c>
      <c r="I138" s="142">
        <f>Data!H$158</f>
        <v>7.0650000000000004</v>
      </c>
      <c r="J138" s="142">
        <f>Data!I$158</f>
        <v>7.5670000000000002</v>
      </c>
      <c r="K138" s="99">
        <f t="shared" ref="K138:T138" si="64">J$138*IF(K$1="Proj Yr1",AVERAGE(H$138/G$138,I$138/H$138,J$138/I$138),J$138/I$138)</f>
        <v>8.1045376645048606</v>
      </c>
      <c r="L138" s="99">
        <f t="shared" si="64"/>
        <v>8.6802604407794224</v>
      </c>
      <c r="M138" s="99">
        <f t="shared" si="64"/>
        <v>9.2968808880677134</v>
      </c>
      <c r="N138" s="99">
        <f t="shared" si="64"/>
        <v>9.9573042579305096</v>
      </c>
      <c r="O138" s="99">
        <f t="shared" si="64"/>
        <v>10.664642182546904</v>
      </c>
      <c r="P138" s="99">
        <f t="shared" si="64"/>
        <v>11.422227335392982</v>
      </c>
      <c r="Q138" s="99">
        <f t="shared" si="64"/>
        <v>12.23362913337246</v>
      </c>
      <c r="R138" s="99">
        <f t="shared" si="64"/>
        <v>13.102670554381003</v>
      </c>
      <c r="S138" s="99">
        <f t="shared" si="64"/>
        <v>14.033446149541378</v>
      </c>
      <c r="T138" s="99">
        <f t="shared" si="64"/>
        <v>15.030341334975393</v>
      </c>
    </row>
    <row r="139" spans="1:20" x14ac:dyDescent="0.2">
      <c r="A139" s="47" t="s">
        <v>341</v>
      </c>
      <c r="C139" s="94"/>
      <c r="D139" s="94">
        <f>Data!C$152</f>
        <v>5.4569999999999999</v>
      </c>
      <c r="E139" s="94">
        <f>Data!D$152</f>
        <v>5.5990000000000002</v>
      </c>
      <c r="F139" s="142">
        <f>Data!E$152</f>
        <v>5.3490000000000002</v>
      </c>
      <c r="G139" s="142">
        <f>Data!F$152</f>
        <v>5.7329999999999997</v>
      </c>
      <c r="H139" s="142">
        <f>Data!G$152</f>
        <v>6.1429999999999998</v>
      </c>
      <c r="I139" s="142">
        <f>Data!H$152</f>
        <v>6.5810000000000004</v>
      </c>
      <c r="J139" s="142">
        <f>Data!I$152</f>
        <v>7.0469999999999997</v>
      </c>
      <c r="K139" s="99">
        <f t="shared" ref="K139:T139" si="65">K$138*IF(K$1="Proj Yr1",AVERAGE(H$139/H$138,I$139/I$138,J$139/J$138),J$139/J$138)</f>
        <v>7.5479036370679866</v>
      </c>
      <c r="L139" s="99">
        <f t="shared" si="65"/>
        <v>8.0840847515092786</v>
      </c>
      <c r="M139" s="99">
        <f t="shared" si="65"/>
        <v>8.6583546123505162</v>
      </c>
      <c r="N139" s="99">
        <f t="shared" si="65"/>
        <v>9.2734189333202242</v>
      </c>
      <c r="O139" s="99">
        <f t="shared" si="65"/>
        <v>9.932175634178174</v>
      </c>
      <c r="P139" s="99">
        <f t="shared" si="65"/>
        <v>10.637728494472638</v>
      </c>
      <c r="Q139" s="99">
        <f t="shared" si="65"/>
        <v>11.393401777220838</v>
      </c>
      <c r="R139" s="99">
        <f t="shared" si="65"/>
        <v>12.202755891413094</v>
      </c>
      <c r="S139" s="99">
        <f t="shared" si="65"/>
        <v>13.06960416713572</v>
      </c>
      <c r="T139" s="99">
        <f t="shared" si="65"/>
        <v>13.998030822349824</v>
      </c>
    </row>
    <row r="140" spans="1:20" x14ac:dyDescent="0.2">
      <c r="A140" s="47" t="s">
        <v>644</v>
      </c>
      <c r="B140" s="103"/>
      <c r="C140" s="94"/>
      <c r="D140" s="94">
        <f>Data!C$195</f>
        <v>0.13100000000000001</v>
      </c>
      <c r="E140" s="94">
        <f>Data!D$195</f>
        <v>0.35399999999999998</v>
      </c>
      <c r="F140" s="142">
        <f>Data!E$195</f>
        <v>0.28199999999999997</v>
      </c>
      <c r="G140" s="142">
        <f>Data!F$195</f>
        <v>0.29599999999999999</v>
      </c>
      <c r="H140" s="142">
        <f>Data!G$195</f>
        <v>0.312</v>
      </c>
      <c r="I140" s="142">
        <f>Data!H$195</f>
        <v>0.33</v>
      </c>
      <c r="J140" s="142">
        <f>Data!I$195</f>
        <v>0.34799999999999998</v>
      </c>
      <c r="K140" s="99">
        <f>J$140*K$139/J$139</f>
        <v>0.37273598207743142</v>
      </c>
      <c r="L140" s="99">
        <f t="shared" ref="L140:T140" si="66">K$140*L$139/K$139</f>
        <v>0.39921406180292734</v>
      </c>
      <c r="M140" s="99">
        <f t="shared" si="66"/>
        <v>0.42757306727656869</v>
      </c>
      <c r="N140" s="99">
        <f t="shared" si="66"/>
        <v>0.45794661399112213</v>
      </c>
      <c r="O140" s="99">
        <f t="shared" si="66"/>
        <v>0.49047780909521838</v>
      </c>
      <c r="P140" s="99">
        <f t="shared" si="66"/>
        <v>0.5253199256529697</v>
      </c>
      <c r="Q140" s="99">
        <f t="shared" si="66"/>
        <v>0.5626371248010289</v>
      </c>
      <c r="R140" s="99">
        <f t="shared" si="66"/>
        <v>0.60260522920558479</v>
      </c>
      <c r="S140" s="99">
        <f t="shared" si="66"/>
        <v>0.6454125514634923</v>
      </c>
      <c r="T140" s="99">
        <f t="shared" si="66"/>
        <v>0.69126078135060853</v>
      </c>
    </row>
    <row r="141" spans="1:20" x14ac:dyDescent="0.2">
      <c r="A141" s="47" t="s">
        <v>857</v>
      </c>
      <c r="B141" s="103"/>
      <c r="C141" s="94"/>
      <c r="D141" s="94">
        <f>Data!C$196</f>
        <v>7.5999999999999998E-2</v>
      </c>
      <c r="E141" s="94">
        <f>Data!D$196</f>
        <v>0.3</v>
      </c>
      <c r="F141" s="142">
        <f>Data!E$196</f>
        <v>0.23599999999999999</v>
      </c>
      <c r="G141" s="142">
        <f>Data!F$196</f>
        <v>0.249</v>
      </c>
      <c r="H141" s="142">
        <f>Data!G$196</f>
        <v>0.26400000000000001</v>
      </c>
      <c r="I141" s="142">
        <f>Data!H$196</f>
        <v>0.28100000000000003</v>
      </c>
      <c r="J141" s="142">
        <f>Data!I$196</f>
        <v>0.29799999999999999</v>
      </c>
      <c r="K141" s="99">
        <f>J$141*K$140/J$140</f>
        <v>0.31918196166400736</v>
      </c>
      <c r="L141" s="99">
        <f t="shared" ref="L141:T141" si="67">K$141*L$140/K$140</f>
        <v>0.34185571958986305</v>
      </c>
      <c r="M141" s="99">
        <f t="shared" si="67"/>
        <v>0.36614015531154437</v>
      </c>
      <c r="N141" s="99">
        <f t="shared" si="67"/>
        <v>0.39214968669354705</v>
      </c>
      <c r="O141" s="99">
        <f t="shared" si="67"/>
        <v>0.420006859512572</v>
      </c>
      <c r="P141" s="99">
        <f t="shared" si="67"/>
        <v>0.44984292484076138</v>
      </c>
      <c r="Q141" s="99">
        <f t="shared" si="67"/>
        <v>0.48179845744455918</v>
      </c>
      <c r="R141" s="99">
        <f t="shared" si="67"/>
        <v>0.51602401811282839</v>
      </c>
      <c r="S141" s="99">
        <f t="shared" si="67"/>
        <v>0.55268086303482966</v>
      </c>
      <c r="T141" s="99">
        <f t="shared" si="67"/>
        <v>0.59194170357034881</v>
      </c>
    </row>
    <row r="142" spans="1:20" x14ac:dyDescent="0.2">
      <c r="A142" s="47"/>
      <c r="B142" s="103"/>
      <c r="C142" s="94"/>
      <c r="D142" s="94"/>
      <c r="E142" s="94"/>
      <c r="F142" s="142"/>
      <c r="G142" s="142"/>
      <c r="H142" s="142"/>
      <c r="I142" s="142"/>
      <c r="J142" s="142"/>
      <c r="T142" s="99"/>
    </row>
    <row r="143" spans="1:20" x14ac:dyDescent="0.2">
      <c r="A143" s="147" t="s">
        <v>415</v>
      </c>
      <c r="B143" s="103"/>
      <c r="C143" s="94"/>
      <c r="D143" s="94"/>
      <c r="E143" s="94"/>
      <c r="F143" s="142"/>
      <c r="G143" s="142"/>
      <c r="H143" s="142"/>
      <c r="I143" s="142"/>
      <c r="J143" s="142"/>
      <c r="T143" s="99"/>
    </row>
    <row r="144" spans="1:20" x14ac:dyDescent="0.2">
      <c r="A144" s="47" t="s">
        <v>506</v>
      </c>
      <c r="B144" s="103"/>
      <c r="C144" s="94"/>
      <c r="D144" s="94">
        <f>Data!C$197</f>
        <v>22.600999999999999</v>
      </c>
      <c r="E144" s="94">
        <f>Data!D$197</f>
        <v>26.542999999999999</v>
      </c>
      <c r="F144" s="142">
        <f>Data!E$197</f>
        <v>20.832000000000001</v>
      </c>
      <c r="G144" s="142">
        <f>Data!F$197</f>
        <v>17.885000000000002</v>
      </c>
      <c r="H144" s="142">
        <f>Data!G$197</f>
        <v>20.686</v>
      </c>
      <c r="I144" s="142">
        <f>Data!H$197</f>
        <v>18.763000000000002</v>
      </c>
      <c r="J144" s="142">
        <f>Data!I$197</f>
        <v>16.645000000000003</v>
      </c>
      <c r="K144" s="99">
        <f ca="1">J$144-K$209</f>
        <v>16.645000000000003</v>
      </c>
      <c r="L144" s="99">
        <f t="shared" ref="L144:T144" ca="1" si="68">K$144-L$209</f>
        <v>16.645000000000003</v>
      </c>
      <c r="M144" s="99">
        <f t="shared" ca="1" si="68"/>
        <v>16.645000000000003</v>
      </c>
      <c r="N144" s="99">
        <f t="shared" ca="1" si="68"/>
        <v>16.645000000000003</v>
      </c>
      <c r="O144" s="99">
        <f t="shared" ca="1" si="68"/>
        <v>16.645000000000003</v>
      </c>
      <c r="P144" s="99">
        <f t="shared" ca="1" si="68"/>
        <v>16.645000000000003</v>
      </c>
      <c r="Q144" s="99">
        <f t="shared" ca="1" si="68"/>
        <v>16.645000000000003</v>
      </c>
      <c r="R144" s="99">
        <f t="shared" ca="1" si="68"/>
        <v>16.645000000000003</v>
      </c>
      <c r="S144" s="99">
        <f t="shared" ca="1" si="68"/>
        <v>16.645000000000003</v>
      </c>
      <c r="T144" s="99">
        <f t="shared" ca="1" si="68"/>
        <v>16.645000000000003</v>
      </c>
    </row>
    <row r="145" spans="1:20" x14ac:dyDescent="0.2">
      <c r="A145" s="47" t="s">
        <v>508</v>
      </c>
      <c r="B145" s="103"/>
      <c r="C145" s="94"/>
      <c r="D145" s="94">
        <f>D$122-Data!C$221</f>
        <v>11.295999999999999</v>
      </c>
      <c r="E145" s="94">
        <f>E$122-Data!D$221</f>
        <v>13.058</v>
      </c>
      <c r="F145" s="142">
        <f>F$122-Data!E$221</f>
        <v>12.101999999999999</v>
      </c>
      <c r="G145" s="142">
        <f>G$122-Data!F$221</f>
        <v>14.569999999999997</v>
      </c>
      <c r="H145" s="142">
        <f>H$122-Data!G$221</f>
        <v>17.693999999999999</v>
      </c>
      <c r="I145" s="142">
        <f>I$122-Data!H$221</f>
        <v>21.131</v>
      </c>
      <c r="J145" s="142">
        <f>J$122-Data!I$221</f>
        <v>24.95</v>
      </c>
      <c r="K145" s="99">
        <f t="shared" ref="K145:T145" ca="1" si="69">K$122-K$163</f>
        <v>28.969686699378393</v>
      </c>
      <c r="L145" s="99">
        <f t="shared" ca="1" si="69"/>
        <v>33.228453458089746</v>
      </c>
      <c r="M145" s="99">
        <f t="shared" ca="1" si="69"/>
        <v>37.750898206766863</v>
      </c>
      <c r="N145" s="99">
        <f t="shared" ca="1" si="69"/>
        <v>42.539541936030936</v>
      </c>
      <c r="O145" s="99">
        <f t="shared" ca="1" si="69"/>
        <v>47.593069749498738</v>
      </c>
      <c r="P145" s="99">
        <f t="shared" ca="1" si="69"/>
        <v>52.90722653837458</v>
      </c>
      <c r="Q145" s="99">
        <f t="shared" ca="1" si="69"/>
        <v>58.481659347495025</v>
      </c>
      <c r="R145" s="99">
        <f t="shared" ca="1" si="69"/>
        <v>64.247514566983398</v>
      </c>
      <c r="S145" s="99">
        <f t="shared" ca="1" si="69"/>
        <v>70.194981017004309</v>
      </c>
      <c r="T145" s="99">
        <f t="shared" ca="1" si="69"/>
        <v>76.309916668177053</v>
      </c>
    </row>
    <row r="146" spans="1:20" x14ac:dyDescent="0.2">
      <c r="A146" s="47" t="s">
        <v>873</v>
      </c>
      <c r="B146" s="54"/>
      <c r="C146" s="94"/>
      <c r="D146" s="98">
        <f>Data!C$118-Data!C$220-SUM(D$144,D$145)</f>
        <v>0.39300000000000779</v>
      </c>
      <c r="E146" s="98">
        <f>Data!D$118-Data!D$220-SUM(E$144,E$145)</f>
        <v>-0.60300000000000153</v>
      </c>
      <c r="F146" s="190">
        <f>Data!E$118-Data!E$220-SUM(F$144,F$145)</f>
        <v>2.1529999999999987</v>
      </c>
      <c r="G146" s="190">
        <f>Data!F$118-Data!F$220-SUM(G$144,G$145)</f>
        <v>1.0040000000000049</v>
      </c>
      <c r="H146" s="190">
        <f>Data!G$118-Data!G$220-SUM(H$144,H$145)</f>
        <v>-1.083999999999989</v>
      </c>
      <c r="I146" s="190">
        <f>Data!H$118-Data!H$220-SUM(I$144,I$145)</f>
        <v>0.16699999999999449</v>
      </c>
      <c r="J146" s="190">
        <f>Data!I$118-Data!I$220-SUM(J$144,J$145)</f>
        <v>2.0930000000000035</v>
      </c>
      <c r="K146" s="106">
        <f>J$146</f>
        <v>2.0930000000000035</v>
      </c>
      <c r="L146" s="106">
        <f t="shared" ref="L146:T146" si="70">K$146</f>
        <v>2.0930000000000035</v>
      </c>
      <c r="M146" s="106">
        <f t="shared" si="70"/>
        <v>2.0930000000000035</v>
      </c>
      <c r="N146" s="106">
        <f t="shared" si="70"/>
        <v>2.0930000000000035</v>
      </c>
      <c r="O146" s="106">
        <f t="shared" si="70"/>
        <v>2.0930000000000035</v>
      </c>
      <c r="P146" s="106">
        <f t="shared" si="70"/>
        <v>2.0930000000000035</v>
      </c>
      <c r="Q146" s="106">
        <f t="shared" si="70"/>
        <v>2.0930000000000035</v>
      </c>
      <c r="R146" s="106">
        <f t="shared" si="70"/>
        <v>2.0930000000000035</v>
      </c>
      <c r="S146" s="106">
        <f t="shared" si="70"/>
        <v>2.0930000000000035</v>
      </c>
      <c r="T146" s="106">
        <f t="shared" si="70"/>
        <v>2.0930000000000035</v>
      </c>
    </row>
    <row r="147" spans="1:20" x14ac:dyDescent="0.2">
      <c r="A147" s="43" t="s">
        <v>507</v>
      </c>
      <c r="B147" s="103"/>
      <c r="C147" s="94"/>
      <c r="D147" s="96">
        <f t="shared" ref="D147:T147" si="71">SUM(D$144,D$145,D$146)</f>
        <v>34.290000000000006</v>
      </c>
      <c r="E147" s="96">
        <f t="shared" si="71"/>
        <v>38.997999999999998</v>
      </c>
      <c r="F147" s="187">
        <f t="shared" si="71"/>
        <v>35.086999999999996</v>
      </c>
      <c r="G147" s="187">
        <f t="shared" si="71"/>
        <v>33.459000000000003</v>
      </c>
      <c r="H147" s="187">
        <f t="shared" si="71"/>
        <v>37.296000000000006</v>
      </c>
      <c r="I147" s="187">
        <f t="shared" si="71"/>
        <v>40.061</v>
      </c>
      <c r="J147" s="187">
        <f t="shared" si="71"/>
        <v>43.688000000000002</v>
      </c>
      <c r="K147" s="101">
        <f t="shared" ca="1" si="71"/>
        <v>47.707686699378399</v>
      </c>
      <c r="L147" s="101">
        <f t="shared" ca="1" si="71"/>
        <v>51.966453458089752</v>
      </c>
      <c r="M147" s="101">
        <f t="shared" ca="1" si="71"/>
        <v>56.488898206766869</v>
      </c>
      <c r="N147" s="101">
        <f t="shared" ca="1" si="71"/>
        <v>61.277541936030943</v>
      </c>
      <c r="O147" s="101">
        <f t="shared" ca="1" si="71"/>
        <v>66.331069749498752</v>
      </c>
      <c r="P147" s="101">
        <f t="shared" ca="1" si="71"/>
        <v>71.645226538374587</v>
      </c>
      <c r="Q147" s="101">
        <f t="shared" ca="1" si="71"/>
        <v>77.219659347495039</v>
      </c>
      <c r="R147" s="101">
        <f t="shared" ca="1" si="71"/>
        <v>82.985514566983412</v>
      </c>
      <c r="S147" s="101">
        <f t="shared" ca="1" si="71"/>
        <v>88.932981017004309</v>
      </c>
      <c r="T147" s="101">
        <f t="shared" ca="1" si="71"/>
        <v>95.047916668177052</v>
      </c>
    </row>
    <row r="148" spans="1:20" x14ac:dyDescent="0.2">
      <c r="A148" s="251" t="s">
        <v>509</v>
      </c>
      <c r="B148" s="103"/>
      <c r="C148" s="94"/>
      <c r="D148" s="94">
        <f t="shared" ref="D148:T148" si="72">D$130</f>
        <v>9.0109999999999992</v>
      </c>
      <c r="E148" s="94">
        <f t="shared" si="72"/>
        <v>10.016999999999999</v>
      </c>
      <c r="F148" s="142">
        <f t="shared" si="72"/>
        <v>9.6189999999999998</v>
      </c>
      <c r="G148" s="142">
        <f t="shared" si="72"/>
        <v>10.889000000000001</v>
      </c>
      <c r="H148" s="142">
        <f t="shared" si="72"/>
        <v>12.190999999999999</v>
      </c>
      <c r="I148" s="142">
        <f t="shared" si="72"/>
        <v>13.502000000000001</v>
      </c>
      <c r="J148" s="142">
        <f t="shared" si="72"/>
        <v>14.773999999999999</v>
      </c>
      <c r="K148" s="99">
        <f t="shared" si="72"/>
        <v>15.143071346851748</v>
      </c>
      <c r="L148" s="99">
        <f t="shared" si="72"/>
        <v>16.069313110010956</v>
      </c>
      <c r="M148" s="99">
        <f t="shared" si="72"/>
        <v>17.052209417295963</v>
      </c>
      <c r="N148" s="99">
        <f t="shared" si="72"/>
        <v>18.095225603026343</v>
      </c>
      <c r="O148" s="99">
        <f t="shared" si="72"/>
        <v>19.202038962311967</v>
      </c>
      <c r="P148" s="99">
        <f t="shared" si="72"/>
        <v>20.376551715855939</v>
      </c>
      <c r="Q148" s="99">
        <f t="shared" si="72"/>
        <v>21.622904767763281</v>
      </c>
      <c r="R148" s="99">
        <f t="shared" si="72"/>
        <v>22.945492304860277</v>
      </c>
      <c r="S148" s="99">
        <f t="shared" si="72"/>
        <v>24.348977288996497</v>
      </c>
      <c r="T148" s="99">
        <f t="shared" si="72"/>
        <v>25.838307896949583</v>
      </c>
    </row>
    <row r="149" spans="1:20" x14ac:dyDescent="0.2">
      <c r="A149" s="251" t="s">
        <v>510</v>
      </c>
      <c r="B149" s="103"/>
      <c r="C149" s="94"/>
      <c r="D149" s="94">
        <f t="shared" ref="D149:T149" si="73">D$139</f>
        <v>5.4569999999999999</v>
      </c>
      <c r="E149" s="94">
        <f t="shared" si="73"/>
        <v>5.5990000000000002</v>
      </c>
      <c r="F149" s="142">
        <f t="shared" si="73"/>
        <v>5.3490000000000002</v>
      </c>
      <c r="G149" s="142">
        <f t="shared" si="73"/>
        <v>5.7329999999999997</v>
      </c>
      <c r="H149" s="142">
        <f t="shared" si="73"/>
        <v>6.1429999999999998</v>
      </c>
      <c r="I149" s="142">
        <f t="shared" si="73"/>
        <v>6.5810000000000004</v>
      </c>
      <c r="J149" s="142">
        <f t="shared" si="73"/>
        <v>7.0469999999999997</v>
      </c>
      <c r="K149" s="99">
        <f t="shared" si="73"/>
        <v>7.5479036370679866</v>
      </c>
      <c r="L149" s="99">
        <f t="shared" si="73"/>
        <v>8.0840847515092786</v>
      </c>
      <c r="M149" s="99">
        <f t="shared" si="73"/>
        <v>8.6583546123505162</v>
      </c>
      <c r="N149" s="99">
        <f t="shared" si="73"/>
        <v>9.2734189333202242</v>
      </c>
      <c r="O149" s="99">
        <f t="shared" si="73"/>
        <v>9.932175634178174</v>
      </c>
      <c r="P149" s="99">
        <f t="shared" si="73"/>
        <v>10.637728494472638</v>
      </c>
      <c r="Q149" s="99">
        <f t="shared" si="73"/>
        <v>11.393401777220838</v>
      </c>
      <c r="R149" s="99">
        <f t="shared" si="73"/>
        <v>12.202755891413094</v>
      </c>
      <c r="S149" s="99">
        <f t="shared" si="73"/>
        <v>13.06960416713572</v>
      </c>
      <c r="T149" s="99">
        <f t="shared" si="73"/>
        <v>13.998030822349824</v>
      </c>
    </row>
    <row r="150" spans="1:20" x14ac:dyDescent="0.2">
      <c r="A150" s="251" t="s">
        <v>874</v>
      </c>
      <c r="B150" s="54"/>
      <c r="C150" s="94"/>
      <c r="D150" s="280">
        <f>SUM(D$147,D$148,D$149)-SUM(Data!C$63,Data!C$64)</f>
        <v>3.0519999999999996</v>
      </c>
      <c r="E150" s="280">
        <f>SUM(E$147,E$148,E$149)-SUM(Data!D$63,Data!D$64)</f>
        <v>0.46100000000000563</v>
      </c>
      <c r="F150" s="186">
        <f>SUM(F$147,F$148,F$149)-SUM(Data!E$63,Data!E$64)</f>
        <v>2.3469999999999871</v>
      </c>
      <c r="G150" s="186">
        <f>SUM(G$147,G$148,G$149)-SUM(Data!F$63,Data!F$64)</f>
        <v>2.8140000000000072</v>
      </c>
      <c r="H150" s="186">
        <f>SUM(H$147,H$148,H$149)-SUM(Data!G$63,Data!G$64)</f>
        <v>3.2080000000000126</v>
      </c>
      <c r="I150" s="186">
        <f>SUM(I$147,I$148,I$149)-SUM(Data!H$63,Data!H$64)</f>
        <v>3.7690000000000055</v>
      </c>
      <c r="J150" s="186">
        <f>SUM(J$147,J$148,J$149)-SUM(Data!I$63,Data!I$64)</f>
        <v>4.438999999999993</v>
      </c>
      <c r="K150" s="107">
        <f ca="1">J$150*(1+K$218)</f>
        <v>4.5277799999999928</v>
      </c>
      <c r="L150" s="107">
        <f t="shared" ref="L150:T150" ca="1" si="74">K$150*(1+L$218)</f>
        <v>4.6183355999999929</v>
      </c>
      <c r="M150" s="107">
        <f t="shared" ca="1" si="74"/>
        <v>4.7107023119999925</v>
      </c>
      <c r="N150" s="107">
        <f t="shared" ca="1" si="74"/>
        <v>4.8049163582399927</v>
      </c>
      <c r="O150" s="107">
        <f t="shared" ca="1" si="74"/>
        <v>4.9010146854047925</v>
      </c>
      <c r="P150" s="107">
        <f t="shared" ca="1" si="74"/>
        <v>4.9990349791128885</v>
      </c>
      <c r="Q150" s="107">
        <f t="shared" ca="1" si="74"/>
        <v>5.0990156786951459</v>
      </c>
      <c r="R150" s="107">
        <f t="shared" ca="1" si="74"/>
        <v>5.200995992269049</v>
      </c>
      <c r="S150" s="107">
        <f t="shared" ca="1" si="74"/>
        <v>5.3050159121144302</v>
      </c>
      <c r="T150" s="107">
        <f t="shared" ca="1" si="74"/>
        <v>5.4111162303567193</v>
      </c>
    </row>
    <row r="151" spans="1:20" x14ac:dyDescent="0.2">
      <c r="A151" s="43" t="s">
        <v>511</v>
      </c>
      <c r="B151" s="103"/>
      <c r="C151" s="94"/>
      <c r="D151" s="96">
        <f t="shared" ref="D151:T151" si="75">SUM(D$147:D$149,-D$150)</f>
        <v>45.706000000000003</v>
      </c>
      <c r="E151" s="96">
        <f t="shared" si="75"/>
        <v>54.152999999999999</v>
      </c>
      <c r="F151" s="187">
        <f t="shared" si="75"/>
        <v>47.708000000000006</v>
      </c>
      <c r="G151" s="187">
        <f t="shared" si="75"/>
        <v>47.266999999999996</v>
      </c>
      <c r="H151" s="187">
        <f t="shared" si="75"/>
        <v>52.421999999999997</v>
      </c>
      <c r="I151" s="187">
        <f t="shared" si="75"/>
        <v>56.375</v>
      </c>
      <c r="J151" s="187">
        <f t="shared" si="75"/>
        <v>61.070000000000007</v>
      </c>
      <c r="K151" s="101">
        <f t="shared" ca="1" si="75"/>
        <v>65.870881683298137</v>
      </c>
      <c r="L151" s="101">
        <f t="shared" ca="1" si="75"/>
        <v>71.501515719609998</v>
      </c>
      <c r="M151" s="101">
        <f t="shared" ca="1" si="75"/>
        <v>77.488759924413358</v>
      </c>
      <c r="N151" s="101">
        <f t="shared" ca="1" si="75"/>
        <v>83.841270114137529</v>
      </c>
      <c r="O151" s="101">
        <f t="shared" ca="1" si="75"/>
        <v>90.564269660584102</v>
      </c>
      <c r="P151" s="101">
        <f t="shared" ca="1" si="75"/>
        <v>97.660471769590274</v>
      </c>
      <c r="Q151" s="101">
        <f t="shared" ca="1" si="75"/>
        <v>105.13695021378402</v>
      </c>
      <c r="R151" s="101">
        <f t="shared" ca="1" si="75"/>
        <v>112.93276677098774</v>
      </c>
      <c r="S151" s="101">
        <f t="shared" ca="1" si="75"/>
        <v>121.0465465610221</v>
      </c>
      <c r="T151" s="101">
        <f t="shared" ca="1" si="75"/>
        <v>129.47313915711973</v>
      </c>
    </row>
    <row r="152" spans="1:20" x14ac:dyDescent="0.2">
      <c r="A152" s="47"/>
      <c r="B152" s="136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</row>
    <row r="153" spans="1:20" x14ac:dyDescent="0.2">
      <c r="A153" s="147" t="s">
        <v>663</v>
      </c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</row>
    <row r="154" spans="1:20" x14ac:dyDescent="0.2">
      <c r="A154" s="47" t="s">
        <v>169</v>
      </c>
      <c r="C154" s="94"/>
      <c r="D154" s="181">
        <f>Data!C$160</f>
        <v>5.569</v>
      </c>
      <c r="E154" s="94">
        <f t="shared" ref="E154:T154" si="76">D$160</f>
        <v>6.0110000000000001</v>
      </c>
      <c r="F154" s="142">
        <f t="shared" si="76"/>
        <v>6.7409999999999997</v>
      </c>
      <c r="G154" s="142">
        <f t="shared" si="76"/>
        <v>7.173</v>
      </c>
      <c r="H154" s="142">
        <f t="shared" si="76"/>
        <v>7.5990000000000011</v>
      </c>
      <c r="I154" s="142">
        <f t="shared" si="76"/>
        <v>8.0220000000000002</v>
      </c>
      <c r="J154" s="142">
        <f t="shared" si="76"/>
        <v>8.4409999999999989</v>
      </c>
      <c r="K154" s="99">
        <f t="shared" si="76"/>
        <v>8.8519999999999985</v>
      </c>
      <c r="L154" s="99">
        <f t="shared" si="76"/>
        <v>9.2574116047448669</v>
      </c>
      <c r="M154" s="99">
        <f t="shared" si="76"/>
        <v>9.6593099271240597</v>
      </c>
      <c r="N154" s="99">
        <f t="shared" si="76"/>
        <v>10.05619783937826</v>
      </c>
      <c r="O154" s="99">
        <f t="shared" si="76"/>
        <v>10.443693133518281</v>
      </c>
      <c r="P154" s="99">
        <f t="shared" si="76"/>
        <v>10.8223124071786</v>
      </c>
      <c r="Q154" s="99">
        <f t="shared" si="76"/>
        <v>11.194299481365034</v>
      </c>
      <c r="R154" s="99">
        <f t="shared" si="76"/>
        <v>11.557560127700686</v>
      </c>
      <c r="S154" s="99">
        <f t="shared" si="76"/>
        <v>11.910939357488157</v>
      </c>
      <c r="T154" s="99">
        <f t="shared" si="76"/>
        <v>12.252379746962445</v>
      </c>
    </row>
    <row r="155" spans="1:20" x14ac:dyDescent="0.2">
      <c r="A155" s="251" t="s">
        <v>478</v>
      </c>
      <c r="C155" s="94"/>
      <c r="D155" s="94">
        <f>Data!C$161</f>
        <v>1.1759999999999999</v>
      </c>
      <c r="E155" s="94">
        <f>Data!D$161</f>
        <v>1.2010000000000001</v>
      </c>
      <c r="F155" s="142">
        <f>Data!E$161</f>
        <v>1.298</v>
      </c>
      <c r="G155" s="142">
        <f>Data!F$161</f>
        <v>1.3839999999999999</v>
      </c>
      <c r="H155" s="142">
        <f>Data!G$161</f>
        <v>1.47</v>
      </c>
      <c r="I155" s="142">
        <f>Data!H$161</f>
        <v>1.5580000000000001</v>
      </c>
      <c r="J155" s="142">
        <f>Data!I$161</f>
        <v>1.6379999999999999</v>
      </c>
      <c r="K155" s="99">
        <f>J$155*Tracks!W$23/Tracks!V$23</f>
        <v>1.7163778727148506</v>
      </c>
      <c r="L155" s="99">
        <f>K$155*Tracks!X$23/Tracks!W$23</f>
        <v>1.7926194184476894</v>
      </c>
      <c r="M155" s="99">
        <f>L$155*Tracks!Y$23/Tracks!X$23</f>
        <v>1.8667138066016298</v>
      </c>
      <c r="N155" s="99">
        <f>M$155*Tracks!Z$23/Tracks!Y$23</f>
        <v>1.9386841282938767</v>
      </c>
      <c r="O155" s="99">
        <f>N$155*Tracks!AA$23/Tracks!Z$23</f>
        <v>2.0085810918707208</v>
      </c>
      <c r="P155" s="99">
        <f>O$155*Tracks!AB$23/Tracks!AA$23</f>
        <v>2.0764773374109953</v>
      </c>
      <c r="Q155" s="99">
        <f>P$155*Tracks!AC$23/Tracks!AB$23</f>
        <v>2.1424624092229783</v>
      </c>
      <c r="R155" s="99">
        <f>Q$155*Tracks!AD$23/Tracks!AC$23</f>
        <v>2.2066383876580891</v>
      </c>
      <c r="S155" s="99">
        <f>R$155*Tracks!AE$23/Tracks!AD$23</f>
        <v>2.2691161551226857</v>
      </c>
      <c r="T155" s="99">
        <f>S$155*Tracks!AF$23/Tracks!AE$23</f>
        <v>2.3301065796574139</v>
      </c>
    </row>
    <row r="156" spans="1:20" x14ac:dyDescent="0.2">
      <c r="A156" s="259" t="s">
        <v>479</v>
      </c>
      <c r="C156" s="94"/>
      <c r="D156" s="94">
        <f>Data!C$162</f>
        <v>0.48799999999999999</v>
      </c>
      <c r="E156" s="94">
        <f>Data!D$162</f>
        <v>0.48699999999999999</v>
      </c>
      <c r="F156" s="142">
        <f>Data!E$162</f>
        <v>0.503</v>
      </c>
      <c r="G156" s="142">
        <f>Data!F$162</f>
        <v>0.53600000000000003</v>
      </c>
      <c r="H156" s="142">
        <f>Data!G$162</f>
        <v>0.56999999999999995</v>
      </c>
      <c r="I156" s="142">
        <f>Data!H$162</f>
        <v>0.60399999999999998</v>
      </c>
      <c r="J156" s="142">
        <f>Data!I$162</f>
        <v>0.63400000000000001</v>
      </c>
      <c r="K156" s="99">
        <f>J$156*K$155/J$155</f>
        <v>0.66433673461612663</v>
      </c>
      <c r="L156" s="99">
        <f t="shared" ref="L156:T156" si="77">K$156*L$155/K$155</f>
        <v>0.6938465880926955</v>
      </c>
      <c r="M156" s="99">
        <f t="shared" si="77"/>
        <v>0.72252536836717551</v>
      </c>
      <c r="N156" s="99">
        <f t="shared" si="77"/>
        <v>0.7503820130270562</v>
      </c>
      <c r="O156" s="99">
        <f t="shared" si="77"/>
        <v>0.77743614911235481</v>
      </c>
      <c r="P156" s="99">
        <f t="shared" si="77"/>
        <v>0.80371589250218023</v>
      </c>
      <c r="Q156" s="99">
        <f t="shared" si="77"/>
        <v>0.82925590198252042</v>
      </c>
      <c r="R156" s="99">
        <f t="shared" si="77"/>
        <v>0.85409568850746564</v>
      </c>
      <c r="S156" s="99">
        <f t="shared" si="77"/>
        <v>0.87827816993149144</v>
      </c>
      <c r="T156" s="99">
        <f t="shared" si="77"/>
        <v>0.90188496428742404</v>
      </c>
    </row>
    <row r="157" spans="1:20" x14ac:dyDescent="0.2">
      <c r="A157" s="251" t="s">
        <v>480</v>
      </c>
      <c r="C157" s="94"/>
      <c r="D157" s="94">
        <f>Data!C$163</f>
        <v>0.55500000000000005</v>
      </c>
      <c r="E157" s="94">
        <f>Data!D$163</f>
        <v>0.629</v>
      </c>
      <c r="F157" s="142">
        <f>Data!E$163</f>
        <v>0.70299999999999996</v>
      </c>
      <c r="G157" s="142">
        <f>Data!F$163</f>
        <v>0.79500000000000004</v>
      </c>
      <c r="H157" s="142">
        <f>Data!G$163</f>
        <v>0.879</v>
      </c>
      <c r="I157" s="142">
        <f>Data!H$163</f>
        <v>0.96499999999999997</v>
      </c>
      <c r="J157" s="142">
        <f>Data!I$163</f>
        <v>1.05</v>
      </c>
      <c r="K157" s="99">
        <f>J$157*Tracks!W$25/Tracks!V$25</f>
        <v>1.1254034937993254</v>
      </c>
      <c r="L157" s="99">
        <f>K$157*Tracks!X$25/Tracks!W$25</f>
        <v>1.1967551147966937</v>
      </c>
      <c r="M157" s="99">
        <f>L$157*Tracks!Y$25/Tracks!X$25</f>
        <v>1.2675894214982191</v>
      </c>
      <c r="N157" s="99">
        <f>M$157*Tracks!Z$25/Tracks!Y$25</f>
        <v>1.3408333422204526</v>
      </c>
      <c r="O157" s="99">
        <f>N$157*Tracks!AA$25/Tracks!Z$25</f>
        <v>1.4116943629689149</v>
      </c>
      <c r="P157" s="99">
        <f>O$157*Tracks!AB$25/Tracks!AA$25</f>
        <v>1.478508180250572</v>
      </c>
      <c r="Q157" s="99">
        <f>P$157*Tracks!AC$25/Tracks!AB$25</f>
        <v>1.5456692732718098</v>
      </c>
      <c r="R157" s="99">
        <f>Q$157*Tracks!AD$25/Tracks!AC$25</f>
        <v>1.6123639088908837</v>
      </c>
      <c r="S157" s="99">
        <f>R$157*Tracks!AE$25/Tracks!AD$25</f>
        <v>1.6796161250101647</v>
      </c>
      <c r="T157" s="99">
        <f>S$157*Tracks!AF$25/Tracks!AE$25</f>
        <v>1.7472262991112479</v>
      </c>
    </row>
    <row r="158" spans="1:20" x14ac:dyDescent="0.2">
      <c r="A158" s="251" t="s">
        <v>871</v>
      </c>
      <c r="C158" s="94"/>
      <c r="D158" s="94">
        <f>Data!C$164</f>
        <v>0.36</v>
      </c>
      <c r="E158" s="94">
        <f>Data!D$164</f>
        <v>0.40699999999999997</v>
      </c>
      <c r="F158" s="142">
        <f>Data!E$164</f>
        <v>0.45200000000000001</v>
      </c>
      <c r="G158" s="142">
        <f>Data!F$164</f>
        <v>0.48299999999999998</v>
      </c>
      <c r="H158" s="142">
        <f>Data!G$164</f>
        <v>0.51</v>
      </c>
      <c r="I158" s="142">
        <f>Data!H$164</f>
        <v>0.53900000000000003</v>
      </c>
      <c r="J158" s="142">
        <f>Data!I$164</f>
        <v>0.56799999999999995</v>
      </c>
      <c r="K158" s="99">
        <f>J$158*K$155/J$155</f>
        <v>0.59517865183274432</v>
      </c>
      <c r="L158" s="99">
        <f t="shared" ref="L158:T158" si="78">K$158*L$155/K$155</f>
        <v>0.62161650163509619</v>
      </c>
      <c r="M158" s="99">
        <f t="shared" si="78"/>
        <v>0.64730979374220132</v>
      </c>
      <c r="N158" s="99">
        <f t="shared" si="78"/>
        <v>0.67226653533023317</v>
      </c>
      <c r="O158" s="99">
        <f t="shared" si="78"/>
        <v>0.69650431024576887</v>
      </c>
      <c r="P158" s="99">
        <f t="shared" si="78"/>
        <v>0.72004830747829385</v>
      </c>
      <c r="Q158" s="99">
        <f t="shared" si="78"/>
        <v>0.7429295778013747</v>
      </c>
      <c r="R158" s="99">
        <f t="shared" si="78"/>
        <v>0.7651835190413887</v>
      </c>
      <c r="S158" s="99">
        <f t="shared" si="78"/>
        <v>0.78684858126354429</v>
      </c>
      <c r="T158" s="99">
        <f t="shared" si="78"/>
        <v>0.80799788598620947</v>
      </c>
    </row>
    <row r="159" spans="1:20" x14ac:dyDescent="0.2">
      <c r="A159" s="259" t="s">
        <v>481</v>
      </c>
      <c r="B159" s="54"/>
      <c r="C159" s="94"/>
      <c r="D159" s="280">
        <f>Data!C$165-Data!C$166</f>
        <v>5.099999999999999E-2</v>
      </c>
      <c r="E159" s="280">
        <f>Data!D$165-Data!D$166</f>
        <v>-0.23800000000000002</v>
      </c>
      <c r="F159" s="186">
        <f>Data!E$165-Data!E$166</f>
        <v>0.112</v>
      </c>
      <c r="G159" s="186">
        <f>Data!F$165-Data!F$166</f>
        <v>0.11</v>
      </c>
      <c r="H159" s="186">
        <f>Data!G$165-Data!G$166</f>
        <v>0.108</v>
      </c>
      <c r="I159" s="186">
        <f>Data!H$165-Data!H$166</f>
        <v>0.109</v>
      </c>
      <c r="J159" s="186">
        <f>Data!I$165-Data!I$166</f>
        <v>0.111</v>
      </c>
      <c r="K159" s="107">
        <f>J$159*K$154/J$154</f>
        <v>0.1164046913872764</v>
      </c>
      <c r="L159" s="107">
        <f t="shared" ref="L159:T159" si="79">K$159*L$154/K$154</f>
        <v>0.12173589481420218</v>
      </c>
      <c r="M159" s="107">
        <f t="shared" si="79"/>
        <v>0.1270208982242354</v>
      </c>
      <c r="N159" s="107">
        <f t="shared" si="79"/>
        <v>0.13224001423658185</v>
      </c>
      <c r="O159" s="107">
        <f t="shared" si="79"/>
        <v>0.13733561637489985</v>
      </c>
      <c r="P159" s="107">
        <f t="shared" si="79"/>
        <v>0.14231449795010367</v>
      </c>
      <c r="Q159" s="107">
        <f t="shared" si="79"/>
        <v>0.14720616543437023</v>
      </c>
      <c r="R159" s="107">
        <f t="shared" si="79"/>
        <v>0.15198307951365675</v>
      </c>
      <c r="S159" s="107">
        <f t="shared" si="79"/>
        <v>0.1566300519702862</v>
      </c>
      <c r="T159" s="107">
        <f t="shared" si="79"/>
        <v>0.16112002747456838</v>
      </c>
    </row>
    <row r="160" spans="1:20" s="103" customFormat="1" x14ac:dyDescent="0.2">
      <c r="A160" s="43" t="s">
        <v>664</v>
      </c>
      <c r="B160" s="54"/>
      <c r="C160" s="94"/>
      <c r="D160" s="96">
        <f t="shared" ref="D160:T160" si="80">SUM(D$154,D$155,D$158)-SUM(D$156,D$157,D$159)</f>
        <v>6.0110000000000001</v>
      </c>
      <c r="E160" s="96">
        <f t="shared" si="80"/>
        <v>6.7409999999999997</v>
      </c>
      <c r="F160" s="187">
        <f t="shared" si="80"/>
        <v>7.173</v>
      </c>
      <c r="G160" s="187">
        <f t="shared" si="80"/>
        <v>7.5990000000000011</v>
      </c>
      <c r="H160" s="187">
        <f t="shared" si="80"/>
        <v>8.0220000000000002</v>
      </c>
      <c r="I160" s="187">
        <f t="shared" si="80"/>
        <v>8.4409999999999989</v>
      </c>
      <c r="J160" s="187">
        <f t="shared" si="80"/>
        <v>8.8519999999999985</v>
      </c>
      <c r="K160" s="101">
        <f t="shared" si="80"/>
        <v>9.2574116047448669</v>
      </c>
      <c r="L160" s="101">
        <f t="shared" si="80"/>
        <v>9.6593099271240597</v>
      </c>
      <c r="M160" s="101">
        <f t="shared" si="80"/>
        <v>10.05619783937826</v>
      </c>
      <c r="N160" s="101">
        <f t="shared" si="80"/>
        <v>10.443693133518281</v>
      </c>
      <c r="O160" s="101">
        <f t="shared" si="80"/>
        <v>10.8223124071786</v>
      </c>
      <c r="P160" s="101">
        <f t="shared" si="80"/>
        <v>11.194299481365034</v>
      </c>
      <c r="Q160" s="101">
        <f t="shared" si="80"/>
        <v>11.557560127700686</v>
      </c>
      <c r="R160" s="101">
        <f t="shared" si="80"/>
        <v>11.910939357488157</v>
      </c>
      <c r="S160" s="101">
        <f t="shared" si="80"/>
        <v>12.252379746962445</v>
      </c>
      <c r="T160" s="101">
        <f t="shared" si="80"/>
        <v>12.580252921732828</v>
      </c>
    </row>
    <row r="161" spans="1:20" s="103" customFormat="1" x14ac:dyDescent="0.2">
      <c r="A161" s="43"/>
      <c r="B161" s="54"/>
      <c r="C161" s="9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</row>
    <row r="162" spans="1:20" x14ac:dyDescent="0.2">
      <c r="A162" s="147" t="s">
        <v>416</v>
      </c>
      <c r="B162" s="59"/>
      <c r="C162" s="94"/>
      <c r="D162" s="100"/>
      <c r="E162" s="100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</row>
    <row r="163" spans="1:20" x14ac:dyDescent="0.2">
      <c r="A163" s="258" t="s">
        <v>756</v>
      </c>
      <c r="B163" s="59"/>
      <c r="C163" s="94"/>
      <c r="D163" s="94">
        <f>Data!C$221</f>
        <v>0.36699999999999999</v>
      </c>
      <c r="E163" s="94">
        <f>Data!D$221</f>
        <v>0.32400000000000001</v>
      </c>
      <c r="F163" s="142">
        <f>Data!E$221</f>
        <v>0.77200000000000002</v>
      </c>
      <c r="G163" s="142">
        <f>Data!F$221</f>
        <v>1.4950000000000001</v>
      </c>
      <c r="H163" s="142">
        <f>Data!G$221</f>
        <v>1.821</v>
      </c>
      <c r="I163" s="142">
        <f>Data!H$221</f>
        <v>2.1560000000000001</v>
      </c>
      <c r="J163" s="142">
        <f>Data!I$221</f>
        <v>2.4910000000000001</v>
      </c>
      <c r="K163" s="99">
        <f ca="1">J$163*(1+K$218)</f>
        <v>2.5408200000000001</v>
      </c>
      <c r="L163" s="99">
        <f t="shared" ref="L163:T163" ca="1" si="81">K$163*(1+L$218)</f>
        <v>2.5916364000000001</v>
      </c>
      <c r="M163" s="99">
        <f t="shared" ca="1" si="81"/>
        <v>2.643469128</v>
      </c>
      <c r="N163" s="99">
        <f t="shared" ca="1" si="81"/>
        <v>2.69633851056</v>
      </c>
      <c r="O163" s="99">
        <f t="shared" ca="1" si="81"/>
        <v>2.7502652807711998</v>
      </c>
      <c r="P163" s="99">
        <f t="shared" ca="1" si="81"/>
        <v>2.8052705863866239</v>
      </c>
      <c r="Q163" s="99">
        <f t="shared" ca="1" si="81"/>
        <v>2.8613759981143563</v>
      </c>
      <c r="R163" s="99">
        <f t="shared" ca="1" si="81"/>
        <v>2.9186035180766434</v>
      </c>
      <c r="S163" s="99">
        <f t="shared" ca="1" si="81"/>
        <v>2.9769755884381763</v>
      </c>
      <c r="T163" s="99">
        <f t="shared" ca="1" si="81"/>
        <v>3.0365151002069397</v>
      </c>
    </row>
    <row r="164" spans="1:20" x14ac:dyDescent="0.2">
      <c r="A164" s="258" t="s">
        <v>461</v>
      </c>
      <c r="B164" s="59"/>
      <c r="C164" s="94"/>
      <c r="D164" s="94">
        <f>Data!C$220-D$160</f>
        <v>3.0759999999999996</v>
      </c>
      <c r="E164" s="94">
        <f>Data!D$220-E$160</f>
        <v>3.9870000000000001</v>
      </c>
      <c r="F164" s="142">
        <f>Data!E$220-F$160</f>
        <v>4.7650000000000006</v>
      </c>
      <c r="G164" s="142">
        <f>Data!F$220-G$160</f>
        <v>4.7379999999999987</v>
      </c>
      <c r="H164" s="142">
        <f>Data!G$220-H$160</f>
        <v>4.9489999999999998</v>
      </c>
      <c r="I164" s="142">
        <f>Data!H$220-I$160</f>
        <v>4.9740000000000002</v>
      </c>
      <c r="J164" s="142">
        <f>Data!I$220-J$160</f>
        <v>5.0300000000000011</v>
      </c>
      <c r="K164" s="99">
        <f ca="1">J$164*(1+K$218)</f>
        <v>5.1306000000000012</v>
      </c>
      <c r="L164" s="99">
        <f t="shared" ref="L164:T164" ca="1" si="82">K$164*(1+L$218)</f>
        <v>5.2332120000000009</v>
      </c>
      <c r="M164" s="99">
        <f t="shared" ca="1" si="82"/>
        <v>5.3378762400000008</v>
      </c>
      <c r="N164" s="99">
        <f t="shared" ca="1" si="82"/>
        <v>5.4446337648000007</v>
      </c>
      <c r="O164" s="99">
        <f t="shared" ca="1" si="82"/>
        <v>5.5535264400960012</v>
      </c>
      <c r="P164" s="99">
        <f t="shared" ca="1" si="82"/>
        <v>5.6645969688979214</v>
      </c>
      <c r="Q164" s="99">
        <f t="shared" ca="1" si="82"/>
        <v>5.7778889082758802</v>
      </c>
      <c r="R164" s="99">
        <f t="shared" ca="1" si="82"/>
        <v>5.8934466864413979</v>
      </c>
      <c r="S164" s="99">
        <f t="shared" ca="1" si="82"/>
        <v>6.011315620170226</v>
      </c>
      <c r="T164" s="99">
        <f t="shared" ca="1" si="82"/>
        <v>6.1315419325736302</v>
      </c>
    </row>
    <row r="165" spans="1:20" x14ac:dyDescent="0.2">
      <c r="A165" s="258" t="s">
        <v>462</v>
      </c>
      <c r="B165" s="59"/>
      <c r="C165" s="94"/>
      <c r="D165" s="280">
        <f>Data!C$116-D$163</f>
        <v>0.75100000000000011</v>
      </c>
      <c r="E165" s="280">
        <f>Data!D$116-E$163</f>
        <v>0.54800000000000004</v>
      </c>
      <c r="F165" s="186">
        <f>Data!E$116-F$163</f>
        <v>0.57499999999999996</v>
      </c>
      <c r="G165" s="186">
        <f>Data!F$116-G$163</f>
        <v>0.57600000000000007</v>
      </c>
      <c r="H165" s="186">
        <f>Data!G$116-H$163</f>
        <v>0.57899999999999996</v>
      </c>
      <c r="I165" s="186">
        <f>Data!H$116-I$163</f>
        <v>0.58499999999999996</v>
      </c>
      <c r="J165" s="186">
        <f>Data!I$116-J$163</f>
        <v>0.58499999999999996</v>
      </c>
      <c r="K165" s="107">
        <f>J$165</f>
        <v>0.58499999999999996</v>
      </c>
      <c r="L165" s="107">
        <f t="shared" ref="L165:T165" si="83">K$165</f>
        <v>0.58499999999999996</v>
      </c>
      <c r="M165" s="107">
        <f t="shared" si="83"/>
        <v>0.58499999999999996</v>
      </c>
      <c r="N165" s="107">
        <f t="shared" si="83"/>
        <v>0.58499999999999996</v>
      </c>
      <c r="O165" s="107">
        <f t="shared" si="83"/>
        <v>0.58499999999999996</v>
      </c>
      <c r="P165" s="107">
        <f t="shared" si="83"/>
        <v>0.58499999999999996</v>
      </c>
      <c r="Q165" s="107">
        <f t="shared" si="83"/>
        <v>0.58499999999999996</v>
      </c>
      <c r="R165" s="107">
        <f t="shared" si="83"/>
        <v>0.58499999999999996</v>
      </c>
      <c r="S165" s="107">
        <f t="shared" si="83"/>
        <v>0.58499999999999996</v>
      </c>
      <c r="T165" s="107">
        <f t="shared" si="83"/>
        <v>0.58499999999999996</v>
      </c>
    </row>
    <row r="166" spans="1:20" x14ac:dyDescent="0.2">
      <c r="A166" s="43" t="s">
        <v>409</v>
      </c>
      <c r="B166" s="54"/>
      <c r="C166" s="94"/>
      <c r="D166" s="96">
        <f t="shared" ref="D166:T166" si="84">SUM(D$163:D$165)</f>
        <v>4.194</v>
      </c>
      <c r="E166" s="96">
        <f t="shared" si="84"/>
        <v>4.859</v>
      </c>
      <c r="F166" s="187">
        <f t="shared" si="84"/>
        <v>6.112000000000001</v>
      </c>
      <c r="G166" s="187">
        <f t="shared" si="84"/>
        <v>6.8089999999999993</v>
      </c>
      <c r="H166" s="187">
        <f t="shared" si="84"/>
        <v>7.3489999999999993</v>
      </c>
      <c r="I166" s="187">
        <f t="shared" si="84"/>
        <v>7.7150000000000007</v>
      </c>
      <c r="J166" s="187">
        <f t="shared" si="84"/>
        <v>8.1060000000000016</v>
      </c>
      <c r="K166" s="101">
        <f t="shared" ca="1" si="84"/>
        <v>8.2564200000000021</v>
      </c>
      <c r="L166" s="101">
        <f t="shared" ca="1" si="84"/>
        <v>8.4098484000000013</v>
      </c>
      <c r="M166" s="101">
        <f t="shared" ca="1" si="84"/>
        <v>8.5663453680000003</v>
      </c>
      <c r="N166" s="101">
        <f t="shared" ca="1" si="84"/>
        <v>8.7259722753600002</v>
      </c>
      <c r="O166" s="101">
        <f t="shared" ca="1" si="84"/>
        <v>8.8887917208672</v>
      </c>
      <c r="P166" s="101">
        <f t="shared" ca="1" si="84"/>
        <v>9.0548675552845452</v>
      </c>
      <c r="Q166" s="101">
        <f t="shared" ca="1" si="84"/>
        <v>9.2242649063902356</v>
      </c>
      <c r="R166" s="101">
        <f t="shared" ca="1" si="84"/>
        <v>9.3970502045180417</v>
      </c>
      <c r="S166" s="101">
        <f t="shared" ca="1" si="84"/>
        <v>9.5732912086084028</v>
      </c>
      <c r="T166" s="101">
        <f t="shared" ca="1" si="84"/>
        <v>9.7530570327805712</v>
      </c>
    </row>
    <row r="167" spans="1:20" x14ac:dyDescent="0.2">
      <c r="A167" s="251" t="s">
        <v>753</v>
      </c>
      <c r="B167" s="54"/>
      <c r="C167" s="94"/>
      <c r="D167" s="94">
        <f>Data!C$65</f>
        <v>3.637</v>
      </c>
      <c r="E167" s="94">
        <f>Data!D$65</f>
        <v>5.5810000000000004</v>
      </c>
      <c r="F167" s="142">
        <f>Data!E$65</f>
        <v>8.5</v>
      </c>
      <c r="G167" s="142">
        <f>Data!F$65</f>
        <v>9.5</v>
      </c>
      <c r="H167" s="142">
        <f>Data!G$65</f>
        <v>10</v>
      </c>
      <c r="I167" s="142">
        <f>Data!H$65</f>
        <v>10</v>
      </c>
      <c r="J167" s="142">
        <f>Data!I$65</f>
        <v>10</v>
      </c>
      <c r="K167" s="99">
        <f>J$167</f>
        <v>10</v>
      </c>
      <c r="L167" s="99">
        <f t="shared" ref="L167:T167" si="85">K$167</f>
        <v>10</v>
      </c>
      <c r="M167" s="99">
        <f t="shared" si="85"/>
        <v>10</v>
      </c>
      <c r="N167" s="99">
        <f t="shared" si="85"/>
        <v>10</v>
      </c>
      <c r="O167" s="99">
        <f t="shared" si="85"/>
        <v>10</v>
      </c>
      <c r="P167" s="99">
        <f t="shared" si="85"/>
        <v>10</v>
      </c>
      <c r="Q167" s="99">
        <f t="shared" si="85"/>
        <v>10</v>
      </c>
      <c r="R167" s="99">
        <f t="shared" si="85"/>
        <v>10</v>
      </c>
      <c r="S167" s="99">
        <f t="shared" si="85"/>
        <v>10</v>
      </c>
      <c r="T167" s="99">
        <f t="shared" si="85"/>
        <v>10</v>
      </c>
    </row>
    <row r="168" spans="1:20" x14ac:dyDescent="0.2">
      <c r="A168" s="251" t="s">
        <v>754</v>
      </c>
      <c r="B168" s="54"/>
      <c r="C168" s="94"/>
      <c r="D168" s="280">
        <f>SUM(Data!C$61,Data!C$66)-SUM(D$160,D$166)</f>
        <v>2.113999999999999</v>
      </c>
      <c r="E168" s="280">
        <f>SUM(Data!D$61,Data!D$66)-SUM(E$160,E$166)</f>
        <v>-0.42900000000000027</v>
      </c>
      <c r="F168" s="186">
        <f>SUM(Data!E$61,Data!E$66)-SUM(F$160,F$166)</f>
        <v>1.3609999999999989</v>
      </c>
      <c r="G168" s="186">
        <f>SUM(Data!F$61,Data!F$66)-SUM(G$160,G$166)</f>
        <v>1.4379999999999988</v>
      </c>
      <c r="H168" s="186">
        <f>SUM(Data!G$61,Data!G$66)-SUM(H$160,H$166)</f>
        <v>1.1560000000000024</v>
      </c>
      <c r="I168" s="186">
        <f>SUM(Data!H$61,Data!H$66)-SUM(I$160,I$166)</f>
        <v>1.4190000000000005</v>
      </c>
      <c r="J168" s="186">
        <f>SUM(Data!I$61,Data!I$66)-SUM(J$160,J$166)</f>
        <v>1.7900000000000027</v>
      </c>
      <c r="K168" s="107">
        <f ca="1">J$168*(1+K$215)</f>
        <v>1.8722769036016984</v>
      </c>
      <c r="L168" s="107">
        <f t="shared" ref="L168:T168" ca="1" si="86">K$168*(1+L$215)</f>
        <v>1.9586791315688779</v>
      </c>
      <c r="M168" s="107">
        <f t="shared" ca="1" si="86"/>
        <v>2.0485394539128658</v>
      </c>
      <c r="N168" s="107">
        <f t="shared" ca="1" si="86"/>
        <v>2.1403187944790734</v>
      </c>
      <c r="O168" s="107">
        <f t="shared" ca="1" si="86"/>
        <v>2.2308803054848174</v>
      </c>
      <c r="P168" s="107">
        <f t="shared" ca="1" si="86"/>
        <v>2.3246039224457671</v>
      </c>
      <c r="Q168" s="107">
        <f t="shared" ca="1" si="86"/>
        <v>2.4217062652054833</v>
      </c>
      <c r="R168" s="107">
        <f t="shared" ca="1" si="86"/>
        <v>2.5220830731083095</v>
      </c>
      <c r="S168" s="107">
        <f t="shared" ca="1" si="86"/>
        <v>2.6265373840027024</v>
      </c>
      <c r="T168" s="107">
        <f t="shared" ca="1" si="86"/>
        <v>2.7340452947389533</v>
      </c>
    </row>
    <row r="169" spans="1:20" x14ac:dyDescent="0.2">
      <c r="A169" s="43" t="s">
        <v>410</v>
      </c>
      <c r="B169" s="54"/>
      <c r="C169" s="94"/>
      <c r="D169" s="96">
        <f t="shared" ref="D169:T169" si="87">SUM(D$166,D$167,D$168)</f>
        <v>9.9449999999999985</v>
      </c>
      <c r="E169" s="96">
        <f t="shared" si="87"/>
        <v>10.011000000000001</v>
      </c>
      <c r="F169" s="187">
        <f t="shared" si="87"/>
        <v>15.973000000000001</v>
      </c>
      <c r="G169" s="187">
        <f t="shared" si="87"/>
        <v>17.746999999999996</v>
      </c>
      <c r="H169" s="187">
        <f t="shared" si="87"/>
        <v>18.505000000000003</v>
      </c>
      <c r="I169" s="187">
        <f t="shared" si="87"/>
        <v>19.134</v>
      </c>
      <c r="J169" s="187">
        <f t="shared" si="87"/>
        <v>19.896000000000004</v>
      </c>
      <c r="K169" s="101">
        <f t="shared" ca="1" si="87"/>
        <v>20.1286969036017</v>
      </c>
      <c r="L169" s="101">
        <f t="shared" ca="1" si="87"/>
        <v>20.36852753156888</v>
      </c>
      <c r="M169" s="101">
        <f t="shared" ca="1" si="87"/>
        <v>20.614884821912867</v>
      </c>
      <c r="N169" s="101">
        <f t="shared" ca="1" si="87"/>
        <v>20.866291069839072</v>
      </c>
      <c r="O169" s="101">
        <f t="shared" ca="1" si="87"/>
        <v>21.119672026352017</v>
      </c>
      <c r="P169" s="101">
        <f t="shared" ca="1" si="87"/>
        <v>21.379471477730313</v>
      </c>
      <c r="Q169" s="101">
        <f t="shared" ca="1" si="87"/>
        <v>21.645971171595718</v>
      </c>
      <c r="R169" s="101">
        <f t="shared" ca="1" si="87"/>
        <v>21.919133277626351</v>
      </c>
      <c r="S169" s="101">
        <f t="shared" ca="1" si="87"/>
        <v>22.199828592611105</v>
      </c>
      <c r="T169" s="101">
        <f t="shared" ca="1" si="87"/>
        <v>22.487102327519523</v>
      </c>
    </row>
    <row r="170" spans="1:20" x14ac:dyDescent="0.2">
      <c r="A170" s="43" t="s">
        <v>483</v>
      </c>
      <c r="B170" s="138"/>
      <c r="C170" s="94"/>
      <c r="D170" s="96">
        <f>Data!C$117</f>
        <v>7.59</v>
      </c>
      <c r="E170" s="96">
        <f>Data!D$117</f>
        <v>9.0310000000000006</v>
      </c>
      <c r="F170" s="187">
        <f>Data!E$117</f>
        <v>9.6049999999999986</v>
      </c>
      <c r="G170" s="187">
        <f>Data!F$117</f>
        <v>9.3149999999999995</v>
      </c>
      <c r="H170" s="187">
        <f>Data!G$117</f>
        <v>9.0609999999999999</v>
      </c>
      <c r="I170" s="187">
        <f>Data!H$117</f>
        <v>8.8209999999999997</v>
      </c>
      <c r="J170" s="187">
        <f>Data!I$117</f>
        <v>8.76</v>
      </c>
      <c r="K170" s="101">
        <f ca="1">J$170*(1+K$218)</f>
        <v>8.9352</v>
      </c>
      <c r="L170" s="101">
        <f t="shared" ref="L170:T170" ca="1" si="88">K$170*(1+L$218)</f>
        <v>9.1139039999999998</v>
      </c>
      <c r="M170" s="101">
        <f t="shared" ca="1" si="88"/>
        <v>9.2961820799999995</v>
      </c>
      <c r="N170" s="101">
        <f t="shared" ca="1" si="88"/>
        <v>9.4821057216</v>
      </c>
      <c r="O170" s="101">
        <f t="shared" ca="1" si="88"/>
        <v>9.6717478360320008</v>
      </c>
      <c r="P170" s="101">
        <f t="shared" ca="1" si="88"/>
        <v>9.8651827927526412</v>
      </c>
      <c r="Q170" s="101">
        <f t="shared" ca="1" si="88"/>
        <v>10.062486448607695</v>
      </c>
      <c r="R170" s="101">
        <f t="shared" ca="1" si="88"/>
        <v>10.263736177579849</v>
      </c>
      <c r="S170" s="101">
        <f t="shared" ca="1" si="88"/>
        <v>10.469010901131446</v>
      </c>
      <c r="T170" s="101">
        <f t="shared" ca="1" si="88"/>
        <v>10.678391119154075</v>
      </c>
    </row>
    <row r="171" spans="1:20" x14ac:dyDescent="0.2">
      <c r="A171" s="43" t="s">
        <v>489</v>
      </c>
      <c r="B171" s="138"/>
      <c r="C171" s="94"/>
      <c r="D171" s="96">
        <f>Data!C$62</f>
        <v>12.058</v>
      </c>
      <c r="E171" s="96">
        <f>Data!D$62</f>
        <v>14.157999999999999</v>
      </c>
      <c r="F171" s="187">
        <f>Data!E$62</f>
        <v>14.707999999999998</v>
      </c>
      <c r="G171" s="187">
        <f>Data!F$62</f>
        <v>14.908999999999999</v>
      </c>
      <c r="H171" s="187">
        <f>Data!G$62</f>
        <v>14.886000000000001</v>
      </c>
      <c r="I171" s="187">
        <f>Data!H$62</f>
        <v>14.761999999999999</v>
      </c>
      <c r="J171" s="187">
        <f>Data!I$62</f>
        <v>15.025</v>
      </c>
      <c r="K171" s="101">
        <f ca="1">J$171*(1+K$218)</f>
        <v>15.3255</v>
      </c>
      <c r="L171" s="101">
        <f t="shared" ref="L171:T171" ca="1" si="89">K$171*(1+L$218)</f>
        <v>15.632009999999999</v>
      </c>
      <c r="M171" s="101">
        <f t="shared" ca="1" si="89"/>
        <v>15.9446502</v>
      </c>
      <c r="N171" s="101">
        <f t="shared" ca="1" si="89"/>
        <v>16.263543204000001</v>
      </c>
      <c r="O171" s="101">
        <f t="shared" ca="1" si="89"/>
        <v>16.588814068080001</v>
      </c>
      <c r="P171" s="101">
        <f t="shared" ca="1" si="89"/>
        <v>16.920590349441603</v>
      </c>
      <c r="Q171" s="101">
        <f t="shared" ca="1" si="89"/>
        <v>17.259002156430437</v>
      </c>
      <c r="R171" s="101">
        <f t="shared" ca="1" si="89"/>
        <v>17.604182199559045</v>
      </c>
      <c r="S171" s="101">
        <f t="shared" ca="1" si="89"/>
        <v>17.956265843550227</v>
      </c>
      <c r="T171" s="101">
        <f t="shared" ca="1" si="89"/>
        <v>18.315391160421232</v>
      </c>
    </row>
    <row r="172" spans="1:20" x14ac:dyDescent="0.2">
      <c r="B172" s="59"/>
      <c r="C172" s="94"/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  <c r="S172" s="191"/>
      <c r="T172" s="191"/>
    </row>
    <row r="173" spans="1:20" x14ac:dyDescent="0.2">
      <c r="A173" s="147" t="s">
        <v>666</v>
      </c>
      <c r="B173" s="59"/>
      <c r="C173" s="94"/>
      <c r="D173" s="94"/>
      <c r="E173" s="9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</row>
    <row r="174" spans="1:20" x14ac:dyDescent="0.2">
      <c r="A174" s="43" t="s">
        <v>254</v>
      </c>
      <c r="B174" s="54"/>
      <c r="C174" s="94"/>
      <c r="D174" s="96">
        <f>Data!C$119</f>
        <v>26.213000000000001</v>
      </c>
      <c r="E174" s="96">
        <f ca="1">Data!D$119+IF(OFFSET(Scenarios!$A$69,0,$C$1)="Yes",E$179,0)</f>
        <v>28.637</v>
      </c>
      <c r="F174" s="187">
        <f ca="1">Data!E$119+IF(OFFSET(Scenarios!$A$69,0,$C$1)="Yes",F$179,0)</f>
        <v>29.236000000000001</v>
      </c>
      <c r="G174" s="187">
        <f ca="1">Data!F$119+IF(OFFSET(Scenarios!$A$69,0,$C$1)="Yes",G$179,0)</f>
        <v>29.542000000000002</v>
      </c>
      <c r="H174" s="187">
        <f ca="1">Data!G$119+IF(OFFSET(Scenarios!$A$69,0,$C$1)="Yes",H$179,0)</f>
        <v>29.497</v>
      </c>
      <c r="I174" s="187">
        <f ca="1">Data!H$119+IF(OFFSET(Scenarios!$A$69,0,$C$1)="Yes",I$179,0)</f>
        <v>29.256</v>
      </c>
      <c r="J174" s="187">
        <f ca="1">Data!I$119+IF(OFFSET(Scenarios!$A$69,0,$C$1)="Yes",J$179,0)</f>
        <v>29.085000000000001</v>
      </c>
      <c r="K174" s="101">
        <f ca="1">J$174+IF(OFFSET(Scenarios!$A$69,0,$C$1)="Yes",(K$179-J$179),0)</f>
        <v>29.085000000000001</v>
      </c>
      <c r="L174" s="101">
        <f ca="1">K$174+IF(OFFSET(Scenarios!$A$69,0,$C$1)="Yes",(L$179-K$179),0)</f>
        <v>29.085000000000001</v>
      </c>
      <c r="M174" s="101">
        <f ca="1">L$174+IF(OFFSET(Scenarios!$A$69,0,$C$1)="Yes",(M$179-L$179),0)</f>
        <v>29.085000000000001</v>
      </c>
      <c r="N174" s="101">
        <f ca="1">M$174+IF(OFFSET(Scenarios!$A$69,0,$C$1)="Yes",(N$179-M$179),0)</f>
        <v>29.085000000000001</v>
      </c>
      <c r="O174" s="101">
        <f ca="1">N$174+IF(OFFSET(Scenarios!$A$69,0,$C$1)="Yes",(O$179-N$179),0)</f>
        <v>29.085000000000001</v>
      </c>
      <c r="P174" s="101">
        <f ca="1">O$174+IF(OFFSET(Scenarios!$A$69,0,$C$1)="Yes",(P$179-O$179),0)</f>
        <v>29.085000000000001</v>
      </c>
      <c r="Q174" s="101">
        <f ca="1">P$174+IF(OFFSET(Scenarios!$A$69,0,$C$1)="Yes",(Q$179-P$179),0)</f>
        <v>29.085000000000001</v>
      </c>
      <c r="R174" s="101">
        <f ca="1">Q$174+IF(OFFSET(Scenarios!$A$69,0,$C$1)="Yes",(R$179-Q$179),0)</f>
        <v>29.085000000000001</v>
      </c>
      <c r="S174" s="101">
        <f ca="1">R$174+IF(OFFSET(Scenarios!$A$69,0,$C$1)="Yes",(S$179-R$179),0)</f>
        <v>29.085000000000001</v>
      </c>
      <c r="T174" s="101">
        <f ca="1">S$174+IF(OFFSET(Scenarios!$A$69,0,$C$1)="Yes",(T$179-S$179),0)</f>
        <v>29.085000000000001</v>
      </c>
    </row>
    <row r="175" spans="1:20" x14ac:dyDescent="0.2">
      <c r="A175" s="259" t="s">
        <v>665</v>
      </c>
      <c r="B175" s="59"/>
      <c r="C175" s="94"/>
      <c r="D175" s="280">
        <f>SUM(Data!C$120,Data!C$121)</f>
        <v>69.385000000000005</v>
      </c>
      <c r="E175" s="280">
        <f>SUM(Data!D$120,Data!D$121)</f>
        <v>74.692000000000007</v>
      </c>
      <c r="F175" s="186">
        <f>SUM(Data!E$120,Data!E$121)</f>
        <v>78.658999999999992</v>
      </c>
      <c r="G175" s="186">
        <f>SUM(Data!F$120,Data!F$121)</f>
        <v>80.855999999999995</v>
      </c>
      <c r="H175" s="186">
        <f>SUM(Data!G$120,Data!G$121)</f>
        <v>83.282000000000011</v>
      </c>
      <c r="I175" s="186">
        <f>SUM(Data!H$120,Data!H$121)</f>
        <v>85.245000000000005</v>
      </c>
      <c r="J175" s="186">
        <f>SUM(Data!I$120,Data!I$121)</f>
        <v>87.858000000000004</v>
      </c>
      <c r="K175" s="107">
        <f ca="1">J$175 + (K$27-K$34-J$27+J$34) + (K$28-K$35-J$28+J$35) + (K$16-K$23) - SUM(K$148,K$149,-K$150,K$169-K$166,K$171-K$170,K$186-K$185) + SUM(J$148,J$149,-J$150,J$169-J$166,J$171-J$170,J$186-J$185)</f>
        <v>90.672049969211429</v>
      </c>
      <c r="L175" s="107">
        <f t="shared" ref="L175:T175" ca="1" si="90">K$175 + (L$27-L$34-K$27+K$34) + (L$28-L$35-K$28+K$35) + (L$16-L$23) - SUM(L$148,L$149,-L$150,L$169-L$166,L$171-L$170,L$186-L$185) + SUM(K$148,K$149,-K$150,K$169-K$166,K$171-K$170,K$186-K$185)</f>
        <v>93.828075089378714</v>
      </c>
      <c r="M175" s="107">
        <f t="shared" ca="1" si="90"/>
        <v>97.213449069408824</v>
      </c>
      <c r="N175" s="107">
        <f t="shared" ca="1" si="90"/>
        <v>100.8161204267503</v>
      </c>
      <c r="O175" s="107">
        <f t="shared" ca="1" si="90"/>
        <v>104.59959138466297</v>
      </c>
      <c r="P175" s="107">
        <f t="shared" ca="1" si="90"/>
        <v>108.62313040387269</v>
      </c>
      <c r="Q175" s="107">
        <f t="shared" ca="1" si="90"/>
        <v>112.90016277823682</v>
      </c>
      <c r="R175" s="107">
        <f t="shared" ca="1" si="90"/>
        <v>117.43879979771586</v>
      </c>
      <c r="S175" s="107">
        <f t="shared" ca="1" si="90"/>
        <v>122.25838629670241</v>
      </c>
      <c r="T175" s="107">
        <f t="shared" ca="1" si="90"/>
        <v>127.3561812395976</v>
      </c>
    </row>
    <row r="176" spans="1:20" x14ac:dyDescent="0.2">
      <c r="A176" s="43" t="s">
        <v>255</v>
      </c>
      <c r="B176" s="59"/>
      <c r="C176" s="94"/>
      <c r="D176" s="96">
        <f t="shared" ref="D176:T176" si="91">SUM(D$174,D$175)</f>
        <v>95.598000000000013</v>
      </c>
      <c r="E176" s="96">
        <f t="shared" ca="1" si="91"/>
        <v>103.32900000000001</v>
      </c>
      <c r="F176" s="187">
        <f t="shared" ca="1" si="91"/>
        <v>107.895</v>
      </c>
      <c r="G176" s="187">
        <f t="shared" ca="1" si="91"/>
        <v>110.398</v>
      </c>
      <c r="H176" s="187">
        <f t="shared" ca="1" si="91"/>
        <v>112.77900000000001</v>
      </c>
      <c r="I176" s="187">
        <f t="shared" ca="1" si="91"/>
        <v>114.501</v>
      </c>
      <c r="J176" s="187">
        <f t="shared" ca="1" si="91"/>
        <v>116.94300000000001</v>
      </c>
      <c r="K176" s="101">
        <f t="shared" ca="1" si="91"/>
        <v>119.75704996921144</v>
      </c>
      <c r="L176" s="101">
        <f t="shared" ca="1" si="91"/>
        <v>122.91307508937871</v>
      </c>
      <c r="M176" s="101">
        <f t="shared" ca="1" si="91"/>
        <v>126.29844906940883</v>
      </c>
      <c r="N176" s="101">
        <f t="shared" ca="1" si="91"/>
        <v>129.90112042675031</v>
      </c>
      <c r="O176" s="101">
        <f t="shared" ca="1" si="91"/>
        <v>133.68459138466298</v>
      </c>
      <c r="P176" s="101">
        <f t="shared" ca="1" si="91"/>
        <v>137.7081304038727</v>
      </c>
      <c r="Q176" s="101">
        <f t="shared" ca="1" si="91"/>
        <v>141.98516277823683</v>
      </c>
      <c r="R176" s="101">
        <f t="shared" ca="1" si="91"/>
        <v>146.52379979771587</v>
      </c>
      <c r="S176" s="101">
        <f t="shared" ca="1" si="91"/>
        <v>151.34338629670242</v>
      </c>
      <c r="T176" s="101">
        <f t="shared" ca="1" si="91"/>
        <v>156.4411812395976</v>
      </c>
    </row>
    <row r="177" spans="1:20" x14ac:dyDescent="0.2">
      <c r="A177" s="43"/>
      <c r="B177" s="59"/>
      <c r="C177" s="94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</row>
    <row r="178" spans="1:20" x14ac:dyDescent="0.2">
      <c r="A178" s="147" t="s">
        <v>667</v>
      </c>
      <c r="B178" s="103"/>
      <c r="C178" s="94"/>
      <c r="D178" s="96">
        <f ca="1">IF(OFFSET(Scenarios!$A$69,0,$C$1)="Yes",0,D$179-C$179)</f>
        <v>0</v>
      </c>
      <c r="E178" s="96">
        <f ca="1">IF(OFFSET(Scenarios!$A$69,0,$C$1)="Yes",0,E$179-D$179)</f>
        <v>0</v>
      </c>
      <c r="F178" s="187">
        <f ca="1">IF(OFFSET(Scenarios!$A$69,0,$C$1)="Yes",0,F$179-E$179)</f>
        <v>0.184</v>
      </c>
      <c r="G178" s="187">
        <f ca="1">IF(OFFSET(Scenarios!$A$69,0,$C$1)="Yes",0,G$179-F$179)</f>
        <v>0.70599999999999996</v>
      </c>
      <c r="H178" s="187">
        <f ca="1">IF(OFFSET(Scenarios!$A$69,0,$C$1)="Yes",0,H$179-G$179)</f>
        <v>1.0419999999999998</v>
      </c>
      <c r="I178" s="187">
        <f ca="1">IF(OFFSET(Scenarios!$A$69,0,$C$1)="Yes",0,I$179-H$179)</f>
        <v>1.3800000000000003</v>
      </c>
      <c r="J178" s="187">
        <f ca="1">IF(OFFSET(Scenarios!$A$69,0,$C$1)="Yes",0,J$179-I$179)</f>
        <v>1.71</v>
      </c>
      <c r="K178" s="101">
        <f ca="1">IF(OFFSET(Scenarios!$A$37,0,$C$1)="Yes",Tracks!B$124,IF(OFFSET(Scenarios!$A$69,0,$C$1)="Yes",0,IF(K$1="Proj Yr1",OFFSET(Scenarios!$A$32,0,$C$1),J$178*(1+IF(OFFSET(Scenarios!$A$36,0,$C$1)="GDP",K$215,IF(OFFSET(Scenarios!$A$36,0,$C$1)="CPI",K$218,0))))))</f>
        <v>1.65</v>
      </c>
      <c r="L178" s="101">
        <f ca="1">IF(OFFSET(Scenarios!$A$37,0,$C$1)="Yes",Tracks!C$124,IF(OFFSET(Scenarios!$A$69,0,$C$1)="Yes",0,IF(L$1="Proj Yr1",OFFSET(Scenarios!$A$32,0,$C$1),K$178*(1+IF(OFFSET(Scenarios!$A$36,0,$C$1)="GDP",L$215,IF(OFFSET(Scenarios!$A$36,0,$C$1)="CPI",L$218,0))))))</f>
        <v>1.65</v>
      </c>
      <c r="M178" s="101">
        <f ca="1">IF(OFFSET(Scenarios!$A$37,0,$C$1)="Yes",Tracks!D$124,IF(OFFSET(Scenarios!$A$69,0,$C$1)="Yes",0,IF(M$1="Proj Yr1",OFFSET(Scenarios!$A$32,0,$C$1),L$178*(1+IF(OFFSET(Scenarios!$A$36,0,$C$1)="GDP",M$215,IF(OFFSET(Scenarios!$A$36,0,$C$1)="CPI",M$218,0))))))</f>
        <v>1.65</v>
      </c>
      <c r="N178" s="101">
        <f ca="1">IF(OFFSET(Scenarios!$A$37,0,$C$1)="Yes",Tracks!E$124,IF(OFFSET(Scenarios!$A$69,0,$C$1)="Yes",0,IF(N$1="Proj Yr1",OFFSET(Scenarios!$A$32,0,$C$1),M$178*(1+IF(OFFSET(Scenarios!$A$36,0,$C$1)="GDP",N$215,IF(OFFSET(Scenarios!$A$36,0,$C$1)="CPI",N$218,0))))))</f>
        <v>0.95508719999999991</v>
      </c>
      <c r="O178" s="101">
        <f ca="1">IF(OFFSET(Scenarios!$A$37,0,$C$1)="Yes",Tracks!F$124,IF(OFFSET(Scenarios!$A$69,0,$C$1)="Yes",0,IF(O$1="Proj Yr1",OFFSET(Scenarios!$A$32,0,$C$1),N$178*(1+IF(OFFSET(Scenarios!$A$36,0,$C$1)="GDP",O$215,IF(OFFSET(Scenarios!$A$36,0,$C$1)="CPI",O$218,0))))))</f>
        <v>0.974188944</v>
      </c>
      <c r="P178" s="101">
        <f ca="1">IF(OFFSET(Scenarios!$A$37,0,$C$1)="Yes",Tracks!G$124,IF(OFFSET(Scenarios!$A$69,0,$C$1)="Yes",0,IF(P$1="Proj Yr1",OFFSET(Scenarios!$A$32,0,$C$1),O$178*(1+IF(OFFSET(Scenarios!$A$36,0,$C$1)="GDP",P$215,IF(OFFSET(Scenarios!$A$36,0,$C$1)="CPI",P$218,0))))))</f>
        <v>0.99367272288000008</v>
      </c>
      <c r="Q178" s="101">
        <f ca="1">IF(OFFSET(Scenarios!$A$37,0,$C$1)="Yes",Tracks!H$124,IF(OFFSET(Scenarios!$A$69,0,$C$1)="Yes",0,IF(Q$1="Proj Yr1",OFFSET(Scenarios!$A$32,0,$C$1),P$178*(1+IF(OFFSET(Scenarios!$A$36,0,$C$1)="GDP",Q$215,IF(OFFSET(Scenarios!$A$36,0,$C$1)="CPI",Q$218,0))))))</f>
        <v>1.0135461773376</v>
      </c>
      <c r="R178" s="101">
        <f ca="1">IF(OFFSET(Scenarios!$A$37,0,$C$1)="Yes",Tracks!I$124,IF(OFFSET(Scenarios!$A$69,0,$C$1)="Yes",0,IF(R$1="Proj Yr1",OFFSET(Scenarios!$A$32,0,$C$1),Q$178*(1+IF(OFFSET(Scenarios!$A$36,0,$C$1)="GDP",R$215,IF(OFFSET(Scenarios!$A$36,0,$C$1)="CPI",R$218,0))))))</f>
        <v>1.033817100884352</v>
      </c>
      <c r="S178" s="101">
        <f ca="1">IF(OFFSET(Scenarios!$A$37,0,$C$1)="Yes",Tracks!J$124,IF(OFFSET(Scenarios!$A$69,0,$C$1)="Yes",0,IF(S$1="Proj Yr1",OFFSET(Scenarios!$A$32,0,$C$1),R$178*(1+IF(OFFSET(Scenarios!$A$36,0,$C$1)="GDP",S$215,IF(OFFSET(Scenarios!$A$36,0,$C$1)="CPI",S$218,0))))))</f>
        <v>1.0544934429020389</v>
      </c>
      <c r="T178" s="101">
        <f ca="1">IF(OFFSET(Scenarios!$A$37,0,$C$1)="Yes",Tracks!K$124,IF(OFFSET(Scenarios!$A$69,0,$C$1)="Yes",0,IF(T$1="Proj Yr1",OFFSET(Scenarios!$A$32,0,$C$1),S$178*(1+IF(OFFSET(Scenarios!$A$36,0,$C$1)="GDP",T$215,IF(OFFSET(Scenarios!$A$36,0,$C$1)="CPI",T$218,0))))))</f>
        <v>1.0755833117600797</v>
      </c>
    </row>
    <row r="179" spans="1:20" x14ac:dyDescent="0.2">
      <c r="A179" s="47" t="s">
        <v>390</v>
      </c>
      <c r="B179" s="103"/>
      <c r="C179" s="94"/>
      <c r="D179" s="94">
        <f>Data!C$72</f>
        <v>0</v>
      </c>
      <c r="E179" s="94">
        <f>Data!D$72</f>
        <v>0</v>
      </c>
      <c r="F179" s="142">
        <f>Data!E$72</f>
        <v>0.184</v>
      </c>
      <c r="G179" s="142">
        <f>Data!F$72</f>
        <v>0.89</v>
      </c>
      <c r="H179" s="142">
        <f>Data!G$72</f>
        <v>1.9319999999999999</v>
      </c>
      <c r="I179" s="142">
        <f>Data!H$72</f>
        <v>3.3120000000000003</v>
      </c>
      <c r="J179" s="142">
        <f>Data!I$72</f>
        <v>5.0220000000000002</v>
      </c>
      <c r="K179" s="136">
        <f ca="1">J$179+IF(K$1="Proj Yr1",OFFSET(Scenarios!$A$32,0,$C$1),(J$179-I$179)*(1+IF(OFFSET(Scenarios!$A$36,0,$C$1)="GDP",K$215,IF(OFFSET(Scenarios!$A$36,0,$C$1)="CPI",K$218,0))))</f>
        <v>5.9220000000000006</v>
      </c>
      <c r="L179" s="136">
        <f ca="1">K$179+IF(L$1="Proj Yr1",OFFSET(Scenarios!$A$32,0,$C$1),(K$179-J$179)*(1+IF(OFFSET(Scenarios!$A$36,0,$C$1)="GDP",L$215,IF(OFFSET(Scenarios!$A$36,0,$C$1)="CPI",L$218,0))))</f>
        <v>6.8400000000000007</v>
      </c>
      <c r="M179" s="136">
        <f ca="1">L$179+IF(M$1="Proj Yr1",OFFSET(Scenarios!$A$32,0,$C$1),(L$179-K$179)*(1+IF(OFFSET(Scenarios!$A$36,0,$C$1)="GDP",M$215,IF(OFFSET(Scenarios!$A$36,0,$C$1)="CPI",M$218,0))))</f>
        <v>7.7763600000000013</v>
      </c>
      <c r="N179" s="136">
        <f ca="1">M$179+IF(N$1="Proj Yr1",OFFSET(Scenarios!$A$32,0,$C$1),(M$179-L$179)*(1+IF(OFFSET(Scenarios!$A$36,0,$C$1)="GDP",N$215,IF(OFFSET(Scenarios!$A$36,0,$C$1)="CPI",N$218,0))))</f>
        <v>8.7314472000000016</v>
      </c>
      <c r="O179" s="136">
        <f ca="1">N$179+IF(O$1="Proj Yr1",OFFSET(Scenarios!$A$32,0,$C$1),(N$179-M$179)*(1+IF(OFFSET(Scenarios!$A$36,0,$C$1)="GDP",O$215,IF(OFFSET(Scenarios!$A$36,0,$C$1)="CPI",O$218,0))))</f>
        <v>9.7056361440000014</v>
      </c>
      <c r="P179" s="136">
        <f ca="1">O$179+IF(P$1="Proj Yr1",OFFSET(Scenarios!$A$32,0,$C$1),(O$179-N$179)*(1+IF(OFFSET(Scenarios!$A$36,0,$C$1)="GDP",P$215,IF(OFFSET(Scenarios!$A$36,0,$C$1)="CPI",P$218,0))))</f>
        <v>10.699308866880001</v>
      </c>
      <c r="Q179" s="136">
        <f ca="1">P$179+IF(Q$1="Proj Yr1",OFFSET(Scenarios!$A$32,0,$C$1),(P$179-O$179)*(1+IF(OFFSET(Scenarios!$A$36,0,$C$1)="GDP",Q$215,IF(OFFSET(Scenarios!$A$36,0,$C$1)="CPI",Q$218,0))))</f>
        <v>11.712855044217601</v>
      </c>
      <c r="R179" s="136">
        <f ca="1">Q$179+IF(R$1="Proj Yr1",OFFSET(Scenarios!$A$32,0,$C$1),(Q$179-P$179)*(1+IF(OFFSET(Scenarios!$A$36,0,$C$1)="GDP",R$215,IF(OFFSET(Scenarios!$A$36,0,$C$1)="CPI",R$218,0))))</f>
        <v>12.746672145101954</v>
      </c>
      <c r="S179" s="136">
        <f ca="1">R$179+IF(S$1="Proj Yr1",OFFSET(Scenarios!$A$32,0,$C$1),(R$179-Q$179)*(1+IF(OFFSET(Scenarios!$A$36,0,$C$1)="GDP",S$215,IF(OFFSET(Scenarios!$A$36,0,$C$1)="CPI",S$218,0))))</f>
        <v>13.801165588003993</v>
      </c>
      <c r="T179" s="136">
        <f ca="1">S$179+IF(T$1="Proj Yr1",OFFSET(Scenarios!$A$32,0,$C$1),(S$179-R$179)*(1+IF(OFFSET(Scenarios!$A$36,0,$C$1)="GDP",T$215,IF(OFFSET(Scenarios!$A$36,0,$C$1)="CPI",T$218,0))))</f>
        <v>14.876748899764074</v>
      </c>
    </row>
    <row r="180" spans="1:20" x14ac:dyDescent="0.2">
      <c r="A180" s="43"/>
      <c r="B180" s="103"/>
      <c r="C180" s="94"/>
      <c r="D180" s="137"/>
      <c r="E180" s="137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</row>
    <row r="181" spans="1:20" x14ac:dyDescent="0.2">
      <c r="A181" s="147" t="s">
        <v>668</v>
      </c>
      <c r="B181" s="103"/>
      <c r="C181" s="94"/>
      <c r="D181" s="94"/>
      <c r="E181" s="94"/>
      <c r="F181" s="94"/>
      <c r="G181" s="94"/>
      <c r="H181" s="94"/>
      <c r="I181" s="94"/>
      <c r="J181" s="94"/>
      <c r="K181"/>
      <c r="L181"/>
      <c r="M181"/>
      <c r="N181"/>
      <c r="O181"/>
      <c r="P181"/>
      <c r="Q181"/>
      <c r="R181"/>
      <c r="S181"/>
    </row>
    <row r="182" spans="1:20" x14ac:dyDescent="0.2">
      <c r="A182" s="258" t="s">
        <v>485</v>
      </c>
      <c r="B182" s="103"/>
      <c r="C182" s="94"/>
      <c r="D182" s="94">
        <f>Data!C$122</f>
        <v>25.048999999999999</v>
      </c>
      <c r="E182" s="94">
        <f>Data!D$122</f>
        <v>25.696000000000002</v>
      </c>
      <c r="F182" s="142">
        <f>Data!E$122</f>
        <v>27.106999999999999</v>
      </c>
      <c r="G182" s="142">
        <f>Data!F$122</f>
        <v>27.501000000000001</v>
      </c>
      <c r="H182" s="142">
        <f>Data!G$122</f>
        <v>27.895</v>
      </c>
      <c r="I182" s="142">
        <f>Data!H$122</f>
        <v>28.150000000000002</v>
      </c>
      <c r="J182" s="142">
        <f>Data!I$122</f>
        <v>28.214000000000002</v>
      </c>
      <c r="K182" s="99">
        <f t="shared" ref="K182:T182" si="92">J$182*IF(K$1="Proj Yr1",AVERAGE(H$182/G$182,I$182/H$182,J$182/I$182),J$182/I$182)</f>
        <v>28.456092198072195</v>
      </c>
      <c r="L182" s="99">
        <f t="shared" si="92"/>
        <v>28.700261685162868</v>
      </c>
      <c r="M182" s="99">
        <f t="shared" si="92"/>
        <v>28.946526285595567</v>
      </c>
      <c r="N182" s="99">
        <f t="shared" si="92"/>
        <v>29.194903976636692</v>
      </c>
      <c r="O182" s="99">
        <f t="shared" si="92"/>
        <v>29.445412889807834</v>
      </c>
      <c r="P182" s="99">
        <f t="shared" si="92"/>
        <v>29.698071312209368</v>
      </c>
      <c r="Q182" s="99">
        <f t="shared" si="92"/>
        <v>29.952897687855412</v>
      </c>
      <c r="R182" s="99">
        <f t="shared" si="92"/>
        <v>30.209910619020238</v>
      </c>
      <c r="S182" s="99">
        <f t="shared" si="92"/>
        <v>30.469128867596233</v>
      </c>
      <c r="T182" s="99">
        <f t="shared" si="92"/>
        <v>30.730571356463507</v>
      </c>
    </row>
    <row r="183" spans="1:20" x14ac:dyDescent="0.2">
      <c r="A183" s="258" t="s">
        <v>256</v>
      </c>
      <c r="B183" s="103"/>
      <c r="C183" s="94"/>
      <c r="D183" s="94">
        <f>SUM(Data!C$73,Data!C$123,Data!C$125)</f>
        <v>1.8660000000000001</v>
      </c>
      <c r="E183" s="94">
        <f>SUM(Data!D$73,Data!D$123,Data!D$125)</f>
        <v>2.2199999999999998</v>
      </c>
      <c r="F183" s="142">
        <f>SUM(Data!E$73,Data!E$123,Data!E$125)</f>
        <v>1.478</v>
      </c>
      <c r="G183" s="142">
        <f>SUM(Data!F$73,Data!F$123,Data!F$125)</f>
        <v>1.585</v>
      </c>
      <c r="H183" s="142">
        <f>SUM(Data!G$73,Data!G$123,Data!G$125)</f>
        <v>1.6760000000000002</v>
      </c>
      <c r="I183" s="142">
        <f>SUM(Data!H$73,Data!H$123,Data!H$125)</f>
        <v>1.7079999999999997</v>
      </c>
      <c r="J183" s="142">
        <f>SUM(Data!I$73,Data!I$123,Data!I$125)</f>
        <v>2.0619999999999998</v>
      </c>
      <c r="K183" s="99">
        <f ca="1">J$183*(1+K$218)</f>
        <v>2.10324</v>
      </c>
      <c r="L183" s="99">
        <f t="shared" ref="L183:T183" ca="1" si="93">K$183*(1+L$218)</f>
        <v>2.1453047999999999</v>
      </c>
      <c r="M183" s="99">
        <f t="shared" ca="1" si="93"/>
        <v>2.1882108959999997</v>
      </c>
      <c r="N183" s="99">
        <f t="shared" ca="1" si="93"/>
        <v>2.2319751139199999</v>
      </c>
      <c r="O183" s="99">
        <f t="shared" ca="1" si="93"/>
        <v>2.2766146161983998</v>
      </c>
      <c r="P183" s="99">
        <f t="shared" ca="1" si="93"/>
        <v>2.3221469085223676</v>
      </c>
      <c r="Q183" s="99">
        <f t="shared" ca="1" si="93"/>
        <v>2.368589846692815</v>
      </c>
      <c r="R183" s="99">
        <f t="shared" ca="1" si="93"/>
        <v>2.4159616436266713</v>
      </c>
      <c r="S183" s="99">
        <f t="shared" ca="1" si="93"/>
        <v>2.4642808764992048</v>
      </c>
      <c r="T183" s="99">
        <f t="shared" ca="1" si="93"/>
        <v>2.5135664940291891</v>
      </c>
    </row>
    <row r="184" spans="1:20" x14ac:dyDescent="0.2">
      <c r="A184" s="258" t="s">
        <v>133</v>
      </c>
      <c r="B184" s="103"/>
      <c r="C184" s="94"/>
      <c r="D184" s="280">
        <f>Data!C$124</f>
        <v>0</v>
      </c>
      <c r="E184" s="280">
        <f>Data!D$124</f>
        <v>0</v>
      </c>
      <c r="F184" s="186">
        <f>Data!E$124</f>
        <v>0</v>
      </c>
      <c r="G184" s="186">
        <f>Data!F$124</f>
        <v>0</v>
      </c>
      <c r="H184" s="186">
        <f>Data!G$124</f>
        <v>0</v>
      </c>
      <c r="I184" s="186">
        <f>Data!H$124</f>
        <v>0</v>
      </c>
      <c r="J184" s="186">
        <f>Data!I$124</f>
        <v>0</v>
      </c>
      <c r="K184" s="107">
        <f>Tracks!H$118/1000</f>
        <v>0</v>
      </c>
      <c r="L184" s="107">
        <f>Tracks!I$118/1000</f>
        <v>0</v>
      </c>
      <c r="M184" s="107">
        <f>Tracks!J$118/1000</f>
        <v>0</v>
      </c>
      <c r="N184" s="107">
        <f>Tracks!K$118/1000</f>
        <v>0</v>
      </c>
      <c r="O184" s="107">
        <f>Tracks!L$118/1000</f>
        <v>0</v>
      </c>
      <c r="P184" s="107">
        <f>Tracks!M$118/1000</f>
        <v>0</v>
      </c>
      <c r="Q184" s="107">
        <f>Tracks!N$118/1000</f>
        <v>0</v>
      </c>
      <c r="R184" s="107">
        <f>Tracks!O$118/1000</f>
        <v>0</v>
      </c>
      <c r="S184" s="107">
        <f>Tracks!P$118/1000</f>
        <v>0</v>
      </c>
      <c r="T184" s="107">
        <f>Tracks!Q$118/1000</f>
        <v>0</v>
      </c>
    </row>
    <row r="185" spans="1:20" x14ac:dyDescent="0.2">
      <c r="A185" s="43" t="s">
        <v>670</v>
      </c>
      <c r="B185" s="103"/>
      <c r="C185" s="94"/>
      <c r="D185" s="96">
        <f t="shared" ref="D185:T185" si="94">SUM(D$182:D$184)</f>
        <v>26.914999999999999</v>
      </c>
      <c r="E185" s="96">
        <f t="shared" si="94"/>
        <v>27.916</v>
      </c>
      <c r="F185" s="187">
        <f t="shared" si="94"/>
        <v>28.585000000000001</v>
      </c>
      <c r="G185" s="187">
        <f t="shared" si="94"/>
        <v>29.086000000000002</v>
      </c>
      <c r="H185" s="187">
        <f t="shared" si="94"/>
        <v>29.570999999999998</v>
      </c>
      <c r="I185" s="187">
        <f t="shared" si="94"/>
        <v>29.858000000000001</v>
      </c>
      <c r="J185" s="187">
        <f t="shared" si="94"/>
        <v>30.276000000000003</v>
      </c>
      <c r="K185" s="101">
        <f t="shared" ca="1" si="94"/>
        <v>30.559332198072195</v>
      </c>
      <c r="L185" s="101">
        <f t="shared" ca="1" si="94"/>
        <v>30.84556648516287</v>
      </c>
      <c r="M185" s="101">
        <f t="shared" ca="1" si="94"/>
        <v>31.134737181595568</v>
      </c>
      <c r="N185" s="101">
        <f t="shared" ca="1" si="94"/>
        <v>31.426879090556692</v>
      </c>
      <c r="O185" s="101">
        <f t="shared" ca="1" si="94"/>
        <v>31.722027506006235</v>
      </c>
      <c r="P185" s="101">
        <f t="shared" ca="1" si="94"/>
        <v>32.020218220731735</v>
      </c>
      <c r="Q185" s="101">
        <f t="shared" ca="1" si="94"/>
        <v>32.321487534548226</v>
      </c>
      <c r="R185" s="101">
        <f t="shared" ca="1" si="94"/>
        <v>32.625872262646908</v>
      </c>
      <c r="S185" s="101">
        <f t="shared" ca="1" si="94"/>
        <v>32.933409744095435</v>
      </c>
      <c r="T185" s="101">
        <f t="shared" ca="1" si="94"/>
        <v>33.244137850492699</v>
      </c>
    </row>
    <row r="186" spans="1:20" x14ac:dyDescent="0.2">
      <c r="A186" s="43" t="s">
        <v>671</v>
      </c>
      <c r="B186" s="103"/>
      <c r="C186" s="94"/>
      <c r="D186" s="96">
        <f>SUM(Data!C$67,Data!C$68,Data!C$70,Data!C$71,Data!C$73)</f>
        <v>11.030999999999999</v>
      </c>
      <c r="E186" s="96">
        <f>SUM(Data!D$67,Data!D$68,Data!D$70,Data!D$71,Data!D$73)</f>
        <v>12.443</v>
      </c>
      <c r="F186" s="187">
        <f>SUM(Data!E$67,Data!E$68,Data!E$70,Data!E$71,Data!E$73)</f>
        <v>12.846</v>
      </c>
      <c r="G186" s="187">
        <f>SUM(Data!F$67,Data!F$68,Data!F$70,Data!F$71,Data!F$73)</f>
        <v>13.439</v>
      </c>
      <c r="H186" s="187">
        <f>SUM(Data!G$67,Data!G$68,Data!G$70,Data!G$71,Data!G$73)</f>
        <v>14.148999999999999</v>
      </c>
      <c r="I186" s="187">
        <f>SUM(Data!H$67,Data!H$68,Data!H$70,Data!H$71,Data!H$73)</f>
        <v>14.560000000000002</v>
      </c>
      <c r="J186" s="187">
        <f>SUM(Data!I$67,Data!I$68,Data!I$70,Data!I$71,Data!I$73)</f>
        <v>15.263000000000002</v>
      </c>
      <c r="K186" s="101">
        <f ca="1">J$186*(1+K$218)</f>
        <v>15.568260000000002</v>
      </c>
      <c r="L186" s="101">
        <f t="shared" ref="L186:T186" ca="1" si="95">K$186*(1+L$218)</f>
        <v>15.879625200000003</v>
      </c>
      <c r="M186" s="101">
        <f t="shared" ca="1" si="95"/>
        <v>16.197217704000003</v>
      </c>
      <c r="N186" s="101">
        <f t="shared" ca="1" si="95"/>
        <v>16.521162058080005</v>
      </c>
      <c r="O186" s="101">
        <f t="shared" ca="1" si="95"/>
        <v>16.851585299241606</v>
      </c>
      <c r="P186" s="101">
        <f t="shared" ca="1" si="95"/>
        <v>17.188617005226437</v>
      </c>
      <c r="Q186" s="101">
        <f t="shared" ca="1" si="95"/>
        <v>17.532389345330966</v>
      </c>
      <c r="R186" s="101">
        <f t="shared" ca="1" si="95"/>
        <v>17.883037132237586</v>
      </c>
      <c r="S186" s="101">
        <f t="shared" ca="1" si="95"/>
        <v>18.24069787488234</v>
      </c>
      <c r="T186" s="101">
        <f t="shared" ca="1" si="95"/>
        <v>18.605511832379985</v>
      </c>
    </row>
    <row r="187" spans="1:20" x14ac:dyDescent="0.2">
      <c r="A187" s="258"/>
      <c r="B187" s="103"/>
      <c r="C187" s="94"/>
      <c r="D187" s="137"/>
      <c r="E187" s="137"/>
      <c r="F187" s="143"/>
      <c r="G187" s="143"/>
      <c r="H187" s="143"/>
      <c r="I187" s="143"/>
      <c r="J187" s="143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</row>
    <row r="188" spans="1:20" x14ac:dyDescent="0.2">
      <c r="A188" s="147" t="s">
        <v>672</v>
      </c>
      <c r="B188" s="103"/>
      <c r="C188" s="94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</row>
    <row r="189" spans="1:20" x14ac:dyDescent="0.2">
      <c r="A189" s="258" t="s">
        <v>500</v>
      </c>
      <c r="B189" s="103"/>
      <c r="C189" s="94"/>
      <c r="D189" s="94">
        <f>Data!C$75</f>
        <v>3.444</v>
      </c>
      <c r="E189" s="94">
        <f>Data!D$75</f>
        <v>3.53</v>
      </c>
      <c r="F189" s="142">
        <f>Data!E$75</f>
        <v>3.702</v>
      </c>
      <c r="G189" s="142">
        <f>Data!F$75</f>
        <v>3.883</v>
      </c>
      <c r="H189" s="142">
        <f>Data!G$75</f>
        <v>4.0730000000000004</v>
      </c>
      <c r="I189" s="142">
        <f>Data!H$75</f>
        <v>4.2729999999999997</v>
      </c>
      <c r="J189" s="142">
        <f>Data!I$75</f>
        <v>4.4820000000000002</v>
      </c>
      <c r="K189" s="136">
        <f ca="1">J$189*(1+K$218)</f>
        <v>4.5716400000000004</v>
      </c>
      <c r="L189" s="136">
        <f t="shared" ref="L189:T189" ca="1" si="96">K$189*(1+L$218)</f>
        <v>4.6630728000000001</v>
      </c>
      <c r="M189" s="136">
        <f t="shared" ca="1" si="96"/>
        <v>4.7563342560000006</v>
      </c>
      <c r="N189" s="136">
        <f t="shared" ca="1" si="96"/>
        <v>4.8514609411200009</v>
      </c>
      <c r="O189" s="136">
        <f t="shared" ca="1" si="96"/>
        <v>4.9484901599424012</v>
      </c>
      <c r="P189" s="136">
        <f t="shared" ca="1" si="96"/>
        <v>5.0474599631412493</v>
      </c>
      <c r="Q189" s="136">
        <f t="shared" ca="1" si="96"/>
        <v>5.1484091624040742</v>
      </c>
      <c r="R189" s="136">
        <f t="shared" ca="1" si="96"/>
        <v>5.2513773456521555</v>
      </c>
      <c r="S189" s="136">
        <f t="shared" ca="1" si="96"/>
        <v>5.356404892565199</v>
      </c>
      <c r="T189" s="136">
        <f t="shared" ca="1" si="96"/>
        <v>5.4635329904165033</v>
      </c>
    </row>
    <row r="190" spans="1:20" x14ac:dyDescent="0.2">
      <c r="A190" s="258" t="s">
        <v>499</v>
      </c>
      <c r="B190" s="103"/>
      <c r="C190" s="94"/>
      <c r="D190" s="94">
        <f>Data!C$81</f>
        <v>7.1609999999999996</v>
      </c>
      <c r="E190" s="94">
        <f>Data!D$81</f>
        <v>8.2569999999999997</v>
      </c>
      <c r="F190" s="142">
        <f>Data!E$81</f>
        <v>9.322000000000001</v>
      </c>
      <c r="G190" s="142">
        <f>Data!F$81</f>
        <v>9.2829999999999995</v>
      </c>
      <c r="H190" s="142">
        <f>Data!G$81</f>
        <v>9.2170000000000005</v>
      </c>
      <c r="I190" s="142">
        <f>Data!H$81</f>
        <v>9.1370000000000005</v>
      </c>
      <c r="J190" s="142">
        <f>Data!I$81</f>
        <v>9.0570000000000004</v>
      </c>
      <c r="K190" s="136">
        <f>J$190*Tracks!N$18/Tracks!M$18</f>
        <v>9.0427087446332273</v>
      </c>
      <c r="L190" s="136">
        <f>K$190*Tracks!O$18/Tracks!N$18</f>
        <v>8.7812021926558383</v>
      </c>
      <c r="M190" s="136">
        <f>L$190*Tracks!P$18/Tracks!O$18</f>
        <v>8.6646871669532146</v>
      </c>
      <c r="N190" s="136">
        <f>M$190*Tracks!Q$18/Tracks!P$18</f>
        <v>8.5239774587855806</v>
      </c>
      <c r="O190" s="136">
        <f>N$190*Tracks!R$18/Tracks!Q$18</f>
        <v>8.354588975254158</v>
      </c>
      <c r="P190" s="136">
        <f>O$190*Tracks!S$18/Tracks!R$18</f>
        <v>8.1653708023917009</v>
      </c>
      <c r="Q190" s="136">
        <f>P$190*Tracks!T$18/Tracks!S$18</f>
        <v>7.9654821764838433</v>
      </c>
      <c r="R190" s="136">
        <f>Q$190*Tracks!U$18/Tracks!T$18</f>
        <v>7.7462575981679773</v>
      </c>
      <c r="S190" s="136">
        <f>R$190*Tracks!V$18/Tracks!U$18</f>
        <v>7.5189534157196185</v>
      </c>
      <c r="T190" s="136">
        <f>S$190*Tracks!W$18/Tracks!V$18</f>
        <v>7.2763326759680922</v>
      </c>
    </row>
    <row r="191" spans="1:20" x14ac:dyDescent="0.2">
      <c r="A191" s="258" t="s">
        <v>501</v>
      </c>
      <c r="B191" s="103"/>
      <c r="C191" s="94"/>
      <c r="D191" s="94">
        <f>Data!C$126-SUM(D$189:D$190)</f>
        <v>7.2289999999999992</v>
      </c>
      <c r="E191" s="94">
        <f>Data!D$126-SUM(E$189:E$190)</f>
        <v>9.6829999999999998</v>
      </c>
      <c r="F191" s="142">
        <f>Data!E$126-SUM(F$189:F$190)</f>
        <v>9.5709999999999944</v>
      </c>
      <c r="G191" s="142">
        <f>Data!F$126-SUM(G$189:G$190)</f>
        <v>9.7159999999999975</v>
      </c>
      <c r="H191" s="142">
        <f>Data!G$126-SUM(H$189:H$190)</f>
        <v>9.8349999999999991</v>
      </c>
      <c r="I191" s="142">
        <f>Data!H$126-SUM(I$189:I$190)</f>
        <v>10.095999999999997</v>
      </c>
      <c r="J191" s="142">
        <f>Data!I$126-SUM(J$189:J$190)</f>
        <v>10.665999999999997</v>
      </c>
      <c r="K191" s="136">
        <f ca="1">J$191*(1+K$218)</f>
        <v>10.879319999999996</v>
      </c>
      <c r="L191" s="136">
        <f t="shared" ref="L191:T191" ca="1" si="97">K$191*(1+L$218)</f>
        <v>11.096906399999996</v>
      </c>
      <c r="M191" s="136">
        <f t="shared" ca="1" si="97"/>
        <v>11.318844527999996</v>
      </c>
      <c r="N191" s="136">
        <f t="shared" ca="1" si="97"/>
        <v>11.545221418559997</v>
      </c>
      <c r="O191" s="136">
        <f t="shared" ca="1" si="97"/>
        <v>11.776125846931198</v>
      </c>
      <c r="P191" s="136">
        <f t="shared" ca="1" si="97"/>
        <v>12.011648363869822</v>
      </c>
      <c r="Q191" s="136">
        <f t="shared" ca="1" si="97"/>
        <v>12.251881331147219</v>
      </c>
      <c r="R191" s="136">
        <f t="shared" ca="1" si="97"/>
        <v>12.496918957770164</v>
      </c>
      <c r="S191" s="136">
        <f t="shared" ca="1" si="97"/>
        <v>12.746857336925569</v>
      </c>
      <c r="T191" s="136">
        <f t="shared" ca="1" si="97"/>
        <v>13.00179448366408</v>
      </c>
    </row>
    <row r="192" spans="1:20" x14ac:dyDescent="0.2">
      <c r="A192" s="93" t="s">
        <v>124</v>
      </c>
      <c r="B192" s="59"/>
      <c r="C192" s="94"/>
      <c r="D192" s="94">
        <f>Data!C$127</f>
        <v>0.70399999999999996</v>
      </c>
      <c r="E192" s="94">
        <f>Data!D$127</f>
        <v>0.56200000000000006</v>
      </c>
      <c r="F192" s="142">
        <f>Data!E$127</f>
        <v>0.56200000000000006</v>
      </c>
      <c r="G192" s="142">
        <f>Data!F$127</f>
        <v>0.56200000000000006</v>
      </c>
      <c r="H192" s="142">
        <f>Data!G$127</f>
        <v>0.56200000000000006</v>
      </c>
      <c r="I192" s="142">
        <f>Data!H$127</f>
        <v>0.56200000000000006</v>
      </c>
      <c r="J192" s="142">
        <f>Data!I$127</f>
        <v>0.56200000000000006</v>
      </c>
      <c r="K192" s="106">
        <f>Tracks!H$112</f>
        <v>0</v>
      </c>
      <c r="L192" s="106">
        <f>Tracks!I$112</f>
        <v>0</v>
      </c>
      <c r="M192" s="106">
        <f>Tracks!J$112</f>
        <v>0</v>
      </c>
      <c r="N192" s="106">
        <f>Tracks!K$112</f>
        <v>0</v>
      </c>
      <c r="O192" s="106">
        <f>Tracks!L$112</f>
        <v>0</v>
      </c>
      <c r="P192" s="106">
        <f>Tracks!M$112</f>
        <v>0</v>
      </c>
      <c r="Q192" s="106">
        <f>Tracks!N$112</f>
        <v>0</v>
      </c>
      <c r="R192" s="106">
        <f>Tracks!O$112</f>
        <v>0</v>
      </c>
      <c r="S192" s="106">
        <f>Tracks!P$112</f>
        <v>0</v>
      </c>
      <c r="T192" s="106">
        <f>Tracks!Q$112</f>
        <v>0</v>
      </c>
    </row>
    <row r="193" spans="1:20" x14ac:dyDescent="0.2">
      <c r="A193" s="258" t="s">
        <v>132</v>
      </c>
      <c r="B193" s="103"/>
      <c r="C193" s="94"/>
      <c r="D193" s="280">
        <f>Data!C$128</f>
        <v>0</v>
      </c>
      <c r="E193" s="280">
        <f>Data!D$128</f>
        <v>0</v>
      </c>
      <c r="F193" s="186">
        <f>Data!E$128</f>
        <v>0.23899999999999999</v>
      </c>
      <c r="G193" s="186">
        <f>Data!F$128</f>
        <v>0.78100000000000003</v>
      </c>
      <c r="H193" s="186">
        <f>Data!G$128</f>
        <v>0.56399999999999995</v>
      </c>
      <c r="I193" s="186">
        <f>Data!H$128</f>
        <v>0.16200000000000001</v>
      </c>
      <c r="J193" s="186">
        <f>Data!I$128</f>
        <v>-0.34499999999999997</v>
      </c>
      <c r="K193" s="107">
        <f>Tracks!H$117/1000</f>
        <v>0</v>
      </c>
      <c r="L193" s="107">
        <f>Tracks!I$117/1000</f>
        <v>0</v>
      </c>
      <c r="M193" s="107">
        <f>Tracks!J$117/1000</f>
        <v>0</v>
      </c>
      <c r="N193" s="107">
        <f>Tracks!K$117/1000</f>
        <v>0</v>
      </c>
      <c r="O193" s="107">
        <f>Tracks!L$117/1000</f>
        <v>0</v>
      </c>
      <c r="P193" s="107">
        <f>Tracks!M$117/1000</f>
        <v>0</v>
      </c>
      <c r="Q193" s="107">
        <f>Tracks!N$117/1000</f>
        <v>0</v>
      </c>
      <c r="R193" s="107">
        <f>Tracks!O$117/1000</f>
        <v>0</v>
      </c>
      <c r="S193" s="107">
        <f>Tracks!P$117/1000</f>
        <v>0</v>
      </c>
      <c r="T193" s="107">
        <f>Tracks!Q$117/1000</f>
        <v>0</v>
      </c>
    </row>
    <row r="194" spans="1:20" x14ac:dyDescent="0.2">
      <c r="A194" s="43" t="s">
        <v>257</v>
      </c>
      <c r="B194" s="59"/>
      <c r="C194" s="94"/>
      <c r="D194" s="96">
        <f t="shared" ref="D194:T194" si="98">SUM(D$189:D$193)</f>
        <v>18.538</v>
      </c>
      <c r="E194" s="96">
        <f t="shared" si="98"/>
        <v>22.032</v>
      </c>
      <c r="F194" s="187">
        <f t="shared" si="98"/>
        <v>23.395999999999997</v>
      </c>
      <c r="G194" s="187">
        <f t="shared" si="98"/>
        <v>24.224999999999998</v>
      </c>
      <c r="H194" s="187">
        <f t="shared" si="98"/>
        <v>24.251000000000001</v>
      </c>
      <c r="I194" s="187">
        <f t="shared" si="98"/>
        <v>24.229999999999997</v>
      </c>
      <c r="J194" s="187">
        <f t="shared" si="98"/>
        <v>24.422000000000001</v>
      </c>
      <c r="K194" s="101">
        <f t="shared" ca="1" si="98"/>
        <v>24.493668744633226</v>
      </c>
      <c r="L194" s="101">
        <f t="shared" ca="1" si="98"/>
        <v>24.541181392655837</v>
      </c>
      <c r="M194" s="101">
        <f t="shared" ca="1" si="98"/>
        <v>24.73986595095321</v>
      </c>
      <c r="N194" s="101">
        <f t="shared" ca="1" si="98"/>
        <v>24.92065981846558</v>
      </c>
      <c r="O194" s="101">
        <f t="shared" ca="1" si="98"/>
        <v>25.079204982127756</v>
      </c>
      <c r="P194" s="101">
        <f t="shared" ca="1" si="98"/>
        <v>25.224479129402773</v>
      </c>
      <c r="Q194" s="101">
        <f t="shared" ca="1" si="98"/>
        <v>25.365772670035135</v>
      </c>
      <c r="R194" s="101">
        <f t="shared" ca="1" si="98"/>
        <v>25.494553901590297</v>
      </c>
      <c r="S194" s="101">
        <f t="shared" ca="1" si="98"/>
        <v>25.622215645210385</v>
      </c>
      <c r="T194" s="101">
        <f t="shared" ca="1" si="98"/>
        <v>25.741660150048673</v>
      </c>
    </row>
    <row r="195" spans="1:20" x14ac:dyDescent="0.2">
      <c r="A195" s="259" t="s">
        <v>505</v>
      </c>
      <c r="B195" s="59"/>
      <c r="C195" s="94"/>
      <c r="D195" s="281">
        <f>SUM(Data!C$76,Data!C$77,Data!C$82)-SUM(D$191:D$193)</f>
        <v>5.6680000000000001</v>
      </c>
      <c r="E195" s="281">
        <f>SUM(Data!D$76,Data!D$77,Data!D$82)-SUM(E$191:E$193)</f>
        <v>6.6949999999999985</v>
      </c>
      <c r="F195" s="253">
        <f>SUM(Data!E$76,Data!E$77,Data!E$82)-SUM(F$191:F$193)</f>
        <v>7.8440000000000065</v>
      </c>
      <c r="G195" s="253">
        <f>SUM(Data!F$76,Data!F$77,Data!F$82)-SUM(G$191:G$193)</f>
        <v>7.5750000000000028</v>
      </c>
      <c r="H195" s="253">
        <f>SUM(Data!G$76,Data!G$77,Data!G$82)-SUM(H$191:H$193)</f>
        <v>6.4720000000000013</v>
      </c>
      <c r="I195" s="253">
        <f>SUM(Data!H$76,Data!H$77,Data!H$82)-SUM(I$191:I$193)</f>
        <v>6.127000000000006</v>
      </c>
      <c r="J195" s="253">
        <f>SUM(Data!I$76,Data!I$77,Data!I$82)-SUM(J$191:J$193)</f>
        <v>5.7980000000000018</v>
      </c>
      <c r="K195" s="136">
        <f ca="1">J$195*(1+K$218)</f>
        <v>5.9139600000000021</v>
      </c>
      <c r="L195" s="136">
        <f t="shared" ref="L195:T195" ca="1" si="99">K$195*(1+L$218)</f>
        <v>6.032239200000002</v>
      </c>
      <c r="M195" s="136">
        <f t="shared" ca="1" si="99"/>
        <v>6.1528839840000025</v>
      </c>
      <c r="N195" s="136">
        <f t="shared" ca="1" si="99"/>
        <v>6.2759416636800029</v>
      </c>
      <c r="O195" s="136">
        <f t="shared" ca="1" si="99"/>
        <v>6.4014604969536029</v>
      </c>
      <c r="P195" s="136">
        <f t="shared" ca="1" si="99"/>
        <v>6.5294897068926749</v>
      </c>
      <c r="Q195" s="136">
        <f t="shared" ca="1" si="99"/>
        <v>6.6600795010305287</v>
      </c>
      <c r="R195" s="136">
        <f t="shared" ca="1" si="99"/>
        <v>6.7932810910511394</v>
      </c>
      <c r="S195" s="136">
        <f t="shared" ca="1" si="99"/>
        <v>6.9291467128721624</v>
      </c>
      <c r="T195" s="136">
        <f t="shared" ca="1" si="99"/>
        <v>7.0677296471296058</v>
      </c>
    </row>
    <row r="196" spans="1:20" x14ac:dyDescent="0.2">
      <c r="A196" s="259" t="s">
        <v>502</v>
      </c>
      <c r="B196" s="59"/>
      <c r="C196" s="94"/>
      <c r="D196" s="280">
        <f t="shared" ref="D196:T196" si="100">D$128</f>
        <v>17.417999999999999</v>
      </c>
      <c r="E196" s="280">
        <f t="shared" si="100"/>
        <v>20.484000000000002</v>
      </c>
      <c r="F196" s="186">
        <f t="shared" si="100"/>
        <v>22.399000000000001</v>
      </c>
      <c r="G196" s="186">
        <f t="shared" si="100"/>
        <v>23.842000000000002</v>
      </c>
      <c r="H196" s="186">
        <f t="shared" si="100"/>
        <v>25.319000000000003</v>
      </c>
      <c r="I196" s="186">
        <f t="shared" si="100"/>
        <v>26.87</v>
      </c>
      <c r="J196" s="186">
        <f t="shared" si="100"/>
        <v>28.490000000000002</v>
      </c>
      <c r="K196" s="107">
        <f t="shared" si="100"/>
        <v>30.232620583894441</v>
      </c>
      <c r="L196" s="107">
        <f t="shared" si="100"/>
        <v>32.081830374507469</v>
      </c>
      <c r="M196" s="107">
        <f t="shared" si="100"/>
        <v>34.044149011910996</v>
      </c>
      <c r="N196" s="107">
        <f t="shared" si="100"/>
        <v>36.126494916766227</v>
      </c>
      <c r="O196" s="107">
        <f t="shared" si="100"/>
        <v>38.336209682154596</v>
      </c>
      <c r="P196" s="107">
        <f t="shared" si="100"/>
        <v>40.681083957360485</v>
      </c>
      <c r="Q196" s="107">
        <f t="shared" si="100"/>
        <v>43.169384914862562</v>
      </c>
      <c r="R196" s="107">
        <f t="shared" si="100"/>
        <v>45.80988539737227</v>
      </c>
      <c r="S196" s="107">
        <f t="shared" si="100"/>
        <v>48.611894847681363</v>
      </c>
      <c r="T196" s="107">
        <f t="shared" si="100"/>
        <v>51.585292130365865</v>
      </c>
    </row>
    <row r="197" spans="1:20" x14ac:dyDescent="0.2">
      <c r="A197" s="43" t="s">
        <v>258</v>
      </c>
      <c r="B197" s="59"/>
      <c r="C197" s="94"/>
      <c r="D197" s="96">
        <f t="shared" ref="D197:T197" si="101">SUM(D$194:D$196)</f>
        <v>41.623999999999995</v>
      </c>
      <c r="E197" s="96">
        <f t="shared" si="101"/>
        <v>49.210999999999999</v>
      </c>
      <c r="F197" s="187">
        <f t="shared" si="101"/>
        <v>53.639000000000003</v>
      </c>
      <c r="G197" s="187">
        <f t="shared" si="101"/>
        <v>55.642000000000003</v>
      </c>
      <c r="H197" s="187">
        <f t="shared" si="101"/>
        <v>56.042000000000002</v>
      </c>
      <c r="I197" s="187">
        <f t="shared" si="101"/>
        <v>57.227000000000004</v>
      </c>
      <c r="J197" s="187">
        <f t="shared" si="101"/>
        <v>58.710000000000008</v>
      </c>
      <c r="K197" s="101">
        <f t="shared" ca="1" si="101"/>
        <v>60.640249328527673</v>
      </c>
      <c r="L197" s="101">
        <f t="shared" ca="1" si="101"/>
        <v>62.655250967163312</v>
      </c>
      <c r="M197" s="101">
        <f t="shared" ca="1" si="101"/>
        <v>64.936898946864204</v>
      </c>
      <c r="N197" s="101">
        <f t="shared" ca="1" si="101"/>
        <v>67.323096398911815</v>
      </c>
      <c r="O197" s="101">
        <f t="shared" ca="1" si="101"/>
        <v>69.816875161235956</v>
      </c>
      <c r="P197" s="101">
        <f t="shared" ca="1" si="101"/>
        <v>72.435052793655927</v>
      </c>
      <c r="Q197" s="101">
        <f t="shared" ca="1" si="101"/>
        <v>75.195237085928227</v>
      </c>
      <c r="R197" s="101">
        <f t="shared" ca="1" si="101"/>
        <v>78.097720390013706</v>
      </c>
      <c r="S197" s="101">
        <f t="shared" ca="1" si="101"/>
        <v>81.163257205763912</v>
      </c>
      <c r="T197" s="101">
        <f t="shared" ca="1" si="101"/>
        <v>84.394681927544141</v>
      </c>
    </row>
    <row r="198" spans="1:20" x14ac:dyDescent="0.2">
      <c r="A198" s="43"/>
      <c r="B198" s="59"/>
      <c r="C198" s="100"/>
      <c r="D198" s="97"/>
      <c r="E198" s="97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20" x14ac:dyDescent="0.2">
      <c r="A199" s="147" t="s">
        <v>674</v>
      </c>
      <c r="C199" s="100"/>
      <c r="D199" s="96">
        <f>Data!C$103</f>
        <v>10.734999999999999</v>
      </c>
      <c r="E199" s="96">
        <f>Data!D$103</f>
        <v>12.917999999999999</v>
      </c>
      <c r="F199" s="187">
        <f>Data!E$103</f>
        <v>15.24</v>
      </c>
      <c r="G199" s="187">
        <f>Data!F$103</f>
        <v>17.108000000000001</v>
      </c>
      <c r="H199" s="187">
        <f>Data!G$103</f>
        <v>19.382999999999999</v>
      </c>
      <c r="I199" s="187">
        <f>Data!H$103</f>
        <v>19.960999999999999</v>
      </c>
      <c r="J199" s="187">
        <f>Data!I$103</f>
        <v>21.306000000000001</v>
      </c>
      <c r="K199" s="101">
        <f ca="1">J$199*(1+K$215)</f>
        <v>22.285324976613254</v>
      </c>
      <c r="L199" s="101">
        <f t="shared" ref="L199:T199" ca="1" si="102">K$199*(1+L$215)</f>
        <v>23.313752836428183</v>
      </c>
      <c r="M199" s="101">
        <f t="shared" ca="1" si="102"/>
        <v>24.383341678808634</v>
      </c>
      <c r="N199" s="101">
        <f t="shared" ca="1" si="102"/>
        <v>25.475772198419591</v>
      </c>
      <c r="O199" s="101">
        <f t="shared" ca="1" si="102"/>
        <v>26.553707144502486</v>
      </c>
      <c r="P199" s="101">
        <f t="shared" ca="1" si="102"/>
        <v>27.669279984150528</v>
      </c>
      <c r="Q199" s="101">
        <f t="shared" ca="1" si="102"/>
        <v>28.825069098585452</v>
      </c>
      <c r="R199" s="101">
        <f t="shared" ca="1" si="102"/>
        <v>30.019833494774062</v>
      </c>
      <c r="S199" s="101">
        <f t="shared" ca="1" si="102"/>
        <v>31.263131566235479</v>
      </c>
      <c r="T199" s="101">
        <f t="shared" ca="1" si="102"/>
        <v>32.542776005423498</v>
      </c>
    </row>
    <row r="200" spans="1:20" x14ac:dyDescent="0.2">
      <c r="A200" s="147"/>
      <c r="C200" s="100"/>
      <c r="D200" s="96"/>
      <c r="E200" s="96"/>
      <c r="F200" s="96"/>
      <c r="G200" s="96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20" x14ac:dyDescent="0.2">
      <c r="A201" s="147" t="s">
        <v>675</v>
      </c>
      <c r="C201" s="100"/>
      <c r="D201" s="96"/>
      <c r="E201" s="96"/>
      <c r="F201" s="187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</row>
    <row r="202" spans="1:20" x14ac:dyDescent="0.2">
      <c r="A202" s="43" t="s">
        <v>545</v>
      </c>
      <c r="C202" s="100"/>
      <c r="D202" s="96">
        <f>Data!C$102</f>
        <v>31.163</v>
      </c>
      <c r="E202" s="96">
        <f>Data!D$102</f>
        <v>33.192</v>
      </c>
      <c r="F202" s="187">
        <f>Data!E$102</f>
        <v>36.076999999999998</v>
      </c>
      <c r="G202" s="187">
        <f>Data!F$102</f>
        <v>39.951999999999998</v>
      </c>
      <c r="H202" s="187">
        <f>Data!G$102</f>
        <v>51.319000000000003</v>
      </c>
      <c r="I202" s="187">
        <f>Data!H$102</f>
        <v>61.548000000000002</v>
      </c>
      <c r="J202" s="187">
        <f>Data!I$102</f>
        <v>73.033999999999992</v>
      </c>
      <c r="K202" s="99">
        <f ca="1">SUM(J$202,J$203)+(K$33-J$33)-(K$35-J$35)-K$23-K$203</f>
        <v>84.07682615254447</v>
      </c>
      <c r="L202" s="99">
        <f t="shared" ref="L202:T202" ca="1" si="103">SUM(K$202,K$203)+(L$33-K$33)-(L$35-K$35)-L$23-L$203</f>
        <v>95.810337398406276</v>
      </c>
      <c r="M202" s="99">
        <f t="shared" ca="1" si="103"/>
        <v>107.38743229522788</v>
      </c>
      <c r="N202" s="99">
        <f t="shared" ca="1" si="103"/>
        <v>118.24072818100208</v>
      </c>
      <c r="O202" s="99">
        <f t="shared" ca="1" si="103"/>
        <v>129.11582231832182</v>
      </c>
      <c r="P202" s="99">
        <f t="shared" ca="1" si="103"/>
        <v>139.94861758136406</v>
      </c>
      <c r="Q202" s="99">
        <f t="shared" ca="1" si="103"/>
        <v>150.61642130401481</v>
      </c>
      <c r="R202" s="99">
        <f t="shared" ca="1" si="103"/>
        <v>161.5416186666917</v>
      </c>
      <c r="S202" s="99">
        <f t="shared" ca="1" si="103"/>
        <v>172.7132036961606</v>
      </c>
      <c r="T202" s="99">
        <f t="shared" ca="1" si="103"/>
        <v>184.09642907273047</v>
      </c>
    </row>
    <row r="203" spans="1:20" x14ac:dyDescent="0.2">
      <c r="A203" s="259" t="s">
        <v>673</v>
      </c>
      <c r="C203" s="100"/>
      <c r="D203" s="280">
        <f>Data!C$94-Data!C$102</f>
        <v>4.7290000000000028</v>
      </c>
      <c r="E203" s="280">
        <f>Data!D$94-Data!D$102</f>
        <v>4.1439999999999984</v>
      </c>
      <c r="F203" s="186">
        <f>Data!E$94-Data!E$102</f>
        <v>4.4149999999999991</v>
      </c>
      <c r="G203" s="186">
        <f>Data!F$94-Data!F$102</f>
        <v>4.4339999999999975</v>
      </c>
      <c r="H203" s="186">
        <f>Data!G$94-Data!G$102</f>
        <v>4.4819999999999993</v>
      </c>
      <c r="I203" s="186">
        <f>Data!H$94-Data!H$102</f>
        <v>4.2259999999999991</v>
      </c>
      <c r="J203" s="186">
        <f>Data!I$94-Data!I$102</f>
        <v>3.7550000000000097</v>
      </c>
      <c r="K203" s="107">
        <f>SUM(J$203,(K$129-K$130)-(J$129-J$130),(K$138-K$139)-(J$138-J$139))</f>
        <v>4.5469613833009532</v>
      </c>
      <c r="L203" s="107">
        <f t="shared" ref="L203:T203" si="104">SUM(K$203,(L$129-L$130)-(K$129-K$130),(L$138-L$139)-(K$138-K$139))</f>
        <v>4.7683697160006746</v>
      </c>
      <c r="M203" s="107">
        <f t="shared" si="104"/>
        <v>5.0037110380448278</v>
      </c>
      <c r="N203" s="107">
        <f t="shared" si="104"/>
        <v>5.253865302294666</v>
      </c>
      <c r="O203" s="107">
        <f t="shared" si="104"/>
        <v>5.5197682544938802</v>
      </c>
      <c r="P203" s="107">
        <f t="shared" si="104"/>
        <v>5.8024149858165002</v>
      </c>
      <c r="Q203" s="107">
        <f t="shared" si="104"/>
        <v>6.1028637126494489</v>
      </c>
      <c r="R203" s="107">
        <f t="shared" si="104"/>
        <v>6.4222397982149007</v>
      </c>
      <c r="S203" s="107">
        <f t="shared" si="104"/>
        <v>6.761740031580989</v>
      </c>
      <c r="T203" s="107">
        <f t="shared" si="104"/>
        <v>7.122637180614297</v>
      </c>
    </row>
    <row r="204" spans="1:20" x14ac:dyDescent="0.2">
      <c r="A204" s="43" t="s">
        <v>676</v>
      </c>
      <c r="C204" s="100"/>
      <c r="D204" s="96">
        <f t="shared" ref="D204:T204" si="105">SUM(D$202,D$203)</f>
        <v>35.892000000000003</v>
      </c>
      <c r="E204" s="96">
        <f t="shared" si="105"/>
        <v>37.335999999999999</v>
      </c>
      <c r="F204" s="187">
        <f t="shared" si="105"/>
        <v>40.491999999999997</v>
      </c>
      <c r="G204" s="187">
        <f t="shared" si="105"/>
        <v>44.385999999999996</v>
      </c>
      <c r="H204" s="187">
        <f t="shared" si="105"/>
        <v>55.801000000000002</v>
      </c>
      <c r="I204" s="187">
        <f t="shared" si="105"/>
        <v>65.774000000000001</v>
      </c>
      <c r="J204" s="187">
        <f t="shared" si="105"/>
        <v>76.789000000000001</v>
      </c>
      <c r="K204" s="101">
        <f t="shared" ca="1" si="105"/>
        <v>88.623787535845423</v>
      </c>
      <c r="L204" s="101">
        <f t="shared" ca="1" si="105"/>
        <v>100.57870711440695</v>
      </c>
      <c r="M204" s="101">
        <f t="shared" ca="1" si="105"/>
        <v>112.39114333327271</v>
      </c>
      <c r="N204" s="101">
        <f t="shared" ca="1" si="105"/>
        <v>123.49459348329675</v>
      </c>
      <c r="O204" s="101">
        <f t="shared" ca="1" si="105"/>
        <v>134.63559057281569</v>
      </c>
      <c r="P204" s="101">
        <f t="shared" ca="1" si="105"/>
        <v>145.75103256718057</v>
      </c>
      <c r="Q204" s="101">
        <f t="shared" ca="1" si="105"/>
        <v>156.71928501666426</v>
      </c>
      <c r="R204" s="101">
        <f t="shared" ca="1" si="105"/>
        <v>167.96385846490659</v>
      </c>
      <c r="S204" s="101">
        <f t="shared" ca="1" si="105"/>
        <v>179.47494372774159</v>
      </c>
      <c r="T204" s="101">
        <f t="shared" ca="1" si="105"/>
        <v>191.21906625334478</v>
      </c>
    </row>
    <row r="205" spans="1:20" x14ac:dyDescent="0.2">
      <c r="A205" s="259" t="s">
        <v>396</v>
      </c>
      <c r="C205" s="100"/>
      <c r="D205" s="280">
        <f>Data!C$95</f>
        <v>0.91300000000000003</v>
      </c>
      <c r="E205" s="280">
        <f>Data!D$95</f>
        <v>0.40899999999999997</v>
      </c>
      <c r="F205" s="186">
        <f>Data!E$95</f>
        <v>0.64900000000000002</v>
      </c>
      <c r="G205" s="186">
        <f>Data!F$95</f>
        <v>0.75700000000000001</v>
      </c>
      <c r="H205" s="186">
        <f>Data!G$95</f>
        <v>0.88100000000000001</v>
      </c>
      <c r="I205" s="186">
        <f>Data!H$95</f>
        <v>1.032</v>
      </c>
      <c r="J205" s="186">
        <f>Data!I$95</f>
        <v>1.2070000000000001</v>
      </c>
      <c r="K205" s="107">
        <f>K$123-K$122</f>
        <v>1.0529913138489881</v>
      </c>
      <c r="L205" s="107">
        <f t="shared" ref="L205:T205" si="106">L$123-L$122</f>
        <v>1.1970052986359292</v>
      </c>
      <c r="M205" s="107">
        <f t="shared" si="106"/>
        <v>1.3498646130236338</v>
      </c>
      <c r="N205" s="107">
        <f t="shared" si="106"/>
        <v>1.5116541805883159</v>
      </c>
      <c r="O205" s="107">
        <f t="shared" si="106"/>
        <v>1.6823307540817609</v>
      </c>
      <c r="P205" s="107">
        <f t="shared" si="106"/>
        <v>1.861752846594726</v>
      </c>
      <c r="Q205" s="107">
        <f t="shared" si="106"/>
        <v>2.0499093842033247</v>
      </c>
      <c r="R205" s="107">
        <f t="shared" si="106"/>
        <v>2.2445002107794778</v>
      </c>
      <c r="S205" s="107">
        <f t="shared" si="106"/>
        <v>2.4451982146128302</v>
      </c>
      <c r="T205" s="107">
        <f t="shared" si="106"/>
        <v>2.6515315743452419</v>
      </c>
    </row>
    <row r="206" spans="1:20" x14ac:dyDescent="0.2">
      <c r="A206" s="43" t="s">
        <v>677</v>
      </c>
      <c r="C206" s="100"/>
      <c r="D206" s="96">
        <f t="shared" ref="D206:T206" si="107">SUM(D$204,D$205)</f>
        <v>36.805</v>
      </c>
      <c r="E206" s="96">
        <f t="shared" si="107"/>
        <v>37.744999999999997</v>
      </c>
      <c r="F206" s="187">
        <f t="shared" si="107"/>
        <v>41.140999999999998</v>
      </c>
      <c r="G206" s="187">
        <f t="shared" si="107"/>
        <v>45.142999999999994</v>
      </c>
      <c r="H206" s="187">
        <f t="shared" si="107"/>
        <v>56.682000000000002</v>
      </c>
      <c r="I206" s="187">
        <f t="shared" si="107"/>
        <v>66.805999999999997</v>
      </c>
      <c r="J206" s="187">
        <f t="shared" si="107"/>
        <v>77.995999999999995</v>
      </c>
      <c r="K206" s="101">
        <f t="shared" ca="1" si="107"/>
        <v>89.676778849694415</v>
      </c>
      <c r="L206" s="101">
        <f t="shared" ca="1" si="107"/>
        <v>101.77571241304288</v>
      </c>
      <c r="M206" s="101">
        <f t="shared" ca="1" si="107"/>
        <v>113.74100794629635</v>
      </c>
      <c r="N206" s="101">
        <f t="shared" ca="1" si="107"/>
        <v>125.00624766388506</v>
      </c>
      <c r="O206" s="101">
        <f t="shared" ca="1" si="107"/>
        <v>136.31792132689745</v>
      </c>
      <c r="P206" s="101">
        <f t="shared" ca="1" si="107"/>
        <v>147.6127854137753</v>
      </c>
      <c r="Q206" s="101">
        <f t="shared" ca="1" si="107"/>
        <v>158.76919440086758</v>
      </c>
      <c r="R206" s="101">
        <f t="shared" ca="1" si="107"/>
        <v>170.20835867568607</v>
      </c>
      <c r="S206" s="101">
        <f t="shared" ca="1" si="107"/>
        <v>181.92014194235441</v>
      </c>
      <c r="T206" s="101">
        <f t="shared" ca="1" si="107"/>
        <v>193.87059782769001</v>
      </c>
    </row>
    <row r="207" spans="1:20" x14ac:dyDescent="0.2">
      <c r="A207" s="43"/>
      <c r="C207" s="100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</row>
    <row r="208" spans="1:20" x14ac:dyDescent="0.2">
      <c r="A208" s="147" t="s">
        <v>417</v>
      </c>
      <c r="C208" s="100"/>
      <c r="D208" s="94">
        <f>SUM(Data!C$78,Data!C$199,-Data!C$200)</f>
        <v>6.1120000000000001</v>
      </c>
      <c r="E208" s="94">
        <f>SUM(Data!D$78,Data!D$199,-Data!D$200)</f>
        <v>6.3550000000000004</v>
      </c>
      <c r="F208" s="142">
        <f>SUM(Data!E$78,Data!E$199,-Data!E$200)</f>
        <v>6.3550000000000004</v>
      </c>
      <c r="G208" s="142">
        <f>SUM(Data!F$78,Data!F$199,-Data!F$200)</f>
        <v>6.3550000000000004</v>
      </c>
      <c r="H208" s="142">
        <f>SUM(Data!G$78,Data!G$199,-Data!G$200)</f>
        <v>6.3550000000000004</v>
      </c>
      <c r="I208" s="142">
        <f>SUM(Data!H$78,Data!H$199,-Data!H$200)</f>
        <v>6.3550000000000004</v>
      </c>
      <c r="J208" s="142">
        <f>SUM(Data!I$78,Data!I$199,-Data!I$200)</f>
        <v>6.3550000000000004</v>
      </c>
      <c r="K208" s="99">
        <f ca="1">OFFSET(Scenarios!$A$47,0,$C$1)</f>
        <v>6.3550000000000004</v>
      </c>
      <c r="L208" s="99">
        <f ca="1">OFFSET(Scenarios!$A$47,0,$C$1)</f>
        <v>6.3550000000000004</v>
      </c>
      <c r="M208" s="99">
        <f ca="1">OFFSET(Scenarios!$A$47,0,$C$1)</f>
        <v>6.3550000000000004</v>
      </c>
      <c r="N208" s="99">
        <f ca="1">OFFSET(Scenarios!$A$47,0,$C$1)</f>
        <v>6.3550000000000004</v>
      </c>
      <c r="O208" s="99">
        <f ca="1">OFFSET(Scenarios!$A$47,0,$C$1)</f>
        <v>6.3550000000000004</v>
      </c>
      <c r="P208" s="99">
        <f ca="1">OFFSET(Scenarios!$A$47,0,$C$1)</f>
        <v>6.3550000000000004</v>
      </c>
      <c r="Q208" s="99">
        <f ca="1">OFFSET(Scenarios!$A$47,0,$C$1)</f>
        <v>6.3550000000000004</v>
      </c>
      <c r="R208" s="99">
        <f ca="1">OFFSET(Scenarios!$A$47,0,$C$1)</f>
        <v>6.3550000000000004</v>
      </c>
      <c r="S208" s="99">
        <f ca="1">OFFSET(Scenarios!$A$47,0,$C$1)</f>
        <v>6.3550000000000004</v>
      </c>
      <c r="T208" s="99">
        <f ca="1">OFFSET(Scenarios!$A$47,0,$C$1)</f>
        <v>6.3550000000000004</v>
      </c>
    </row>
    <row r="209" spans="1:20" x14ac:dyDescent="0.2">
      <c r="A209" s="147" t="s">
        <v>418</v>
      </c>
      <c r="C209" s="100"/>
      <c r="D209" s="94">
        <f t="shared" ref="D209:J209" si="108">C$209</f>
        <v>0</v>
      </c>
      <c r="E209" s="94">
        <f t="shared" si="108"/>
        <v>0</v>
      </c>
      <c r="F209" s="142">
        <f t="shared" si="108"/>
        <v>0</v>
      </c>
      <c r="G209" s="142">
        <f t="shared" si="108"/>
        <v>0</v>
      </c>
      <c r="H209" s="142">
        <f t="shared" si="108"/>
        <v>0</v>
      </c>
      <c r="I209" s="142">
        <f t="shared" si="108"/>
        <v>0</v>
      </c>
      <c r="J209" s="142">
        <f t="shared" si="108"/>
        <v>0</v>
      </c>
      <c r="K209" s="99">
        <f ca="1">IF(OFFSET(Scenarios!$A$44,0,$C$1)="Yes",MAX(MIN(OFFSET(Scenarios!$A$45,0,$C$1)-SUM($H$209:J$209),SUM(K$160,K$166,K$170,K$174,K$178,K$185)-SUM(J$160,J$166,J$170,J$174,J$185)-(K$35-J$35)-K$23+K$123-J$123),0),0)</f>
        <v>0</v>
      </c>
      <c r="L209" s="99">
        <f ca="1">IF(OFFSET(Scenarios!$A$44,0,$C$1)="Yes",MAX(MIN(OFFSET(Scenarios!$A$45,0,$C$1)-SUM($H$209:K$209),SUM(L$160,L$166,L$170,L$174,L$178,L$185)-SUM(K$160,K$166,K$170,K$174,K$185)-(L$35-K$35)-L$23+L$123-K$123),0),0)</f>
        <v>0</v>
      </c>
      <c r="M209" s="99">
        <f ca="1">IF(OFFSET(Scenarios!$A$44,0,$C$1)="Yes",MAX(MIN(OFFSET(Scenarios!$A$45,0,$C$1)-SUM($H$209:L$209),SUM(M$160,M$166,M$170,M$174,M$178,M$185)-SUM(L$160,L$166,L$170,L$174,L$185)-(M$35-L$35)-M$23+M$123-L$123),0),0)</f>
        <v>0</v>
      </c>
      <c r="N209" s="99">
        <f ca="1">IF(OFFSET(Scenarios!$A$44,0,$C$1)="Yes",MAX(MIN(OFFSET(Scenarios!$A$45,0,$C$1)-SUM($H$209:M$209),SUM(N$160,N$166,N$170,N$174,N$178,N$185)-SUM(M$160,M$166,M$170,M$174,M$185)-(N$35-M$35)-N$23+N$123-M$123),0),0)</f>
        <v>0</v>
      </c>
      <c r="O209" s="99">
        <f ca="1">IF(OFFSET(Scenarios!$A$44,0,$C$1)="Yes",MAX(MIN(OFFSET(Scenarios!$A$45,0,$C$1)-SUM($H$209:N$209),SUM(O$160,O$166,O$170,O$174,O$178,O$185)-SUM(N$160,N$166,N$170,N$174,N$185)-(O$35-N$35)-O$23+O$123-N$123),0),0)</f>
        <v>0</v>
      </c>
      <c r="P209" s="99">
        <f ca="1">IF(OFFSET(Scenarios!$A$44,0,$C$1)="Yes",MAX(MIN(OFFSET(Scenarios!$A$45,0,$C$1)-SUM($H$209:O$209),SUM(P$160,P$166,P$170,P$174,P$178,P$185)-SUM(O$160,O$166,O$170,O$174,O$185)-(P$35-O$35)-P$23+P$123-O$123),0),0)</f>
        <v>0</v>
      </c>
      <c r="Q209" s="99">
        <f ca="1">IF(OFFSET(Scenarios!$A$44,0,$C$1)="Yes",MAX(MIN(OFFSET(Scenarios!$A$45,0,$C$1)-SUM($H$209:P$209),SUM(Q$160,Q$166,Q$170,Q$174,Q$178,Q$185)-SUM(P$160,P$166,P$170,P$174,P$185)-(Q$35-P$35)-Q$23+Q$123-P$123),0),0)</f>
        <v>0</v>
      </c>
      <c r="R209" s="99">
        <f ca="1">IF(OFFSET(Scenarios!$A$44,0,$C$1)="Yes",MAX(MIN(OFFSET(Scenarios!$A$45,0,$C$1)-SUM($H$209:Q$209),SUM(R$160,R$166,R$170,R$174,R$178,R$185)-SUM(Q$160,Q$166,Q$170,Q$174,Q$185)-(R$35-Q$35)-R$23+R$123-Q$123),0),0)</f>
        <v>0</v>
      </c>
      <c r="S209" s="99">
        <f ca="1">IF(OFFSET(Scenarios!$A$44,0,$C$1)="Yes",MAX(MIN(OFFSET(Scenarios!$A$45,0,$C$1)-SUM($H$209:R$209),SUM(S$160,S$166,S$170,S$174,S$178,S$185)-SUM(R$160,R$166,R$170,R$174,R$185)-(S$35-R$35)-S$23+S$123-R$123),0),0)</f>
        <v>0</v>
      </c>
      <c r="T209" s="99">
        <f ca="1">IF(OFFSET(Scenarios!$A$44,0,$C$1)="Yes",MAX(MIN(OFFSET(Scenarios!$A$45,0,$C$1)-SUM($H$209:S$209),SUM(T$160,T$166,T$170,T$174,T$178,T$185)-SUM(S$160,S$166,S$170,S$174,S$185)-(T$35-S$35)-T$23+T$123-S$123),0),0)</f>
        <v>0</v>
      </c>
    </row>
    <row r="210" spans="1:20" x14ac:dyDescent="0.2">
      <c r="A210" s="147"/>
      <c r="C210" s="100"/>
      <c r="D210" s="97"/>
      <c r="E210" s="97"/>
      <c r="F210" s="97"/>
      <c r="G210" s="97"/>
      <c r="H210" s="97"/>
      <c r="I210" s="97"/>
      <c r="J210" s="97"/>
      <c r="K210" s="317"/>
      <c r="L210" s="317"/>
      <c r="M210" s="317"/>
      <c r="N210" s="317"/>
      <c r="O210" s="317"/>
      <c r="P210" s="317"/>
      <c r="Q210" s="317"/>
      <c r="R210" s="317"/>
      <c r="S210" s="317"/>
      <c r="T210" s="317"/>
    </row>
    <row r="211" spans="1:20" ht="15.75" x14ac:dyDescent="0.25">
      <c r="A211" s="249" t="s">
        <v>639</v>
      </c>
      <c r="D211" s="97"/>
      <c r="E211" s="97"/>
      <c r="F211"/>
      <c r="G211"/>
      <c r="H211"/>
      <c r="I211"/>
      <c r="J211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</row>
    <row r="212" spans="1:20" x14ac:dyDescent="0.2">
      <c r="A212" s="43" t="s">
        <v>193</v>
      </c>
      <c r="D212" s="94">
        <f>Data!C$203</f>
        <v>132.38900000000001</v>
      </c>
      <c r="E212" s="94">
        <f>Data!D$203</f>
        <v>135.821</v>
      </c>
      <c r="F212" s="180">
        <f>Data!E$203</f>
        <v>135.94545041674729</v>
      </c>
      <c r="G212" s="180">
        <f>Data!F$203</f>
        <v>137.71374685559184</v>
      </c>
      <c r="H212" s="180">
        <f>Data!G$203</f>
        <v>142.23952817811403</v>
      </c>
      <c r="I212" s="180">
        <f>Data!H$203</f>
        <v>147.9035276342839</v>
      </c>
      <c r="J212" s="180">
        <f>Data!I$203</f>
        <v>153.34078751093</v>
      </c>
      <c r="K212" s="99">
        <f ca="1">J$212*(1+K$231)*(K$223*(1-K$226)*K$229)/(J$223*(1-J$226)*J$229)</f>
        <v>157.24417506671574</v>
      </c>
      <c r="L212" s="99">
        <f t="shared" ref="L212:T212" ca="1" si="109">K$212*(1+L$231)*(L$223*(1-L$226)*L$229)/(K$223*(1-K$226)*K$229)</f>
        <v>161.27520813653311</v>
      </c>
      <c r="M212" s="99">
        <f t="shared" ca="1" si="109"/>
        <v>165.36685835619699</v>
      </c>
      <c r="N212" s="99">
        <f t="shared" ca="1" si="109"/>
        <v>169.38792050000532</v>
      </c>
      <c r="O212" s="99">
        <f t="shared" ca="1" si="109"/>
        <v>173.09322477679015</v>
      </c>
      <c r="P212" s="99">
        <f t="shared" ca="1" si="109"/>
        <v>176.82863482962179</v>
      </c>
      <c r="Q212" s="99">
        <f t="shared" ca="1" si="109"/>
        <v>180.60298388299981</v>
      </c>
      <c r="R212" s="99">
        <f t="shared" ca="1" si="109"/>
        <v>184.40074513748479</v>
      </c>
      <c r="S212" s="99">
        <f t="shared" ca="1" si="109"/>
        <v>188.27241745546362</v>
      </c>
      <c r="T212" s="99">
        <f t="shared" ca="1" si="109"/>
        <v>192.13595615051429</v>
      </c>
    </row>
    <row r="213" spans="1:20" x14ac:dyDescent="0.2">
      <c r="A213" s="260" t="s">
        <v>172</v>
      </c>
      <c r="D213" s="174"/>
      <c r="E213" s="174">
        <f t="shared" ref="E213:T213" si="110">E$212/D$212-1</f>
        <v>2.5923603924797201E-2</v>
      </c>
      <c r="F213" s="178">
        <f t="shared" si="110"/>
        <v>9.1628258330667123E-4</v>
      </c>
      <c r="G213" s="178">
        <f t="shared" si="110"/>
        <v>1.3007396962706252E-2</v>
      </c>
      <c r="H213" s="178">
        <f t="shared" si="110"/>
        <v>3.2863685912692286E-2</v>
      </c>
      <c r="I213" s="178">
        <f t="shared" si="110"/>
        <v>3.98201507606053E-2</v>
      </c>
      <c r="J213" s="178">
        <f t="shared" si="110"/>
        <v>3.6762205497157696E-2</v>
      </c>
      <c r="K213" s="175">
        <f t="shared" ca="1" si="110"/>
        <v>2.5455637858306401E-2</v>
      </c>
      <c r="L213" s="175">
        <f t="shared" ca="1" si="110"/>
        <v>2.5635500126520272E-2</v>
      </c>
      <c r="M213" s="175">
        <f t="shared" ca="1" si="110"/>
        <v>2.5370608830341368E-2</v>
      </c>
      <c r="N213" s="175">
        <f t="shared" ca="1" si="110"/>
        <v>2.4316009772327174E-2</v>
      </c>
      <c r="O213" s="175">
        <f t="shared" ca="1" si="110"/>
        <v>2.1874666539664522E-2</v>
      </c>
      <c r="P213" s="175">
        <f t="shared" ca="1" si="110"/>
        <v>2.1580336594043903E-2</v>
      </c>
      <c r="Q213" s="175">
        <f t="shared" ca="1" si="110"/>
        <v>2.1344671110618885E-2</v>
      </c>
      <c r="R213" s="175">
        <f t="shared" ca="1" si="110"/>
        <v>2.1028230945205673E-2</v>
      </c>
      <c r="S213" s="175">
        <f t="shared" ca="1" si="110"/>
        <v>2.0995968943033239E-2</v>
      </c>
      <c r="T213" s="175">
        <f t="shared" ca="1" si="110"/>
        <v>2.0521002211938866E-2</v>
      </c>
    </row>
    <row r="214" spans="1:20" x14ac:dyDescent="0.2">
      <c r="A214" s="43" t="s">
        <v>148</v>
      </c>
      <c r="D214" s="94">
        <f>Data!C$204</f>
        <v>168.571</v>
      </c>
      <c r="E214" s="94">
        <f>Data!D$204</f>
        <v>179.048</v>
      </c>
      <c r="F214" s="180">
        <f>Data!E$204</f>
        <v>181.13885057739157</v>
      </c>
      <c r="G214" s="180">
        <f>Data!F$204</f>
        <v>184.50602822682566</v>
      </c>
      <c r="H214" s="180">
        <f>Data!G$204</f>
        <v>193.90799432322186</v>
      </c>
      <c r="I214" s="180">
        <f>Data!H$204</f>
        <v>205.38873623897788</v>
      </c>
      <c r="J214" s="180">
        <f>Data!I$204</f>
        <v>216.52261434577596</v>
      </c>
      <c r="K214" s="99">
        <f ca="1">K$212*(J$214/J$212)*(1+K$218)</f>
        <v>226.47502231678965</v>
      </c>
      <c r="L214" s="99">
        <f t="shared" ref="L214:T214" ca="1" si="111">L$212*(K$214/K$212)*(1+L$218)</f>
        <v>236.92643923564631</v>
      </c>
      <c r="M214" s="99">
        <f t="shared" ca="1" si="111"/>
        <v>247.79615539200074</v>
      </c>
      <c r="N214" s="99">
        <f t="shared" ca="1" si="111"/>
        <v>258.89800051061889</v>
      </c>
      <c r="O214" s="99">
        <f t="shared" ca="1" si="111"/>
        <v>269.85253409836611</v>
      </c>
      <c r="P214" s="99">
        <f t="shared" ca="1" si="111"/>
        <v>281.18956346726384</v>
      </c>
      <c r="Q214" s="99">
        <f t="shared" ca="1" si="111"/>
        <v>292.93529146359532</v>
      </c>
      <c r="R214" s="99">
        <f t="shared" ca="1" si="111"/>
        <v>305.07710647298279</v>
      </c>
      <c r="S214" s="99">
        <f t="shared" ca="1" si="111"/>
        <v>317.71214584423439</v>
      </c>
      <c r="T214" s="99">
        <f t="shared" ca="1" si="111"/>
        <v>330.71655584170105</v>
      </c>
    </row>
    <row r="215" spans="1:20" x14ac:dyDescent="0.2">
      <c r="A215" s="260" t="s">
        <v>172</v>
      </c>
      <c r="D215" s="174"/>
      <c r="E215" s="174">
        <f t="shared" ref="E215:T215" si="112">E$214/D$214-1</f>
        <v>6.2151852928439721E-2</v>
      </c>
      <c r="F215" s="178">
        <f t="shared" si="112"/>
        <v>1.1677598059691041E-2</v>
      </c>
      <c r="G215" s="178">
        <f t="shared" si="112"/>
        <v>1.8588931301600997E-2</v>
      </c>
      <c r="H215" s="178">
        <f t="shared" si="112"/>
        <v>5.0957500883590301E-2</v>
      </c>
      <c r="I215" s="178">
        <f t="shared" si="112"/>
        <v>5.9207161395414154E-2</v>
      </c>
      <c r="J215" s="178">
        <f t="shared" si="112"/>
        <v>5.4208805753804157E-2</v>
      </c>
      <c r="K215" s="175">
        <f t="shared" ca="1" si="112"/>
        <v>4.5964750615472338E-2</v>
      </c>
      <c r="L215" s="175">
        <f t="shared" ca="1" si="112"/>
        <v>4.6148210129050682E-2</v>
      </c>
      <c r="M215" s="175">
        <f t="shared" ca="1" si="112"/>
        <v>4.5878021006948266E-2</v>
      </c>
      <c r="N215" s="175">
        <f t="shared" ca="1" si="112"/>
        <v>4.480232996777378E-2</v>
      </c>
      <c r="O215" s="175">
        <f t="shared" ca="1" si="112"/>
        <v>4.2312159870457888E-2</v>
      </c>
      <c r="P215" s="175">
        <f t="shared" ca="1" si="112"/>
        <v>4.2011943325924728E-2</v>
      </c>
      <c r="Q215" s="175">
        <f t="shared" ca="1" si="112"/>
        <v>4.1771564532831373E-2</v>
      </c>
      <c r="R215" s="175">
        <f t="shared" ca="1" si="112"/>
        <v>4.1448795564109853E-2</v>
      </c>
      <c r="S215" s="175">
        <f t="shared" ca="1" si="112"/>
        <v>4.1415888321894023E-2</v>
      </c>
      <c r="T215" s="175">
        <f t="shared" ca="1" si="112"/>
        <v>4.093142225617763E-2</v>
      </c>
    </row>
    <row r="216" spans="1:20" x14ac:dyDescent="0.2">
      <c r="A216" s="48" t="s">
        <v>163</v>
      </c>
      <c r="D216" s="97"/>
      <c r="E216" s="97"/>
      <c r="T216" s="99"/>
    </row>
    <row r="217" spans="1:20" x14ac:dyDescent="0.2">
      <c r="A217" s="47" t="s">
        <v>149</v>
      </c>
      <c r="D217" s="284">
        <f>Data!C$205</f>
        <v>1020</v>
      </c>
      <c r="E217" s="284">
        <f>Data!D$205</f>
        <v>1061</v>
      </c>
      <c r="F217" s="273">
        <f>Data!E$205</f>
        <v>1085.6289999999999</v>
      </c>
      <c r="G217" s="273">
        <f>Data!F$205</f>
        <v>1110.3489999999999</v>
      </c>
      <c r="H217" s="273">
        <f>Data!G$205</f>
        <v>1131.556</v>
      </c>
      <c r="I217" s="273">
        <f>Data!H$205</f>
        <v>1153.1769999999999</v>
      </c>
      <c r="J217" s="273">
        <f>Data!I$205</f>
        <v>1174.567</v>
      </c>
      <c r="K217" s="274">
        <f ca="1">J$217*(1+K$218)</f>
        <v>1198.05834</v>
      </c>
      <c r="L217" s="274">
        <f t="shared" ref="L217:T217" ca="1" si="113">K$217*(1+L$218)</f>
        <v>1222.0195068</v>
      </c>
      <c r="M217" s="274">
        <f t="shared" ca="1" si="113"/>
        <v>1246.4598969360002</v>
      </c>
      <c r="N217" s="274">
        <f t="shared" ca="1" si="113"/>
        <v>1271.3890948747203</v>
      </c>
      <c r="O217" s="274">
        <f t="shared" ca="1" si="113"/>
        <v>1296.8168767722148</v>
      </c>
      <c r="P217" s="274">
        <f t="shared" ca="1" si="113"/>
        <v>1322.7532143076592</v>
      </c>
      <c r="Q217" s="274">
        <f t="shared" ca="1" si="113"/>
        <v>1349.2082785938123</v>
      </c>
      <c r="R217" s="274">
        <f t="shared" ca="1" si="113"/>
        <v>1376.1924441656886</v>
      </c>
      <c r="S217" s="274">
        <f t="shared" ca="1" si="113"/>
        <v>1403.7162930490024</v>
      </c>
      <c r="T217" s="274">
        <f t="shared" ca="1" si="113"/>
        <v>1431.7906189099824</v>
      </c>
    </row>
    <row r="218" spans="1:20" x14ac:dyDescent="0.2">
      <c r="A218" s="260" t="s">
        <v>172</v>
      </c>
      <c r="D218" s="174"/>
      <c r="E218" s="174">
        <f t="shared" ref="E218:J218" si="114">E$217/D$217-1</f>
        <v>4.0196078431372628E-2</v>
      </c>
      <c r="F218" s="178">
        <f t="shared" si="114"/>
        <v>2.3213006597549324E-2</v>
      </c>
      <c r="G218" s="178">
        <f t="shared" si="114"/>
        <v>2.277020971252619E-2</v>
      </c>
      <c r="H218" s="178">
        <f t="shared" si="114"/>
        <v>1.9099400278651313E-2</v>
      </c>
      <c r="I218" s="178">
        <f t="shared" si="114"/>
        <v>1.91073177111869E-2</v>
      </c>
      <c r="J218" s="178">
        <f t="shared" si="114"/>
        <v>1.8548757042500919E-2</v>
      </c>
      <c r="K218" s="175">
        <f ca="1">IF(J$218&lt;OFFSET(Scenarios!$A$7,0,$C$1),MIN(J$218+OFFSET(Scenarios!$A$13,0,$C$1),OFFSET(Scenarios!$A$7,0,$C$1)),MAX(J$218-OFFSET(Scenarios!$A$13,0,$C$1),OFFSET(Scenarios!$A$7,0,$C$1)))</f>
        <v>0.02</v>
      </c>
      <c r="L218" s="175">
        <f ca="1">IF(K$218&lt;OFFSET(Scenarios!$A$7,0,$C$1),MIN(K$218+OFFSET(Scenarios!$A$13,0,$C$1),OFFSET(Scenarios!$A$7,0,$C$1)),MAX(K$218-OFFSET(Scenarios!$A$13,0,$C$1),OFFSET(Scenarios!$A$7,0,$C$1)))</f>
        <v>0.02</v>
      </c>
      <c r="M218" s="175">
        <f ca="1">IF(L$218&lt;OFFSET(Scenarios!$A$7,0,$C$1),MIN(L$218+OFFSET(Scenarios!$A$13,0,$C$1),OFFSET(Scenarios!$A$7,0,$C$1)),MAX(L$218-OFFSET(Scenarios!$A$13,0,$C$1),OFFSET(Scenarios!$A$7,0,$C$1)))</f>
        <v>0.02</v>
      </c>
      <c r="N218" s="175">
        <f ca="1">IF(M$218&lt;OFFSET(Scenarios!$A$7,0,$C$1),MIN(M$218+OFFSET(Scenarios!$A$13,0,$C$1),OFFSET(Scenarios!$A$7,0,$C$1)),MAX(M$218-OFFSET(Scenarios!$A$13,0,$C$1),OFFSET(Scenarios!$A$7,0,$C$1)))</f>
        <v>0.02</v>
      </c>
      <c r="O218" s="175">
        <f ca="1">IF(N$218&lt;OFFSET(Scenarios!$A$7,0,$C$1),MIN(N$218+OFFSET(Scenarios!$A$13,0,$C$1),OFFSET(Scenarios!$A$7,0,$C$1)),MAX(N$218-OFFSET(Scenarios!$A$13,0,$C$1),OFFSET(Scenarios!$A$7,0,$C$1)))</f>
        <v>0.02</v>
      </c>
      <c r="P218" s="175">
        <f ca="1">IF(O$218&lt;OFFSET(Scenarios!$A$7,0,$C$1),MIN(O$218+OFFSET(Scenarios!$A$13,0,$C$1),OFFSET(Scenarios!$A$7,0,$C$1)),MAX(O$218-OFFSET(Scenarios!$A$13,0,$C$1),OFFSET(Scenarios!$A$7,0,$C$1)))</f>
        <v>0.02</v>
      </c>
      <c r="Q218" s="175">
        <f ca="1">IF(P$218&lt;OFFSET(Scenarios!$A$7,0,$C$1),MIN(P$218+OFFSET(Scenarios!$A$13,0,$C$1),OFFSET(Scenarios!$A$7,0,$C$1)),MAX(P$218-OFFSET(Scenarios!$A$13,0,$C$1),OFFSET(Scenarios!$A$7,0,$C$1)))</f>
        <v>0.02</v>
      </c>
      <c r="R218" s="175">
        <f ca="1">IF(Q$218&lt;OFFSET(Scenarios!$A$7,0,$C$1),MIN(Q$218+OFFSET(Scenarios!$A$13,0,$C$1),OFFSET(Scenarios!$A$7,0,$C$1)),MAX(Q$218-OFFSET(Scenarios!$A$13,0,$C$1),OFFSET(Scenarios!$A$7,0,$C$1)))</f>
        <v>0.02</v>
      </c>
      <c r="S218" s="175">
        <f ca="1">IF(R$218&lt;OFFSET(Scenarios!$A$7,0,$C$1),MIN(R$218+OFFSET(Scenarios!$A$13,0,$C$1),OFFSET(Scenarios!$A$7,0,$C$1)),MAX(R$218-OFFSET(Scenarios!$A$13,0,$C$1),OFFSET(Scenarios!$A$7,0,$C$1)))</f>
        <v>0.02</v>
      </c>
      <c r="T218" s="175">
        <f ca="1">IF(S$218&lt;OFFSET(Scenarios!$A$7,0,$C$1),MIN(S$218+OFFSET(Scenarios!$A$13,0,$C$1),OFFSET(Scenarios!$A$7,0,$C$1)),MAX(S$218-OFFSET(Scenarios!$A$13,0,$C$1),OFFSET(Scenarios!$A$7,0,$C$1)))</f>
        <v>0.02</v>
      </c>
    </row>
    <row r="219" spans="1:20" x14ac:dyDescent="0.2">
      <c r="A219" s="47" t="s">
        <v>192</v>
      </c>
      <c r="D219" s="174">
        <f>Data!C$206</f>
        <v>6.3100000000000003E-2</v>
      </c>
      <c r="E219" s="174">
        <f>Data!D$206</f>
        <v>6.4399999999999999E-2</v>
      </c>
      <c r="F219" s="178">
        <f>Data!E$206</f>
        <v>5.8999999999999997E-2</v>
      </c>
      <c r="G219" s="178">
        <f>Data!F$206</f>
        <v>5.7000000000000002E-2</v>
      </c>
      <c r="H219" s="178">
        <f>Data!G$206</f>
        <v>5.8999999999999997E-2</v>
      </c>
      <c r="I219" s="178">
        <f>Data!H$206</f>
        <v>0.06</v>
      </c>
      <c r="J219" s="178">
        <f>Data!I$206</f>
        <v>0.06</v>
      </c>
      <c r="K219" s="175">
        <f ca="1">IF(J$219&lt;OFFSET(Scenarios!$A$8,0,$C$1),MIN(J$219+OFFSET(Scenarios!$A$14,0,$C$1),OFFSET(Scenarios!$A$8,0,$C$1)),MAX(J$219-OFFSET(Scenarios!$A$14,0,$C$1),OFFSET(Scenarios!$A$8,0,$C$1)))</f>
        <v>0.06</v>
      </c>
      <c r="L219" s="175">
        <f ca="1">IF(K$219&lt;OFFSET(Scenarios!$A$8,0,$C$1),MIN(K$219+OFFSET(Scenarios!$A$14,0,$C$1),OFFSET(Scenarios!$A$8,0,$C$1)),MAX(K$219-OFFSET(Scenarios!$A$14,0,$C$1),OFFSET(Scenarios!$A$8,0,$C$1)))</f>
        <v>0.06</v>
      </c>
      <c r="M219" s="175">
        <f ca="1">IF(L$219&lt;OFFSET(Scenarios!$A$8,0,$C$1),MIN(L$219+OFFSET(Scenarios!$A$14,0,$C$1),OFFSET(Scenarios!$A$8,0,$C$1)),MAX(L$219-OFFSET(Scenarios!$A$14,0,$C$1),OFFSET(Scenarios!$A$8,0,$C$1)))</f>
        <v>0.06</v>
      </c>
      <c r="N219" s="175">
        <f ca="1">IF(M$219&lt;OFFSET(Scenarios!$A$8,0,$C$1),MIN(M$219+OFFSET(Scenarios!$A$14,0,$C$1),OFFSET(Scenarios!$A$8,0,$C$1)),MAX(M$219-OFFSET(Scenarios!$A$14,0,$C$1),OFFSET(Scenarios!$A$8,0,$C$1)))</f>
        <v>0.06</v>
      </c>
      <c r="O219" s="175">
        <f ca="1">IF(N$219&lt;OFFSET(Scenarios!$A$8,0,$C$1),MIN(N$219+OFFSET(Scenarios!$A$14,0,$C$1),OFFSET(Scenarios!$A$8,0,$C$1)),MAX(N$219-OFFSET(Scenarios!$A$14,0,$C$1),OFFSET(Scenarios!$A$8,0,$C$1)))</f>
        <v>0.06</v>
      </c>
      <c r="P219" s="175">
        <f ca="1">IF(O$219&lt;OFFSET(Scenarios!$A$8,0,$C$1),MIN(O$219+OFFSET(Scenarios!$A$14,0,$C$1),OFFSET(Scenarios!$A$8,0,$C$1)),MAX(O$219-OFFSET(Scenarios!$A$14,0,$C$1),OFFSET(Scenarios!$A$8,0,$C$1)))</f>
        <v>0.06</v>
      </c>
      <c r="Q219" s="175">
        <f ca="1">IF(P$219&lt;OFFSET(Scenarios!$A$8,0,$C$1),MIN(P$219+OFFSET(Scenarios!$A$14,0,$C$1),OFFSET(Scenarios!$A$8,0,$C$1)),MAX(P$219-OFFSET(Scenarios!$A$14,0,$C$1),OFFSET(Scenarios!$A$8,0,$C$1)))</f>
        <v>0.06</v>
      </c>
      <c r="R219" s="175">
        <f ca="1">IF(Q$219&lt;OFFSET(Scenarios!$A$8,0,$C$1),MIN(Q$219+OFFSET(Scenarios!$A$14,0,$C$1),OFFSET(Scenarios!$A$8,0,$C$1)),MAX(Q$219-OFFSET(Scenarios!$A$14,0,$C$1),OFFSET(Scenarios!$A$8,0,$C$1)))</f>
        <v>0.06</v>
      </c>
      <c r="S219" s="175">
        <f ca="1">IF(R$219&lt;OFFSET(Scenarios!$A$8,0,$C$1),MIN(R$219+OFFSET(Scenarios!$A$14,0,$C$1),OFFSET(Scenarios!$A$8,0,$C$1)),MAX(R$219-OFFSET(Scenarios!$A$14,0,$C$1),OFFSET(Scenarios!$A$8,0,$C$1)))</f>
        <v>0.06</v>
      </c>
      <c r="T219" s="175">
        <f ca="1">IF(S$219&lt;OFFSET(Scenarios!$A$8,0,$C$1),MIN(S$219+OFFSET(Scenarios!$A$14,0,$C$1),OFFSET(Scenarios!$A$8,0,$C$1)),MAX(S$219-OFFSET(Scenarios!$A$14,0,$C$1),OFFSET(Scenarios!$A$8,0,$C$1)))</f>
        <v>0.06</v>
      </c>
    </row>
    <row r="220" spans="1:20" x14ac:dyDescent="0.2">
      <c r="A220" s="48" t="s">
        <v>164</v>
      </c>
      <c r="D220" s="285"/>
      <c r="E220" s="285"/>
      <c r="F220" s="188"/>
      <c r="G220" s="188"/>
      <c r="H220" s="188"/>
      <c r="I220" s="188"/>
      <c r="J220" s="188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</row>
    <row r="221" spans="1:20" x14ac:dyDescent="0.2">
      <c r="A221" s="47" t="s">
        <v>270</v>
      </c>
      <c r="D221" s="94">
        <f>SUM(Popn!D$24:D$99,Popn!D$118:D$193)/1000000</f>
        <v>3.3398500000000002</v>
      </c>
      <c r="E221" s="94">
        <f>SUM(Popn!E$24:E$99,Popn!E$118:E$193)/1000000</f>
        <v>3.3793000000000002</v>
      </c>
      <c r="F221" s="180">
        <f>SUM(Popn!F$24:F$99,Popn!F$118:F$193)/1000000</f>
        <v>3.4188000000000001</v>
      </c>
      <c r="G221" s="180">
        <f>SUM(Popn!G$24:G$99,Popn!G$118:G$193)/1000000</f>
        <v>3.45933</v>
      </c>
      <c r="H221" s="180">
        <f>SUM(Popn!H$24:H$99,Popn!H$118:H$193)/1000000</f>
        <v>3.49865</v>
      </c>
      <c r="I221" s="180">
        <f>SUM(Popn!I$24:I$99,Popn!I$118:I$193)/1000000</f>
        <v>3.5358900000000002</v>
      </c>
      <c r="J221" s="180">
        <f>SUM(Popn!J$24:J$99,Popn!J$118:J$193)/1000000</f>
        <v>3.5729700000000002</v>
      </c>
      <c r="K221" s="99">
        <f>SUM(Popn!K$24:K$99,Popn!K$118:K$193)/1000000</f>
        <v>3.6087799999999999</v>
      </c>
      <c r="L221" s="99">
        <f>SUM(Popn!L$24:L$99,Popn!L$118:L$193)/1000000</f>
        <v>3.64608</v>
      </c>
      <c r="M221" s="99">
        <f>SUM(Popn!M$24:M$99,Popn!M$118:M$193)/1000000</f>
        <v>3.6820400000000002</v>
      </c>
      <c r="N221" s="99">
        <f>SUM(Popn!N$24:N$99,Popn!N$118:N$193)/1000000</f>
        <v>3.7154400000000001</v>
      </c>
      <c r="O221" s="99">
        <f>SUM(Popn!O$24:O$99,Popn!O$118:O$193)/1000000</f>
        <v>3.7489699999999999</v>
      </c>
      <c r="P221" s="99">
        <f>SUM(Popn!P$24:P$99,Popn!P$118:P$193)/1000000</f>
        <v>3.78362</v>
      </c>
      <c r="Q221" s="99">
        <f>SUM(Popn!Q$24:Q$99,Popn!Q$118:Q$193)/1000000</f>
        <v>3.8177400000000001</v>
      </c>
      <c r="R221" s="99">
        <f>SUM(Popn!R$24:R$99,Popn!R$118:R$193)/1000000</f>
        <v>3.8532299999999999</v>
      </c>
      <c r="S221" s="99">
        <f>SUM(Popn!S$24:S$99,Popn!S$118:S$193)/1000000</f>
        <v>3.89066</v>
      </c>
      <c r="T221" s="99">
        <f>SUM(Popn!T$24:T$99,Popn!T$118:T$193)/1000000</f>
        <v>3.9278599999999999</v>
      </c>
    </row>
    <row r="222" spans="1:20" x14ac:dyDescent="0.2">
      <c r="A222" s="260" t="s">
        <v>172</v>
      </c>
      <c r="D222" s="174"/>
      <c r="E222" s="174">
        <f t="shared" ref="E222:T222" si="115">E$221/D$221-1</f>
        <v>1.1811907720406634E-2</v>
      </c>
      <c r="F222" s="178">
        <f t="shared" si="115"/>
        <v>1.16888112922795E-2</v>
      </c>
      <c r="G222" s="178">
        <f t="shared" si="115"/>
        <v>1.1855036855036749E-2</v>
      </c>
      <c r="H222" s="178">
        <f t="shared" si="115"/>
        <v>1.1366362850609768E-2</v>
      </c>
      <c r="I222" s="178">
        <f t="shared" si="115"/>
        <v>1.0644105583582197E-2</v>
      </c>
      <c r="J222" s="178">
        <f t="shared" si="115"/>
        <v>1.0486751567497787E-2</v>
      </c>
      <c r="K222" s="175">
        <f t="shared" si="115"/>
        <v>1.0022474300092066E-2</v>
      </c>
      <c r="L222" s="175">
        <f t="shared" si="115"/>
        <v>1.0335902992147039E-2</v>
      </c>
      <c r="M222" s="175">
        <f t="shared" si="115"/>
        <v>9.8626470071967454E-3</v>
      </c>
      <c r="N222" s="175">
        <f t="shared" si="115"/>
        <v>9.0710584349980028E-3</v>
      </c>
      <c r="O222" s="175">
        <f t="shared" si="115"/>
        <v>9.0245031544042842E-3</v>
      </c>
      <c r="P222" s="175">
        <f t="shared" si="115"/>
        <v>9.2425386172736435E-3</v>
      </c>
      <c r="Q222" s="175">
        <f t="shared" si="115"/>
        <v>9.017818914161646E-3</v>
      </c>
      <c r="R222" s="175">
        <f t="shared" si="115"/>
        <v>9.2960756887581208E-3</v>
      </c>
      <c r="S222" s="175">
        <f t="shared" si="115"/>
        <v>9.7139283146867594E-3</v>
      </c>
      <c r="T222" s="175">
        <f t="shared" si="115"/>
        <v>9.5613597692936203E-3</v>
      </c>
    </row>
    <row r="223" spans="1:20" x14ac:dyDescent="0.2">
      <c r="A223" s="47" t="s">
        <v>271</v>
      </c>
      <c r="D223" s="94">
        <f>Data!C$207</f>
        <v>2.2168000000000001</v>
      </c>
      <c r="E223" s="94">
        <f>Data!D$207</f>
        <v>2.2395</v>
      </c>
      <c r="F223" s="180">
        <f>Data!E$207</f>
        <v>2.2664</v>
      </c>
      <c r="G223" s="180">
        <f>Data!F$207</f>
        <v>2.2530000000000001</v>
      </c>
      <c r="H223" s="180">
        <f>Data!G$207</f>
        <v>2.2458</v>
      </c>
      <c r="I223" s="180">
        <f>Data!H$207</f>
        <v>2.2711000000000001</v>
      </c>
      <c r="J223" s="180">
        <f>Data!I$207</f>
        <v>2.3178000000000001</v>
      </c>
      <c r="K223" s="99">
        <f>Popn!K$259</f>
        <v>2.3392216086824771</v>
      </c>
      <c r="L223" s="99">
        <f>Popn!L$259</f>
        <v>2.3612578798619479</v>
      </c>
      <c r="M223" s="99">
        <f>Popn!M$259</f>
        <v>2.382888764524083</v>
      </c>
      <c r="N223" s="99">
        <f>Popn!N$259</f>
        <v>2.4024981857666261</v>
      </c>
      <c r="O223" s="99">
        <f>Popn!O$259</f>
        <v>2.418770475312729</v>
      </c>
      <c r="P223" s="99">
        <f>Popn!P$259</f>
        <v>2.4344515825750874</v>
      </c>
      <c r="Q223" s="99">
        <f>Popn!Q$259</f>
        <v>2.4496691142264813</v>
      </c>
      <c r="R223" s="99">
        <f>Popn!R$259</f>
        <v>2.464218051329826</v>
      </c>
      <c r="S223" s="99">
        <f>Popn!S$259</f>
        <v>2.4787750709403045</v>
      </c>
      <c r="T223" s="99">
        <f>Popn!T$259</f>
        <v>2.4922581474423349</v>
      </c>
    </row>
    <row r="224" spans="1:20" x14ac:dyDescent="0.2">
      <c r="A224" s="260" t="s">
        <v>172</v>
      </c>
      <c r="D224" s="174"/>
      <c r="E224" s="174">
        <f t="shared" ref="E224:T224" si="116">E$223/D$223-1</f>
        <v>1.023998556477812E-2</v>
      </c>
      <c r="F224" s="178">
        <f t="shared" si="116"/>
        <v>1.2011609734315698E-2</v>
      </c>
      <c r="G224" s="178">
        <f t="shared" si="116"/>
        <v>-5.9124602894458089E-3</v>
      </c>
      <c r="H224" s="178">
        <f t="shared" si="116"/>
        <v>-3.1957390146472031E-3</v>
      </c>
      <c r="I224" s="178">
        <f t="shared" si="116"/>
        <v>1.1265473327989994E-2</v>
      </c>
      <c r="J224" s="178">
        <f t="shared" si="116"/>
        <v>2.0562722909603259E-2</v>
      </c>
      <c r="K224" s="175">
        <f t="shared" si="116"/>
        <v>9.2422161888330301E-3</v>
      </c>
      <c r="L224" s="175">
        <f t="shared" si="116"/>
        <v>9.4203435440571859E-3</v>
      </c>
      <c r="M224" s="175">
        <f t="shared" si="116"/>
        <v>9.160746416820853E-3</v>
      </c>
      <c r="N224" s="175">
        <f t="shared" si="116"/>
        <v>8.2292642168126928E-3</v>
      </c>
      <c r="O224" s="175">
        <f t="shared" si="116"/>
        <v>6.7730704824280341E-3</v>
      </c>
      <c r="P224" s="175">
        <f t="shared" si="116"/>
        <v>6.4830902404375834E-3</v>
      </c>
      <c r="Q224" s="175">
        <f t="shared" si="116"/>
        <v>6.2509074981467183E-3</v>
      </c>
      <c r="R224" s="175">
        <f t="shared" si="116"/>
        <v>5.939143788380008E-3</v>
      </c>
      <c r="S224" s="175">
        <f t="shared" si="116"/>
        <v>5.907358564564813E-3</v>
      </c>
      <c r="T224" s="175">
        <f t="shared" si="116"/>
        <v>5.439411046245457E-3</v>
      </c>
    </row>
    <row r="225" spans="1:20" x14ac:dyDescent="0.2">
      <c r="A225" s="47" t="s">
        <v>174</v>
      </c>
      <c r="D225" s="174">
        <f t="shared" ref="D225:T225" si="117">D$223/D$221</f>
        <v>0.66374238363998384</v>
      </c>
      <c r="E225" s="174">
        <f t="shared" si="117"/>
        <v>0.6627112123812624</v>
      </c>
      <c r="F225" s="178">
        <f t="shared" si="117"/>
        <v>0.66292266292266289</v>
      </c>
      <c r="G225" s="178">
        <f t="shared" si="117"/>
        <v>0.65128218470050558</v>
      </c>
      <c r="H225" s="178">
        <f t="shared" si="117"/>
        <v>0.64190473468337783</v>
      </c>
      <c r="I225" s="178">
        <f t="shared" si="117"/>
        <v>0.64229939279785286</v>
      </c>
      <c r="J225" s="178">
        <f t="shared" si="117"/>
        <v>0.64870401934525057</v>
      </c>
      <c r="K225" s="175">
        <f t="shared" si="117"/>
        <v>0.64820288537469095</v>
      </c>
      <c r="L225" s="175">
        <f t="shared" si="117"/>
        <v>0.64761548837709204</v>
      </c>
      <c r="M225" s="175">
        <f t="shared" si="117"/>
        <v>0.64716536608078212</v>
      </c>
      <c r="N225" s="175">
        <f t="shared" si="117"/>
        <v>0.64662548332542746</v>
      </c>
      <c r="O225" s="175">
        <f t="shared" si="117"/>
        <v>0.64518267025682496</v>
      </c>
      <c r="P225" s="175">
        <f t="shared" si="117"/>
        <v>0.64341862622966561</v>
      </c>
      <c r="Q225" s="175">
        <f t="shared" si="117"/>
        <v>0.64165425467069026</v>
      </c>
      <c r="R225" s="175">
        <f t="shared" si="117"/>
        <v>0.63952010425794104</v>
      </c>
      <c r="S225" s="175">
        <f t="shared" si="117"/>
        <v>0.63710914624775861</v>
      </c>
      <c r="T225" s="175">
        <f t="shared" si="117"/>
        <v>0.63450788659533053</v>
      </c>
    </row>
    <row r="226" spans="1:20" x14ac:dyDescent="0.2">
      <c r="A226" s="47" t="s">
        <v>150</v>
      </c>
      <c r="D226" s="174">
        <f>Data!C$208</f>
        <v>3.73E-2</v>
      </c>
      <c r="E226" s="174">
        <f>Data!D$208</f>
        <v>3.6299999999999999E-2</v>
      </c>
      <c r="F226" s="178">
        <f>Data!E$208</f>
        <v>4.6699999999999998E-2</v>
      </c>
      <c r="G226" s="178">
        <f>Data!F$208</f>
        <v>6.2399999999999997E-2</v>
      </c>
      <c r="H226" s="178">
        <f>Data!G$208</f>
        <v>6.3E-2</v>
      </c>
      <c r="I226" s="178">
        <f>Data!H$208</f>
        <v>5.5100000000000003E-2</v>
      </c>
      <c r="J226" s="178">
        <f>Data!I$208</f>
        <v>4.6899999999999997E-2</v>
      </c>
      <c r="K226" s="175">
        <f ca="1">IF(J$226&lt;OFFSET(Scenarios!$A$9,0,$C$1),MIN(J$226+OFFSET(Scenarios!$A$15,0,$C$1),OFFSET(Scenarios!$A$9,0,$C$1)),MAX(J$226-OFFSET(Scenarios!$A$15,0,$C$1),OFFSET(Scenarios!$A$9,0,$C$1)))</f>
        <v>4.5899999999999996E-2</v>
      </c>
      <c r="L226" s="175">
        <f ca="1">IF(K$226&lt;OFFSET(Scenarios!$A$9,0,$C$1),MIN(K$226+OFFSET(Scenarios!$A$15,0,$C$1),OFFSET(Scenarios!$A$9,0,$C$1)),MAX(K$226-OFFSET(Scenarios!$A$15,0,$C$1),OFFSET(Scenarios!$A$9,0,$C$1)))</f>
        <v>4.4899999999999995E-2</v>
      </c>
      <c r="M226" s="175">
        <f ca="1">IF(L$226&lt;OFFSET(Scenarios!$A$9,0,$C$1),MIN(L$226+OFFSET(Scenarios!$A$15,0,$C$1),OFFSET(Scenarios!$A$9,0,$C$1)),MAX(L$226-OFFSET(Scenarios!$A$15,0,$C$1),OFFSET(Scenarios!$A$9,0,$C$1)))</f>
        <v>4.3899999999999995E-2</v>
      </c>
      <c r="N226" s="175">
        <f ca="1">IF(M$226&lt;OFFSET(Scenarios!$A$9,0,$C$1),MIN(M$226+OFFSET(Scenarios!$A$15,0,$C$1),OFFSET(Scenarios!$A$9,0,$C$1)),MAX(M$226-OFFSET(Scenarios!$A$15,0,$C$1),OFFSET(Scenarios!$A$9,0,$C$1)))</f>
        <v>4.2999999999999997E-2</v>
      </c>
      <c r="O226" s="175">
        <f ca="1">IF(N$226&lt;OFFSET(Scenarios!$A$9,0,$C$1),MIN(N$226+OFFSET(Scenarios!$A$15,0,$C$1),OFFSET(Scenarios!$A$9,0,$C$1)),MAX(N$226-OFFSET(Scenarios!$A$15,0,$C$1),OFFSET(Scenarios!$A$9,0,$C$1)))</f>
        <v>4.2999999999999997E-2</v>
      </c>
      <c r="P226" s="175">
        <f ca="1">IF(O$226&lt;OFFSET(Scenarios!$A$9,0,$C$1),MIN(O$226+OFFSET(Scenarios!$A$15,0,$C$1),OFFSET(Scenarios!$A$9,0,$C$1)),MAX(O$226-OFFSET(Scenarios!$A$15,0,$C$1),OFFSET(Scenarios!$A$9,0,$C$1)))</f>
        <v>4.2999999999999997E-2</v>
      </c>
      <c r="Q226" s="175">
        <f ca="1">IF(P$226&lt;OFFSET(Scenarios!$A$9,0,$C$1),MIN(P$226+OFFSET(Scenarios!$A$15,0,$C$1),OFFSET(Scenarios!$A$9,0,$C$1)),MAX(P$226-OFFSET(Scenarios!$A$15,0,$C$1),OFFSET(Scenarios!$A$9,0,$C$1)))</f>
        <v>4.2999999999999997E-2</v>
      </c>
      <c r="R226" s="175">
        <f ca="1">IF(Q$226&lt;OFFSET(Scenarios!$A$9,0,$C$1),MIN(Q$226+OFFSET(Scenarios!$A$15,0,$C$1),OFFSET(Scenarios!$A$9,0,$C$1)),MAX(Q$226-OFFSET(Scenarios!$A$15,0,$C$1),OFFSET(Scenarios!$A$9,0,$C$1)))</f>
        <v>4.2999999999999997E-2</v>
      </c>
      <c r="S226" s="175">
        <f ca="1">IF(R$226&lt;OFFSET(Scenarios!$A$9,0,$C$1),MIN(R$226+OFFSET(Scenarios!$A$15,0,$C$1),OFFSET(Scenarios!$A$9,0,$C$1)),MAX(R$226-OFFSET(Scenarios!$A$15,0,$C$1),OFFSET(Scenarios!$A$9,0,$C$1)))</f>
        <v>4.2999999999999997E-2</v>
      </c>
      <c r="T226" s="175">
        <f ca="1">IF(S$226&lt;OFFSET(Scenarios!$A$9,0,$C$1),MIN(S$226+OFFSET(Scenarios!$A$15,0,$C$1),OFFSET(Scenarios!$A$9,0,$C$1)),MAX(S$226-OFFSET(Scenarios!$A$15,0,$C$1),OFFSET(Scenarios!$A$9,0,$C$1)))</f>
        <v>4.2999999999999997E-2</v>
      </c>
    </row>
    <row r="227" spans="1:20" x14ac:dyDescent="0.2">
      <c r="A227" s="47" t="s">
        <v>842</v>
      </c>
      <c r="D227" s="94">
        <f t="shared" ref="D227:T227" si="118">D$223*(1-D$226)</f>
        <v>2.1341133600000002</v>
      </c>
      <c r="E227" s="94">
        <f t="shared" si="118"/>
        <v>2.1582061500000003</v>
      </c>
      <c r="F227" s="180">
        <f t="shared" si="118"/>
        <v>2.1605591199999998</v>
      </c>
      <c r="G227" s="180">
        <f t="shared" si="118"/>
        <v>2.1124128</v>
      </c>
      <c r="H227" s="180">
        <f t="shared" si="118"/>
        <v>2.1043145999999999</v>
      </c>
      <c r="I227" s="180">
        <f t="shared" si="118"/>
        <v>2.1459623900000002</v>
      </c>
      <c r="J227" s="180">
        <f t="shared" si="118"/>
        <v>2.2090951800000003</v>
      </c>
      <c r="K227" s="99">
        <f t="shared" ca="1" si="118"/>
        <v>2.2318513368439512</v>
      </c>
      <c r="L227" s="99">
        <f t="shared" ca="1" si="118"/>
        <v>2.2552374010561467</v>
      </c>
      <c r="M227" s="99">
        <f t="shared" ca="1" si="118"/>
        <v>2.2782799477614755</v>
      </c>
      <c r="N227" s="99">
        <f t="shared" ca="1" si="118"/>
        <v>2.2991907637786611</v>
      </c>
      <c r="O227" s="99">
        <f t="shared" ca="1" si="118"/>
        <v>2.3147633448742817</v>
      </c>
      <c r="P227" s="99">
        <f t="shared" ca="1" si="118"/>
        <v>2.3297701645243585</v>
      </c>
      <c r="Q227" s="99">
        <f t="shared" ca="1" si="118"/>
        <v>2.3443333423147426</v>
      </c>
      <c r="R227" s="99">
        <f t="shared" ca="1" si="118"/>
        <v>2.3582566751226435</v>
      </c>
      <c r="S227" s="99">
        <f t="shared" ca="1" si="118"/>
        <v>2.3721877428898712</v>
      </c>
      <c r="T227" s="99">
        <f t="shared" ca="1" si="118"/>
        <v>2.3850910471023146</v>
      </c>
    </row>
    <row r="228" spans="1:20" x14ac:dyDescent="0.2">
      <c r="A228" s="260" t="s">
        <v>172</v>
      </c>
      <c r="D228" s="174"/>
      <c r="E228" s="174">
        <f t="shared" ref="E228:T228" si="119">E$227/D$227-1</f>
        <v>1.1289367496392089E-2</v>
      </c>
      <c r="F228" s="178">
        <f t="shared" si="119"/>
        <v>1.0902433949599999E-3</v>
      </c>
      <c r="G228" s="178">
        <f t="shared" si="119"/>
        <v>-2.2284194657908651E-2</v>
      </c>
      <c r="H228" s="178">
        <f t="shared" si="119"/>
        <v>-3.8336257004313312E-3</v>
      </c>
      <c r="I228" s="178">
        <f t="shared" si="119"/>
        <v>1.9791617660211314E-2</v>
      </c>
      <c r="J228" s="178">
        <f t="shared" si="119"/>
        <v>2.9419336654823658E-2</v>
      </c>
      <c r="K228" s="175">
        <f t="shared" ca="1" si="119"/>
        <v>1.030112104266645E-2</v>
      </c>
      <c r="L228" s="175">
        <f t="shared" ca="1" si="119"/>
        <v>1.0478325247803344E-2</v>
      </c>
      <c r="M228" s="175">
        <f t="shared" ca="1" si="119"/>
        <v>1.0217348601321508E-2</v>
      </c>
      <c r="N228" s="175">
        <f t="shared" ca="1" si="119"/>
        <v>9.1783347510614455E-3</v>
      </c>
      <c r="O228" s="175">
        <f t="shared" ca="1" si="119"/>
        <v>6.7730704824280341E-3</v>
      </c>
      <c r="P228" s="175">
        <f t="shared" ca="1" si="119"/>
        <v>6.4830902404373614E-3</v>
      </c>
      <c r="Q228" s="175">
        <f t="shared" ca="1" si="119"/>
        <v>6.2509074981467183E-3</v>
      </c>
      <c r="R228" s="175">
        <f t="shared" ca="1" si="119"/>
        <v>5.939143788380008E-3</v>
      </c>
      <c r="S228" s="175">
        <f t="shared" ca="1" si="119"/>
        <v>5.907358564564813E-3</v>
      </c>
      <c r="T228" s="175">
        <f t="shared" ca="1" si="119"/>
        <v>5.439411046245457E-3</v>
      </c>
    </row>
    <row r="229" spans="1:20" x14ac:dyDescent="0.2">
      <c r="A229" s="47" t="s">
        <v>151</v>
      </c>
      <c r="D229" s="286">
        <f>Data!C$209</f>
        <v>38.1</v>
      </c>
      <c r="E229" s="286">
        <f>Data!D$209</f>
        <v>38</v>
      </c>
      <c r="F229" s="189">
        <f>Data!E$209</f>
        <v>37.700000000000003</v>
      </c>
      <c r="G229" s="189">
        <f>Data!F$209</f>
        <v>37.799999999999997</v>
      </c>
      <c r="H229" s="189">
        <f>Data!G$209</f>
        <v>37.799999999999997</v>
      </c>
      <c r="I229" s="189">
        <f>Data!H$209</f>
        <v>37.799999999999997</v>
      </c>
      <c r="J229" s="189">
        <f>Data!I$209</f>
        <v>37.799999999999997</v>
      </c>
      <c r="K229" s="223">
        <f>J$229</f>
        <v>37.799999999999997</v>
      </c>
      <c r="L229" s="223">
        <f t="shared" ref="L229:T229" si="120">K$229</f>
        <v>37.799999999999997</v>
      </c>
      <c r="M229" s="223">
        <f t="shared" si="120"/>
        <v>37.799999999999997</v>
      </c>
      <c r="N229" s="223">
        <f t="shared" si="120"/>
        <v>37.799999999999997</v>
      </c>
      <c r="O229" s="223">
        <f t="shared" si="120"/>
        <v>37.799999999999997</v>
      </c>
      <c r="P229" s="223">
        <f t="shared" si="120"/>
        <v>37.799999999999997</v>
      </c>
      <c r="Q229" s="223">
        <f t="shared" si="120"/>
        <v>37.799999999999997</v>
      </c>
      <c r="R229" s="223">
        <f t="shared" si="120"/>
        <v>37.799999999999997</v>
      </c>
      <c r="S229" s="223">
        <f t="shared" si="120"/>
        <v>37.799999999999997</v>
      </c>
      <c r="T229" s="223">
        <f t="shared" si="120"/>
        <v>37.799999999999997</v>
      </c>
    </row>
    <row r="230" spans="1:20" x14ac:dyDescent="0.2">
      <c r="A230" s="47" t="s">
        <v>275</v>
      </c>
      <c r="D230" s="174">
        <f>Data!C$211</f>
        <v>4.7199999999999999E-2</v>
      </c>
      <c r="E230" s="174">
        <f>Data!D$211</f>
        <v>4.5100000000000001E-2</v>
      </c>
      <c r="F230" s="178">
        <f>Data!E$211</f>
        <v>5.21E-2</v>
      </c>
      <c r="G230" s="178">
        <f>Data!F$211</f>
        <v>4.1200000000000001E-2</v>
      </c>
      <c r="H230" s="178">
        <f>Data!G$211</f>
        <v>3.4500000000000003E-2</v>
      </c>
      <c r="I230" s="178">
        <f>Data!H$211</f>
        <v>2.9399999999999999E-2</v>
      </c>
      <c r="J230" s="178">
        <f>Data!I$211</f>
        <v>2.9499999999999998E-2</v>
      </c>
      <c r="K230" s="175">
        <f t="shared" ref="K230:T230" ca="1" si="121">(1+K$218)*(1+K$231)-1</f>
        <v>3.5299999999999887E-2</v>
      </c>
      <c r="L230" s="175">
        <f t="shared" ca="1" si="121"/>
        <v>3.5299999999999887E-2</v>
      </c>
      <c r="M230" s="175">
        <f t="shared" ca="1" si="121"/>
        <v>3.5299999999999887E-2</v>
      </c>
      <c r="N230" s="175">
        <f t="shared" ca="1" si="121"/>
        <v>3.5299999999999887E-2</v>
      </c>
      <c r="O230" s="175">
        <f t="shared" ca="1" si="121"/>
        <v>3.5299999999999887E-2</v>
      </c>
      <c r="P230" s="175">
        <f t="shared" ca="1" si="121"/>
        <v>3.5299999999999887E-2</v>
      </c>
      <c r="Q230" s="175">
        <f t="shared" ca="1" si="121"/>
        <v>3.5299999999999887E-2</v>
      </c>
      <c r="R230" s="175">
        <f t="shared" ca="1" si="121"/>
        <v>3.5299999999999887E-2</v>
      </c>
      <c r="S230" s="175">
        <f t="shared" ca="1" si="121"/>
        <v>3.5299999999999887E-2</v>
      </c>
      <c r="T230" s="175">
        <f t="shared" ca="1" si="121"/>
        <v>3.5299999999999887E-2</v>
      </c>
    </row>
    <row r="231" spans="1:20" x14ac:dyDescent="0.2">
      <c r="A231" s="47" t="s">
        <v>394</v>
      </c>
      <c r="B231" s="174"/>
      <c r="D231" s="174">
        <f>Data!C$210</f>
        <v>1.6E-2</v>
      </c>
      <c r="E231" s="174">
        <f>Data!D$210</f>
        <v>2.6499999999999999E-2</v>
      </c>
      <c r="F231" s="178">
        <f>Data!E$210</f>
        <v>5.4000000000000003E-3</v>
      </c>
      <c r="G231" s="178">
        <f>Data!F$210</f>
        <v>3.5299999999999998E-2</v>
      </c>
      <c r="H231" s="178">
        <f>Data!G$210</f>
        <v>3.5999999999999997E-2</v>
      </c>
      <c r="I231" s="178">
        <f>Data!H$210</f>
        <v>1.9199999999999998E-2</v>
      </c>
      <c r="J231" s="178">
        <f>Data!I$210</f>
        <v>6.8999999999999999E-3</v>
      </c>
      <c r="K231" s="175">
        <f ca="1">OFFSET(Scenarios!$A$6,0,$C$1)</f>
        <v>1.4999999999999999E-2</v>
      </c>
      <c r="L231" s="175">
        <f ca="1">OFFSET(Scenarios!$A$6,0,$C$1)</f>
        <v>1.4999999999999999E-2</v>
      </c>
      <c r="M231" s="175">
        <f ca="1">OFFSET(Scenarios!$A$6,0,$C$1)</f>
        <v>1.4999999999999999E-2</v>
      </c>
      <c r="N231" s="175">
        <f ca="1">OFFSET(Scenarios!$A$6,0,$C$1)</f>
        <v>1.4999999999999999E-2</v>
      </c>
      <c r="O231" s="175">
        <f ca="1">OFFSET(Scenarios!$A$6,0,$C$1)</f>
        <v>1.4999999999999999E-2</v>
      </c>
      <c r="P231" s="175">
        <f ca="1">OFFSET(Scenarios!$A$6,0,$C$1)</f>
        <v>1.4999999999999999E-2</v>
      </c>
      <c r="Q231" s="175">
        <f ca="1">OFFSET(Scenarios!$A$6,0,$C$1)</f>
        <v>1.4999999999999999E-2</v>
      </c>
      <c r="R231" s="175">
        <f ca="1">OFFSET(Scenarios!$A$6,0,$C$1)</f>
        <v>1.4999999999999999E-2</v>
      </c>
      <c r="S231" s="175">
        <f ca="1">OFFSET(Scenarios!$A$6,0,$C$1)</f>
        <v>1.4999999999999999E-2</v>
      </c>
      <c r="T231" s="175">
        <f ca="1">OFFSET(Scenarios!$A$6,0,$C$1)</f>
        <v>1.4999999999999999E-2</v>
      </c>
    </row>
    <row r="232" spans="1:20" x14ac:dyDescent="0.2">
      <c r="D232" s="97"/>
      <c r="E232" s="97"/>
      <c r="T232" s="99"/>
    </row>
    <row r="233" spans="1:20" ht="15.75" x14ac:dyDescent="0.25">
      <c r="A233" s="249" t="s">
        <v>395</v>
      </c>
      <c r="D233" s="97"/>
      <c r="E233" s="97"/>
      <c r="T233" s="99"/>
    </row>
    <row r="234" spans="1:20" x14ac:dyDescent="0.2">
      <c r="A234" s="43" t="s">
        <v>352</v>
      </c>
      <c r="D234" s="97"/>
      <c r="E234" s="97"/>
      <c r="T234" s="99"/>
    </row>
    <row r="235" spans="1:20" x14ac:dyDescent="0.2">
      <c r="A235" s="44" t="s">
        <v>250</v>
      </c>
      <c r="D235" s="97"/>
      <c r="E235" s="95">
        <f>Popn!E$201</f>
        <v>2.1017258073702694E-2</v>
      </c>
      <c r="F235" s="184">
        <f>Popn!F$201</f>
        <v>2.7055673323663987E-2</v>
      </c>
      <c r="G235" s="184">
        <f>Popn!G$201</f>
        <v>2.8497456230876406E-2</v>
      </c>
      <c r="H235" s="184">
        <f>Popn!H$201</f>
        <v>3.0647631453870172E-2</v>
      </c>
      <c r="I235" s="184">
        <f>Popn!I$201</f>
        <v>4.12823666051787E-2</v>
      </c>
      <c r="J235" s="184">
        <f>Popn!J$201</f>
        <v>3.8071024358238281E-2</v>
      </c>
      <c r="K235" s="224">
        <f>Popn!K$201</f>
        <v>3.5063047119426205E-2</v>
      </c>
      <c r="L235" s="224">
        <f>Popn!L$201</f>
        <v>3.4623311197618412E-2</v>
      </c>
      <c r="M235" s="224">
        <f>Popn!M$201</f>
        <v>3.2313753264574308E-2</v>
      </c>
      <c r="N235" s="224">
        <f>Popn!N$201</f>
        <v>3.1802524191358206E-2</v>
      </c>
      <c r="O235" s="224">
        <f>Popn!O$201</f>
        <v>3.0836150052640399E-2</v>
      </c>
      <c r="P235" s="224">
        <f>Popn!P$201</f>
        <v>3.1351627381944303E-2</v>
      </c>
      <c r="Q235" s="224">
        <f>Popn!Q$201</f>
        <v>3.1336729774453786E-2</v>
      </c>
      <c r="R235" s="224">
        <f>Popn!R$201</f>
        <v>3.2216494845360932E-2</v>
      </c>
      <c r="S235" s="224">
        <f>Popn!S$201</f>
        <v>3.1798487185136226E-2</v>
      </c>
      <c r="T235" s="224">
        <f>Popn!T$201</f>
        <v>3.1008303677342752E-2</v>
      </c>
    </row>
    <row r="236" spans="1:20" x14ac:dyDescent="0.2">
      <c r="A236" s="44" t="s">
        <v>314</v>
      </c>
      <c r="D236" s="97"/>
      <c r="E236" s="95">
        <f t="shared" ref="E236:T236" si="122">E$218</f>
        <v>4.0196078431372628E-2</v>
      </c>
      <c r="F236" s="184">
        <f t="shared" si="122"/>
        <v>2.3213006597549324E-2</v>
      </c>
      <c r="G236" s="184">
        <f t="shared" si="122"/>
        <v>2.277020971252619E-2</v>
      </c>
      <c r="H236" s="184">
        <f t="shared" si="122"/>
        <v>1.9099400278651313E-2</v>
      </c>
      <c r="I236" s="184">
        <f t="shared" si="122"/>
        <v>1.91073177111869E-2</v>
      </c>
      <c r="J236" s="184">
        <f t="shared" si="122"/>
        <v>1.8548757042500919E-2</v>
      </c>
      <c r="K236" s="224">
        <f t="shared" ca="1" si="122"/>
        <v>0.02</v>
      </c>
      <c r="L236" s="224">
        <f t="shared" ca="1" si="122"/>
        <v>0.02</v>
      </c>
      <c r="M236" s="224">
        <f t="shared" ca="1" si="122"/>
        <v>0.02</v>
      </c>
      <c r="N236" s="224">
        <f t="shared" ca="1" si="122"/>
        <v>0.02</v>
      </c>
      <c r="O236" s="224">
        <f t="shared" ca="1" si="122"/>
        <v>0.02</v>
      </c>
      <c r="P236" s="224">
        <f t="shared" ca="1" si="122"/>
        <v>0.02</v>
      </c>
      <c r="Q236" s="224">
        <f t="shared" ca="1" si="122"/>
        <v>0.02</v>
      </c>
      <c r="R236" s="224">
        <f t="shared" ca="1" si="122"/>
        <v>0.02</v>
      </c>
      <c r="S236" s="224">
        <f t="shared" ca="1" si="122"/>
        <v>0.02</v>
      </c>
      <c r="T236" s="224">
        <f t="shared" ca="1" si="122"/>
        <v>0.02</v>
      </c>
    </row>
    <row r="237" spans="1:20" x14ac:dyDescent="0.2">
      <c r="A237" s="44" t="s">
        <v>251</v>
      </c>
      <c r="D237" s="97"/>
      <c r="E237" s="374">
        <f t="shared" ref="E237:T237" si="123">E$73/D$73 -(1+E$235+E$236)</f>
        <v>1.7788131923705874E-2</v>
      </c>
      <c r="F237" s="225">
        <f t="shared" si="123"/>
        <v>4.7122672753028283E-3</v>
      </c>
      <c r="G237" s="225">
        <f t="shared" si="123"/>
        <v>2.0326761301179497E-2</v>
      </c>
      <c r="H237" s="225">
        <f t="shared" si="123"/>
        <v>2.3444252726368742E-2</v>
      </c>
      <c r="I237" s="225">
        <f t="shared" si="123"/>
        <v>1.925137008632638E-2</v>
      </c>
      <c r="J237" s="225">
        <f t="shared" si="123"/>
        <v>9.0425562615983335E-3</v>
      </c>
      <c r="K237" s="226">
        <f t="shared" ca="1" si="123"/>
        <v>1.3213180860967011E-2</v>
      </c>
      <c r="L237" s="226">
        <f t="shared" ca="1" si="123"/>
        <v>1.3160062709861364E-2</v>
      </c>
      <c r="M237" s="226">
        <f t="shared" ca="1" si="123"/>
        <v>1.3034857600878746E-2</v>
      </c>
      <c r="N237" s="226">
        <f t="shared" ca="1" si="123"/>
        <v>1.2966393725068803E-2</v>
      </c>
      <c r="O237" s="226">
        <f t="shared" ca="1" si="123"/>
        <v>1.288249412246012E-2</v>
      </c>
      <c r="P237" s="226">
        <f t="shared" ca="1" si="123"/>
        <v>1.284489491138685E-2</v>
      </c>
      <c r="Q237" s="226">
        <f t="shared" ca="1" si="123"/>
        <v>1.2789362657928516E-2</v>
      </c>
      <c r="R237" s="226">
        <f t="shared" ca="1" si="123"/>
        <v>1.6437242268040997E-2</v>
      </c>
      <c r="S237" s="226">
        <f t="shared" ca="1" si="123"/>
        <v>1.6422486597635233E-2</v>
      </c>
      <c r="T237" s="226">
        <f t="shared" ca="1" si="123"/>
        <v>1.6394593119809953E-2</v>
      </c>
    </row>
    <row r="238" spans="1:20" x14ac:dyDescent="0.2">
      <c r="A238" s="108" t="s">
        <v>252</v>
      </c>
      <c r="D238" s="97"/>
      <c r="E238" s="375">
        <f t="shared" ref="E238:T238" si="124">E$73/D$73 -1</f>
        <v>7.9001468428781196E-2</v>
      </c>
      <c r="F238" s="177">
        <f t="shared" si="124"/>
        <v>5.4980947196516139E-2</v>
      </c>
      <c r="G238" s="177">
        <f t="shared" si="124"/>
        <v>7.1594427244582093E-2</v>
      </c>
      <c r="H238" s="177">
        <f t="shared" si="124"/>
        <v>7.3191284458890227E-2</v>
      </c>
      <c r="I238" s="177">
        <f t="shared" si="124"/>
        <v>7.964105440269198E-2</v>
      </c>
      <c r="J238" s="177">
        <f t="shared" si="124"/>
        <v>6.5662337662337533E-2</v>
      </c>
      <c r="K238" s="176">
        <f t="shared" ca="1" si="124"/>
        <v>6.8276227980393234E-2</v>
      </c>
      <c r="L238" s="176">
        <f t="shared" ca="1" si="124"/>
        <v>6.7783373907479794E-2</v>
      </c>
      <c r="M238" s="176">
        <f t="shared" ca="1" si="124"/>
        <v>6.5348610865453072E-2</v>
      </c>
      <c r="N238" s="176">
        <f t="shared" ca="1" si="124"/>
        <v>6.4768917916427027E-2</v>
      </c>
      <c r="O238" s="176">
        <f t="shared" ca="1" si="124"/>
        <v>6.3718644175100536E-2</v>
      </c>
      <c r="P238" s="176">
        <f t="shared" ca="1" si="124"/>
        <v>6.4196522293331171E-2</v>
      </c>
      <c r="Q238" s="176">
        <f t="shared" ca="1" si="124"/>
        <v>6.412609243238232E-2</v>
      </c>
      <c r="R238" s="176">
        <f t="shared" ca="1" si="124"/>
        <v>6.8653737113401947E-2</v>
      </c>
      <c r="S238" s="176">
        <f t="shared" ca="1" si="124"/>
        <v>6.8220973782771477E-2</v>
      </c>
      <c r="T238" s="176">
        <f t="shared" ca="1" si="124"/>
        <v>6.7402896797152723E-2</v>
      </c>
    </row>
    <row r="239" spans="1:20" x14ac:dyDescent="0.2">
      <c r="A239" s="43" t="s">
        <v>253</v>
      </c>
      <c r="D239" s="97"/>
      <c r="E239" s="97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20" x14ac:dyDescent="0.2">
      <c r="A240" s="44" t="s">
        <v>250</v>
      </c>
      <c r="D240" s="97"/>
      <c r="E240" s="95">
        <f>SUM(D$74*(E$86/D$86-1),D$75*(SUMPRODUCT(Popn!E$204:E$214,Tracks!$H$91:$H$101)+SUMPRODUCT(Popn!E$215:E$225,Tracks!$I$91:$I$101)),D$76*AVERAGE(Popn!E$197,Popn!E$202))/(D$77-D$73)</f>
        <v>-1.0968259568539349E-2</v>
      </c>
      <c r="F240" s="184">
        <f>SUM(E$74*(F$86/E$86-1),E$75*(SUMPRODUCT(Popn!F$204:F$214,Tracks!$H$91:$H$101)+SUMPRODUCT(Popn!F$215:F$225,Tracks!$I$91:$I$101)),E$76*AVERAGE(Popn!F$197,Popn!F$202))/(E$77-E$73)</f>
        <v>1.4828751408045359E-2</v>
      </c>
      <c r="G240" s="184">
        <f>SUM(F$74*(G$86/F$86-1),F$75*(SUMPRODUCT(Popn!G$204:G$214,Tracks!$H$91:$H$101)+SUMPRODUCT(Popn!G$215:G$225,Tracks!$I$91:$I$101)),F$76*AVERAGE(Popn!G$197,Popn!G$202))/(F$77-F$73)</f>
        <v>2.2826595907253968E-2</v>
      </c>
      <c r="H240" s="184">
        <f>SUM(G$74*(H$86/G$86-1),G$75*(SUMPRODUCT(Popn!H$204:H$214,Tracks!$H$91:$H$101)+SUMPRODUCT(Popn!H$215:H$225,Tracks!$I$91:$I$101)),G$76*AVERAGE(Popn!H$197,Popn!H$202))/(G$77-G$73)</f>
        <v>7.9013871239890909E-3</v>
      </c>
      <c r="I240" s="184">
        <f>SUM(H$74*(I$86/H$86-1),H$75*(SUMPRODUCT(Popn!I$204:I$214,Tracks!$H$91:$H$101)+SUMPRODUCT(Popn!I$215:I$225,Tracks!$I$91:$I$101)),H$76*AVERAGE(Popn!I$197,Popn!I$202))/(H$77-H$73)</f>
        <v>-2.4386035723690624E-3</v>
      </c>
      <c r="J240" s="184">
        <f>SUM(I$74*(J$86/I$86-1),I$75*(SUMPRODUCT(Popn!J$204:J$214,Tracks!$H$91:$H$101)+SUMPRODUCT(Popn!J$215:J$225,Tracks!$I$91:$I$101)),I$76*AVERAGE(Popn!J$197,Popn!J$202))/(I$77-I$73)</f>
        <v>-3.5797611545508598E-3</v>
      </c>
      <c r="K240" s="224">
        <f ca="1">SUM(J$74*(K$86/J$86-1),J$75*(SUMPRODUCT(Popn!K$204:K$214,Tracks!$H$91:$H$101)+SUMPRODUCT(Popn!K$215:K$225,Tracks!$I$91:$I$101)),J$76*AVERAGE(Popn!K$197,Popn!K$202))/(J$77-J$73)</f>
        <v>3.5963051183841611E-3</v>
      </c>
      <c r="L240" s="224">
        <f ca="1">SUM(K$74*(L$86/K$86-1),K$75*(SUMPRODUCT(Popn!L$204:L$214,Tracks!$H$91:$H$101)+SUMPRODUCT(Popn!L$215:L$225,Tracks!$I$91:$I$101)),K$76*AVERAGE(Popn!L$197,Popn!L$202))/(K$77-K$73)</f>
        <v>3.399750373100632E-3</v>
      </c>
      <c r="M240" s="224">
        <f ca="1">SUM(L$74*(M$86/L$86-1),L$75*(SUMPRODUCT(Popn!M$204:M$214,Tracks!$H$91:$H$101)+SUMPRODUCT(Popn!M$215:M$225,Tracks!$I$91:$I$101)),L$76*AVERAGE(Popn!M$197,Popn!M$202))/(L$77-L$73)</f>
        <v>3.5736471909377501E-3</v>
      </c>
      <c r="N240" s="224">
        <f ca="1">SUM(M$74*(N$86/M$86-1),M$75*(SUMPRODUCT(Popn!N$204:N$214,Tracks!$H$91:$H$101)+SUMPRODUCT(Popn!N$215:N$225,Tracks!$I$91:$I$101)),M$76*AVERAGE(Popn!N$197,Popn!N$202))/(M$77-M$73)</f>
        <v>3.7378021676178195E-3</v>
      </c>
      <c r="O240" s="224">
        <f ca="1">SUM(N$74*(O$86/N$86-1),N$75*(SUMPRODUCT(Popn!O$204:O$214,Tracks!$H$91:$H$101)+SUMPRODUCT(Popn!O$215:O$225,Tracks!$I$91:$I$101)),N$76*AVERAGE(Popn!O$197,Popn!O$202))/(N$77-N$73)</f>
        <v>4.7643165323413813E-3</v>
      </c>
      <c r="P240" s="224">
        <f ca="1">SUM(O$74*(P$86/O$86-1),O$75*(SUMPRODUCT(Popn!P$204:P$214,Tracks!$H$91:$H$101)+SUMPRODUCT(Popn!P$215:P$225,Tracks!$I$91:$I$101)),O$76*AVERAGE(Popn!P$197,Popn!P$202))/(O$77-O$73)</f>
        <v>4.7024326405649625E-3</v>
      </c>
      <c r="Q240" s="224">
        <f ca="1">SUM(P$74*(Q$86/P$86-1),P$75*(SUMPRODUCT(Popn!Q$204:Q$214,Tracks!$H$91:$H$101)+SUMPRODUCT(Popn!Q$215:Q$225,Tracks!$I$91:$I$101)),P$76*AVERAGE(Popn!Q$197,Popn!Q$202))/(P$77-P$73)</f>
        <v>4.0347644979651098E-3</v>
      </c>
      <c r="R240" s="224">
        <f ca="1">SUM(Q$74*(R$86/Q$86-1),Q$75*(SUMPRODUCT(Popn!R$204:R$214,Tracks!$H$91:$H$101)+SUMPRODUCT(Popn!R$215:R$225,Tracks!$I$91:$I$101)),Q$76*AVERAGE(Popn!R$197,Popn!R$202))/(Q$77-Q$73)</f>
        <v>4.0921225137020524E-3</v>
      </c>
      <c r="S240" s="224">
        <f ca="1">SUM(R$74*(S$86/R$86-1),R$75*(SUMPRODUCT(Popn!S$204:S$214,Tracks!$H$91:$H$101)+SUMPRODUCT(Popn!S$215:S$225,Tracks!$I$91:$I$101)),R$76*AVERAGE(Popn!S$197,Popn!S$202))/(R$77-R$73)</f>
        <v>4.5417190196854465E-3</v>
      </c>
      <c r="T240" s="224">
        <f ca="1">SUM(S$74*(T$86/S$86-1),S$75*(SUMPRODUCT(Popn!T$204:T$214,Tracks!$H$91:$H$101)+SUMPRODUCT(Popn!T$215:T$225,Tracks!$I$91:$I$101)),S$76*AVERAGE(Popn!T$197,Popn!T$202))/(S$77-S$73)</f>
        <v>4.2489438718986278E-3</v>
      </c>
    </row>
    <row r="241" spans="1:20" x14ac:dyDescent="0.2">
      <c r="A241" s="44" t="s">
        <v>314</v>
      </c>
      <c r="D241" s="97"/>
      <c r="E241" s="95">
        <f t="shared" ref="E241:T241" si="125">E$218</f>
        <v>4.0196078431372628E-2</v>
      </c>
      <c r="F241" s="184">
        <f t="shared" si="125"/>
        <v>2.3213006597549324E-2</v>
      </c>
      <c r="G241" s="184">
        <f t="shared" si="125"/>
        <v>2.277020971252619E-2</v>
      </c>
      <c r="H241" s="184">
        <f t="shared" si="125"/>
        <v>1.9099400278651313E-2</v>
      </c>
      <c r="I241" s="184">
        <f t="shared" si="125"/>
        <v>1.91073177111869E-2</v>
      </c>
      <c r="J241" s="184">
        <f t="shared" si="125"/>
        <v>1.8548757042500919E-2</v>
      </c>
      <c r="K241" s="224">
        <f t="shared" ca="1" si="125"/>
        <v>0.02</v>
      </c>
      <c r="L241" s="224">
        <f t="shared" ca="1" si="125"/>
        <v>0.02</v>
      </c>
      <c r="M241" s="224">
        <f t="shared" ca="1" si="125"/>
        <v>0.02</v>
      </c>
      <c r="N241" s="224">
        <f t="shared" ca="1" si="125"/>
        <v>0.02</v>
      </c>
      <c r="O241" s="224">
        <f t="shared" ca="1" si="125"/>
        <v>0.02</v>
      </c>
      <c r="P241" s="224">
        <f t="shared" ca="1" si="125"/>
        <v>0.02</v>
      </c>
      <c r="Q241" s="224">
        <f t="shared" ca="1" si="125"/>
        <v>0.02</v>
      </c>
      <c r="R241" s="224">
        <f t="shared" ca="1" si="125"/>
        <v>0.02</v>
      </c>
      <c r="S241" s="224">
        <f t="shared" ca="1" si="125"/>
        <v>0.02</v>
      </c>
      <c r="T241" s="224">
        <f t="shared" ca="1" si="125"/>
        <v>0.02</v>
      </c>
    </row>
    <row r="242" spans="1:20" x14ac:dyDescent="0.2">
      <c r="A242" s="44" t="s">
        <v>259</v>
      </c>
      <c r="D242" s="97"/>
      <c r="E242" s="374">
        <f t="shared" ref="E242:T242" si="126">(E$77-E$73)/(D$77-D$73) -(1+E$240+E$241)</f>
        <v>2.8113012629433998E-2</v>
      </c>
      <c r="F242" s="225">
        <f t="shared" si="126"/>
        <v>5.0475670050250887E-2</v>
      </c>
      <c r="G242" s="225">
        <f t="shared" si="126"/>
        <v>1.6940067002617631E-3</v>
      </c>
      <c r="H242" s="225">
        <f t="shared" si="126"/>
        <v>-3.8399109550852906E-3</v>
      </c>
      <c r="I242" s="225">
        <f t="shared" si="126"/>
        <v>-1.4419410747352757E-3</v>
      </c>
      <c r="J242" s="225">
        <f t="shared" si="126"/>
        <v>-1.4945011815012954E-3</v>
      </c>
      <c r="K242" s="226">
        <f t="shared" ca="1" si="126"/>
        <v>7.192610236761432E-5</v>
      </c>
      <c r="L242" s="226">
        <f t="shared" ca="1" si="126"/>
        <v>6.7995007462018364E-5</v>
      </c>
      <c r="M242" s="226">
        <f t="shared" ca="1" si="126"/>
        <v>7.147294381848468E-5</v>
      </c>
      <c r="N242" s="226">
        <f t="shared" ca="1" si="126"/>
        <v>7.4756043352497414E-5</v>
      </c>
      <c r="O242" s="226">
        <f t="shared" ca="1" si="126"/>
        <v>9.5286330646704442E-5</v>
      </c>
      <c r="P242" s="226">
        <f t="shared" ca="1" si="126"/>
        <v>9.4048652811373756E-5</v>
      </c>
      <c r="Q242" s="226">
        <f t="shared" ca="1" si="126"/>
        <v>8.06952899592428E-5</v>
      </c>
      <c r="R242" s="226">
        <f t="shared" ca="1" si="126"/>
        <v>8.1842450274427492E-5</v>
      </c>
      <c r="S242" s="226">
        <f t="shared" ca="1" si="126"/>
        <v>9.0834380393145508E-5</v>
      </c>
      <c r="T242" s="226">
        <f t="shared" ca="1" si="126"/>
        <v>8.4978877438413036E-5</v>
      </c>
    </row>
    <row r="243" spans="1:20" x14ac:dyDescent="0.2">
      <c r="A243" s="108" t="s">
        <v>252</v>
      </c>
      <c r="D243" s="97"/>
      <c r="E243" s="375">
        <f t="shared" ref="E243:T243" si="127">(E$77-E$73)/(D$77-D$73) -1</f>
        <v>5.7340831492267208E-2</v>
      </c>
      <c r="F243" s="177">
        <f t="shared" si="127"/>
        <v>8.8517428055845615E-2</v>
      </c>
      <c r="G243" s="177">
        <f t="shared" si="127"/>
        <v>4.7290812320041953E-2</v>
      </c>
      <c r="H243" s="177">
        <f t="shared" si="127"/>
        <v>2.3160876447555045E-2</v>
      </c>
      <c r="I243" s="177">
        <f t="shared" si="127"/>
        <v>1.522677306408271E-2</v>
      </c>
      <c r="J243" s="177">
        <f t="shared" si="127"/>
        <v>1.3474494706448681E-2</v>
      </c>
      <c r="K243" s="176">
        <f t="shared" ca="1" si="127"/>
        <v>2.3668231220751901E-2</v>
      </c>
      <c r="L243" s="176">
        <f t="shared" ca="1" si="127"/>
        <v>2.3467745380562732E-2</v>
      </c>
      <c r="M243" s="176">
        <f t="shared" ca="1" si="127"/>
        <v>2.3645120134756281E-2</v>
      </c>
      <c r="N243" s="176">
        <f t="shared" ca="1" si="127"/>
        <v>2.381255821097028E-2</v>
      </c>
      <c r="O243" s="176">
        <f t="shared" ca="1" si="127"/>
        <v>2.4859602862988162E-2</v>
      </c>
      <c r="P243" s="176">
        <f t="shared" ca="1" si="127"/>
        <v>2.4796481293376305E-2</v>
      </c>
      <c r="Q243" s="176">
        <f t="shared" ca="1" si="127"/>
        <v>2.4115459787924287E-2</v>
      </c>
      <c r="R243" s="176">
        <f t="shared" ca="1" si="127"/>
        <v>2.4173964963976502E-2</v>
      </c>
      <c r="S243" s="176">
        <f t="shared" ca="1" si="127"/>
        <v>2.4632553400078638E-2</v>
      </c>
      <c r="T243" s="176">
        <f t="shared" ca="1" si="127"/>
        <v>2.43339227493371E-2</v>
      </c>
    </row>
    <row r="244" spans="1:20" x14ac:dyDescent="0.2">
      <c r="A244" s="43" t="s">
        <v>765</v>
      </c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</row>
    <row r="245" spans="1:20" x14ac:dyDescent="0.2">
      <c r="A245" s="44" t="s">
        <v>250</v>
      </c>
      <c r="D245" s="97"/>
      <c r="E245" s="95">
        <f t="shared" ref="E245:T245" si="128">SUM(E$91,E$92)/SUM(D$91,D$92)-1</f>
        <v>1.7189491730500661E-2</v>
      </c>
      <c r="F245" s="184">
        <f t="shared" si="128"/>
        <v>1.7116123193545496E-2</v>
      </c>
      <c r="G245" s="184">
        <f t="shared" si="128"/>
        <v>1.7717756031882415E-2</v>
      </c>
      <c r="H245" s="184">
        <f t="shared" si="128"/>
        <v>1.7519659920443464E-2</v>
      </c>
      <c r="I245" s="184">
        <f t="shared" si="128"/>
        <v>1.6973788783800847E-2</v>
      </c>
      <c r="J245" s="184">
        <f t="shared" si="128"/>
        <v>1.6121499056821476E-2</v>
      </c>
      <c r="K245" s="224">
        <f t="shared" si="128"/>
        <v>1.6197606456280766E-2</v>
      </c>
      <c r="L245" s="224">
        <f t="shared" si="128"/>
        <v>1.6692235372061548E-2</v>
      </c>
      <c r="M245" s="224">
        <f t="shared" si="128"/>
        <v>1.7093357878688709E-2</v>
      </c>
      <c r="N245" s="224">
        <f t="shared" si="128"/>
        <v>1.7432305055226083E-2</v>
      </c>
      <c r="O245" s="224">
        <f t="shared" si="128"/>
        <v>1.651879722039995E-2</v>
      </c>
      <c r="P245" s="224">
        <f t="shared" si="128"/>
        <v>1.6744988062017852E-2</v>
      </c>
      <c r="Q245" s="224">
        <f t="shared" si="128"/>
        <v>1.7097695378263333E-2</v>
      </c>
      <c r="R245" s="224">
        <f t="shared" si="128"/>
        <v>1.7694794762528332E-2</v>
      </c>
      <c r="S245" s="224">
        <f t="shared" si="128"/>
        <v>1.8463304765096833E-2</v>
      </c>
      <c r="T245" s="224">
        <f t="shared" si="128"/>
        <v>1.7172709574364786E-2</v>
      </c>
    </row>
    <row r="246" spans="1:20" x14ac:dyDescent="0.2">
      <c r="A246" s="44" t="s">
        <v>314</v>
      </c>
      <c r="D246" s="97"/>
      <c r="E246" s="95">
        <f t="shared" ref="E246:T246" si="129">E$218</f>
        <v>4.0196078431372628E-2</v>
      </c>
      <c r="F246" s="184">
        <f t="shared" si="129"/>
        <v>2.3213006597549324E-2</v>
      </c>
      <c r="G246" s="184">
        <f t="shared" si="129"/>
        <v>2.277020971252619E-2</v>
      </c>
      <c r="H246" s="184">
        <f t="shared" si="129"/>
        <v>1.9099400278651313E-2</v>
      </c>
      <c r="I246" s="184">
        <f t="shared" si="129"/>
        <v>1.91073177111869E-2</v>
      </c>
      <c r="J246" s="184">
        <f t="shared" si="129"/>
        <v>1.8548757042500919E-2</v>
      </c>
      <c r="K246" s="224">
        <f t="shared" ca="1" si="129"/>
        <v>0.02</v>
      </c>
      <c r="L246" s="224">
        <f t="shared" ca="1" si="129"/>
        <v>0.02</v>
      </c>
      <c r="M246" s="224">
        <f t="shared" ca="1" si="129"/>
        <v>0.02</v>
      </c>
      <c r="N246" s="224">
        <f t="shared" ca="1" si="129"/>
        <v>0.02</v>
      </c>
      <c r="O246" s="224">
        <f t="shared" ca="1" si="129"/>
        <v>0.02</v>
      </c>
      <c r="P246" s="224">
        <f t="shared" ca="1" si="129"/>
        <v>0.02</v>
      </c>
      <c r="Q246" s="224">
        <f t="shared" ca="1" si="129"/>
        <v>0.02</v>
      </c>
      <c r="R246" s="224">
        <f t="shared" ca="1" si="129"/>
        <v>0.02</v>
      </c>
      <c r="S246" s="224">
        <f t="shared" ca="1" si="129"/>
        <v>0.02</v>
      </c>
      <c r="T246" s="224">
        <f t="shared" ca="1" si="129"/>
        <v>0.02</v>
      </c>
    </row>
    <row r="247" spans="1:20" x14ac:dyDescent="0.2">
      <c r="A247" s="44" t="s">
        <v>262</v>
      </c>
      <c r="D247" s="97"/>
      <c r="E247" s="374">
        <f t="shared" ref="E247:T247" ca="1" si="130">E$89/D$89 -(1+E$245+E$246)</f>
        <v>3.3584975468257117E-2</v>
      </c>
      <c r="F247" s="225">
        <f t="shared" ca="1" si="130"/>
        <v>8.1561637669292919E-2</v>
      </c>
      <c r="G247" s="225">
        <f t="shared" ca="1" si="130"/>
        <v>-3.4964847549679323E-2</v>
      </c>
      <c r="H247" s="225">
        <f t="shared" ca="1" si="130"/>
        <v>-3.8737704266891382E-2</v>
      </c>
      <c r="I247" s="225">
        <f t="shared" ca="1" si="130"/>
        <v>-3.6474280985826835E-2</v>
      </c>
      <c r="J247" s="225">
        <f t="shared" ca="1" si="130"/>
        <v>-3.0343635583274686E-2</v>
      </c>
      <c r="K247" s="226">
        <f t="shared" ca="1" si="130"/>
        <v>-2.0000000000000018E-2</v>
      </c>
      <c r="L247" s="226">
        <f t="shared" ca="1" si="130"/>
        <v>-2.0000000000000018E-2</v>
      </c>
      <c r="M247" s="226">
        <f t="shared" ca="1" si="130"/>
        <v>-1.9999999999999796E-2</v>
      </c>
      <c r="N247" s="226">
        <f t="shared" ca="1" si="130"/>
        <v>-2.0000000000000018E-2</v>
      </c>
      <c r="O247" s="226">
        <f t="shared" ca="1" si="130"/>
        <v>-1.9999999999999796E-2</v>
      </c>
      <c r="P247" s="226">
        <f t="shared" ca="1" si="130"/>
        <v>-2.0000000000000018E-2</v>
      </c>
      <c r="Q247" s="226">
        <f t="shared" ca="1" si="130"/>
        <v>-1.9999999999999796E-2</v>
      </c>
      <c r="R247" s="226">
        <f t="shared" ca="1" si="130"/>
        <v>-2.0000000000000018E-2</v>
      </c>
      <c r="S247" s="226">
        <f t="shared" ca="1" si="130"/>
        <v>-2.000000000000024E-2</v>
      </c>
      <c r="T247" s="226">
        <f t="shared" ca="1" si="130"/>
        <v>-2.0000000000000018E-2</v>
      </c>
    </row>
    <row r="248" spans="1:20" x14ac:dyDescent="0.2">
      <c r="A248" s="108" t="s">
        <v>252</v>
      </c>
      <c r="D248" s="97"/>
      <c r="E248" s="375">
        <f t="shared" ref="E248:T248" ca="1" si="131">E$89/D$89 -1</f>
        <v>9.0970545630130406E-2</v>
      </c>
      <c r="F248" s="177">
        <f t="shared" ca="1" si="131"/>
        <v>0.12189076746038774</v>
      </c>
      <c r="G248" s="177">
        <f t="shared" ca="1" si="131"/>
        <v>5.5231181947292818E-3</v>
      </c>
      <c r="H248" s="177">
        <f t="shared" ca="1" si="131"/>
        <v>-2.1186440677966045E-3</v>
      </c>
      <c r="I248" s="177">
        <f t="shared" ca="1" si="131"/>
        <v>-3.9317449083908773E-4</v>
      </c>
      <c r="J248" s="177">
        <f t="shared" ca="1" si="131"/>
        <v>4.3266205160477078E-3</v>
      </c>
      <c r="K248" s="176">
        <f t="shared" ca="1" si="131"/>
        <v>1.6197606456280766E-2</v>
      </c>
      <c r="L248" s="176">
        <f t="shared" ca="1" si="131"/>
        <v>1.6692235372061548E-2</v>
      </c>
      <c r="M248" s="176">
        <f t="shared" ca="1" si="131"/>
        <v>1.7093357878688931E-2</v>
      </c>
      <c r="N248" s="176">
        <f t="shared" ca="1" si="131"/>
        <v>1.7432305055226083E-2</v>
      </c>
      <c r="O248" s="176">
        <f t="shared" ca="1" si="131"/>
        <v>1.6518797220400172E-2</v>
      </c>
      <c r="P248" s="176">
        <f t="shared" ca="1" si="131"/>
        <v>1.6744988062017852E-2</v>
      </c>
      <c r="Q248" s="176">
        <f t="shared" ca="1" si="131"/>
        <v>1.7097695378263555E-2</v>
      </c>
      <c r="R248" s="176">
        <f t="shared" ca="1" si="131"/>
        <v>1.7694794762528332E-2</v>
      </c>
      <c r="S248" s="176">
        <f t="shared" ca="1" si="131"/>
        <v>1.8463304765096611E-2</v>
      </c>
      <c r="T248" s="176">
        <f t="shared" ca="1" si="131"/>
        <v>1.7172709574364786E-2</v>
      </c>
    </row>
    <row r="249" spans="1:20" x14ac:dyDescent="0.2">
      <c r="A249" s="43" t="s">
        <v>869</v>
      </c>
      <c r="D249" s="97"/>
      <c r="E249" s="95"/>
      <c r="F249" s="184"/>
      <c r="G249" s="184"/>
      <c r="H249" s="184"/>
      <c r="I249" s="184"/>
      <c r="J249" s="18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</row>
    <row r="250" spans="1:20" x14ac:dyDescent="0.2">
      <c r="A250" s="44" t="s">
        <v>250</v>
      </c>
      <c r="D250" s="97"/>
      <c r="E250" s="95">
        <f>AVERAGE(Popn!E$198:E$200)</f>
        <v>1.050387508174703E-2</v>
      </c>
      <c r="F250" s="184">
        <f>AVERAGE(Popn!F$198:F$200)</f>
        <v>9.2898060522879442E-3</v>
      </c>
      <c r="G250" s="184">
        <f>AVERAGE(Popn!G$198:G$200)</f>
        <v>9.1964106861265327E-3</v>
      </c>
      <c r="H250" s="184">
        <f>AVERAGE(Popn!H$198:H$200)</f>
        <v>6.4813484864216413E-3</v>
      </c>
      <c r="I250" s="184">
        <f>AVERAGE(Popn!I$198:I$200)</f>
        <v>2.9676004591795793E-3</v>
      </c>
      <c r="J250" s="184">
        <f>AVERAGE(Popn!J$198:J$200)</f>
        <v>4.3921875583396996E-4</v>
      </c>
      <c r="K250" s="224">
        <f>AVERAGE(Popn!K$198:K$200)</f>
        <v>-1.4129918535461898E-3</v>
      </c>
      <c r="L250" s="224">
        <f>AVERAGE(Popn!L$198:L$200)</f>
        <v>-3.4698319497405241E-3</v>
      </c>
      <c r="M250" s="224">
        <f>AVERAGE(Popn!M$198:M$200)</f>
        <v>-4.333652502099457E-3</v>
      </c>
      <c r="N250" s="224">
        <f>AVERAGE(Popn!N$198:N$200)</f>
        <v>-3.2994203536862074E-3</v>
      </c>
      <c r="O250" s="224">
        <f>AVERAGE(Popn!O$198:O$200)</f>
        <v>-2.251851116172543E-3</v>
      </c>
      <c r="P250" s="224">
        <f>AVERAGE(Popn!P$198:P$200)</f>
        <v>-1.3752784673047118E-3</v>
      </c>
      <c r="Q250" s="224">
        <f>AVERAGE(Popn!Q$198:Q$200)</f>
        <v>-2.0440162551587835E-3</v>
      </c>
      <c r="R250" s="224">
        <f>AVERAGE(Popn!R$198:R$200)</f>
        <v>-1.0197037167458307E-3</v>
      </c>
      <c r="S250" s="224">
        <f>AVERAGE(Popn!S$198:S$200)</f>
        <v>9.4720968538338412E-4</v>
      </c>
      <c r="T250" s="224">
        <f>AVERAGE(Popn!T$198:T$200)</f>
        <v>7.7574878958667581E-4</v>
      </c>
    </row>
    <row r="251" spans="1:20" x14ac:dyDescent="0.2">
      <c r="A251" s="44" t="s">
        <v>314</v>
      </c>
      <c r="D251" s="97"/>
      <c r="E251" s="95">
        <f t="shared" ref="E251:T251" si="132">E$218</f>
        <v>4.0196078431372628E-2</v>
      </c>
      <c r="F251" s="184">
        <f t="shared" si="132"/>
        <v>2.3213006597549324E-2</v>
      </c>
      <c r="G251" s="184">
        <f t="shared" si="132"/>
        <v>2.277020971252619E-2</v>
      </c>
      <c r="H251" s="184">
        <f t="shared" si="132"/>
        <v>1.9099400278651313E-2</v>
      </c>
      <c r="I251" s="184">
        <f t="shared" si="132"/>
        <v>1.91073177111869E-2</v>
      </c>
      <c r="J251" s="184">
        <f t="shared" si="132"/>
        <v>1.8548757042500919E-2</v>
      </c>
      <c r="K251" s="224">
        <f t="shared" ca="1" si="132"/>
        <v>0.02</v>
      </c>
      <c r="L251" s="224">
        <f t="shared" ca="1" si="132"/>
        <v>0.02</v>
      </c>
      <c r="M251" s="224">
        <f t="shared" ca="1" si="132"/>
        <v>0.02</v>
      </c>
      <c r="N251" s="224">
        <f t="shared" ca="1" si="132"/>
        <v>0.02</v>
      </c>
      <c r="O251" s="224">
        <f t="shared" ca="1" si="132"/>
        <v>0.02</v>
      </c>
      <c r="P251" s="224">
        <f t="shared" ca="1" si="132"/>
        <v>0.02</v>
      </c>
      <c r="Q251" s="224">
        <f t="shared" ca="1" si="132"/>
        <v>0.02</v>
      </c>
      <c r="R251" s="224">
        <f t="shared" ca="1" si="132"/>
        <v>0.02</v>
      </c>
      <c r="S251" s="224">
        <f t="shared" ca="1" si="132"/>
        <v>0.02</v>
      </c>
      <c r="T251" s="224">
        <f t="shared" ca="1" si="132"/>
        <v>0.02</v>
      </c>
    </row>
    <row r="252" spans="1:20" x14ac:dyDescent="0.2">
      <c r="A252" s="44" t="s">
        <v>179</v>
      </c>
      <c r="D252" s="97"/>
      <c r="E252" s="374">
        <f t="shared" ref="E252:T252" ca="1" si="133">E$95/D$95 -(1+E$250+E$251)</f>
        <v>-2.0275959554763912E-2</v>
      </c>
      <c r="F252" s="225">
        <f t="shared" ca="1" si="133"/>
        <v>9.1882068514438808E-2</v>
      </c>
      <c r="G252" s="225">
        <f t="shared" ca="1" si="133"/>
        <v>3.2321876840364361E-3</v>
      </c>
      <c r="H252" s="225">
        <f t="shared" ca="1" si="133"/>
        <v>-8.9395685905655498E-3</v>
      </c>
      <c r="I252" s="225">
        <f t="shared" ca="1" si="133"/>
        <v>-1.1722768108430426E-2</v>
      </c>
      <c r="J252" s="225">
        <f t="shared" ca="1" si="133"/>
        <v>-1.2945415153795103E-2</v>
      </c>
      <c r="K252" s="226">
        <f t="shared" ca="1" si="133"/>
        <v>-2.0000000000000018E-2</v>
      </c>
      <c r="L252" s="226">
        <f t="shared" ca="1" si="133"/>
        <v>-2.0000000000000018E-2</v>
      </c>
      <c r="M252" s="226">
        <f t="shared" ca="1" si="133"/>
        <v>-1.9999999999999907E-2</v>
      </c>
      <c r="N252" s="226">
        <f t="shared" ca="1" si="133"/>
        <v>-1.9999999999999907E-2</v>
      </c>
      <c r="O252" s="226">
        <f t="shared" ca="1" si="133"/>
        <v>-1.9999999999999796E-2</v>
      </c>
      <c r="P252" s="226">
        <f t="shared" ca="1" si="133"/>
        <v>-2.0000000000000018E-2</v>
      </c>
      <c r="Q252" s="226">
        <f t="shared" ca="1" si="133"/>
        <v>-1.9999999999999907E-2</v>
      </c>
      <c r="R252" s="226">
        <f t="shared" ca="1" si="133"/>
        <v>-2.0000000000000129E-2</v>
      </c>
      <c r="S252" s="226">
        <f t="shared" ca="1" si="133"/>
        <v>-2.0000000000000018E-2</v>
      </c>
      <c r="T252" s="226">
        <f t="shared" ca="1" si="133"/>
        <v>-2.0000000000000018E-2</v>
      </c>
    </row>
    <row r="253" spans="1:20" x14ac:dyDescent="0.2">
      <c r="A253" s="108" t="s">
        <v>252</v>
      </c>
      <c r="D253" s="97"/>
      <c r="E253" s="375">
        <f t="shared" ref="E253:T253" ca="1" si="134">E$95/D$95 -1</f>
        <v>3.0423993958355711E-2</v>
      </c>
      <c r="F253" s="177">
        <f t="shared" ca="1" si="134"/>
        <v>0.12438488116427604</v>
      </c>
      <c r="G253" s="177">
        <f t="shared" ca="1" si="134"/>
        <v>3.519880808268927E-2</v>
      </c>
      <c r="H253" s="177">
        <f t="shared" ca="1" si="134"/>
        <v>1.6641180174507442E-2</v>
      </c>
      <c r="I253" s="177">
        <f t="shared" ca="1" si="134"/>
        <v>1.0352150061936127E-2</v>
      </c>
      <c r="J253" s="177">
        <f t="shared" ca="1" si="134"/>
        <v>6.042560644539785E-3</v>
      </c>
      <c r="K253" s="176">
        <f t="shared" ca="1" si="134"/>
        <v>-1.4129918535461528E-3</v>
      </c>
      <c r="L253" s="176">
        <f t="shared" ca="1" si="134"/>
        <v>-3.4698319497405983E-3</v>
      </c>
      <c r="M253" s="176">
        <f t="shared" ca="1" si="134"/>
        <v>-4.3336525020994943E-3</v>
      </c>
      <c r="N253" s="176">
        <f t="shared" ca="1" si="134"/>
        <v>-3.2994203536861333E-3</v>
      </c>
      <c r="O253" s="176">
        <f t="shared" ca="1" si="134"/>
        <v>-2.2518511161724319E-3</v>
      </c>
      <c r="P253" s="176">
        <f t="shared" ca="1" si="134"/>
        <v>-1.3752784673046747E-3</v>
      </c>
      <c r="Q253" s="176">
        <f t="shared" ca="1" si="134"/>
        <v>-2.0440162551588203E-3</v>
      </c>
      <c r="R253" s="176">
        <f t="shared" ca="1" si="134"/>
        <v>-1.0197037167459788E-3</v>
      </c>
      <c r="S253" s="176">
        <f t="shared" ca="1" si="134"/>
        <v>9.4720968538331007E-4</v>
      </c>
      <c r="T253" s="176">
        <f t="shared" ca="1" si="134"/>
        <v>7.7574878958674987E-4</v>
      </c>
    </row>
    <row r="254" spans="1:20" x14ac:dyDescent="0.2">
      <c r="A254" s="43" t="s">
        <v>263</v>
      </c>
      <c r="D254" s="97"/>
      <c r="E254" s="95"/>
      <c r="F254" s="184"/>
      <c r="G254" s="184"/>
      <c r="H254" s="184"/>
      <c r="I254" s="184"/>
      <c r="J254" s="18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</row>
    <row r="255" spans="1:20" x14ac:dyDescent="0.2">
      <c r="A255" s="44" t="s">
        <v>314</v>
      </c>
      <c r="D255" s="97"/>
      <c r="E255" s="95">
        <f t="shared" ref="E255:T255" si="135">E$218</f>
        <v>4.0196078431372628E-2</v>
      </c>
      <c r="F255" s="184">
        <f t="shared" si="135"/>
        <v>2.3213006597549324E-2</v>
      </c>
      <c r="G255" s="184">
        <f t="shared" si="135"/>
        <v>2.277020971252619E-2</v>
      </c>
      <c r="H255" s="184">
        <f t="shared" si="135"/>
        <v>1.9099400278651313E-2</v>
      </c>
      <c r="I255" s="184">
        <f t="shared" si="135"/>
        <v>1.91073177111869E-2</v>
      </c>
      <c r="J255" s="184">
        <f t="shared" si="135"/>
        <v>1.8548757042500919E-2</v>
      </c>
      <c r="K255" s="224">
        <f t="shared" ca="1" si="135"/>
        <v>0.02</v>
      </c>
      <c r="L255" s="224">
        <f t="shared" ca="1" si="135"/>
        <v>0.02</v>
      </c>
      <c r="M255" s="224">
        <f t="shared" ca="1" si="135"/>
        <v>0.02</v>
      </c>
      <c r="N255" s="224">
        <f t="shared" ca="1" si="135"/>
        <v>0.02</v>
      </c>
      <c r="O255" s="224">
        <f t="shared" ca="1" si="135"/>
        <v>0.02</v>
      </c>
      <c r="P255" s="224">
        <f t="shared" ca="1" si="135"/>
        <v>0.02</v>
      </c>
      <c r="Q255" s="224">
        <f t="shared" ca="1" si="135"/>
        <v>0.02</v>
      </c>
      <c r="R255" s="224">
        <f t="shared" ca="1" si="135"/>
        <v>0.02</v>
      </c>
      <c r="S255" s="224">
        <f t="shared" ca="1" si="135"/>
        <v>0.02</v>
      </c>
      <c r="T255" s="224">
        <f t="shared" ca="1" si="135"/>
        <v>0.02</v>
      </c>
    </row>
    <row r="256" spans="1:20" x14ac:dyDescent="0.2">
      <c r="A256" s="44" t="s">
        <v>758</v>
      </c>
      <c r="D256" s="97"/>
      <c r="E256" s="374">
        <f t="shared" ref="E256:T256" ca="1" si="136">E$106/D$106 -(1+E$255)</f>
        <v>-5.5147539973978699E-3</v>
      </c>
      <c r="F256" s="225">
        <f t="shared" ca="1" si="136"/>
        <v>7.5825698183629608E-2</v>
      </c>
      <c r="G256" s="225">
        <f t="shared" ca="1" si="136"/>
        <v>-3.4221469926590253E-2</v>
      </c>
      <c r="H256" s="225">
        <f t="shared" ca="1" si="136"/>
        <v>-3.4525210861339306E-2</v>
      </c>
      <c r="I256" s="225">
        <f t="shared" ca="1" si="136"/>
        <v>-1.5264347390742339E-2</v>
      </c>
      <c r="J256" s="225">
        <f t="shared" ca="1" si="136"/>
        <v>2.0381686446514946E-2</v>
      </c>
      <c r="K256" s="226">
        <f t="shared" ca="1" si="136"/>
        <v>5.3555457383520633E-3</v>
      </c>
      <c r="L256" s="226">
        <f t="shared" ca="1" si="136"/>
        <v>-1.0690153796721225E-2</v>
      </c>
      <c r="M256" s="226">
        <f t="shared" ca="1" si="136"/>
        <v>-1.077681988105339E-2</v>
      </c>
      <c r="N256" s="226">
        <f t="shared" ca="1" si="136"/>
        <v>-1.1226078738865608E-2</v>
      </c>
      <c r="O256" s="226">
        <f t="shared" ca="1" si="136"/>
        <v>-1.1712932006764376E-2</v>
      </c>
      <c r="P256" s="226">
        <f t="shared" ca="1" si="136"/>
        <v>-1.7121117449895973E-2</v>
      </c>
      <c r="Q256" s="226">
        <f t="shared" ca="1" si="136"/>
        <v>-1.7911432190064858E-2</v>
      </c>
      <c r="R256" s="226">
        <f t="shared" ca="1" si="136"/>
        <v>-1.7874688193941335E-2</v>
      </c>
      <c r="S256" s="226">
        <f t="shared" ca="1" si="136"/>
        <v>-1.7660095551903066E-2</v>
      </c>
      <c r="T256" s="226">
        <f t="shared" ca="1" si="136"/>
        <v>-1.7862953353692701E-2</v>
      </c>
    </row>
    <row r="257" spans="1:20" x14ac:dyDescent="0.2">
      <c r="A257" s="108" t="s">
        <v>252</v>
      </c>
      <c r="D257" s="97"/>
      <c r="E257" s="375">
        <f t="shared" ref="E257:T257" ca="1" si="137">E$106/D$106 -1</f>
        <v>3.4681324433974758E-2</v>
      </c>
      <c r="F257" s="177">
        <f t="shared" ca="1" si="137"/>
        <v>9.9038704781178932E-2</v>
      </c>
      <c r="G257" s="177">
        <f t="shared" ca="1" si="137"/>
        <v>-1.1451260214064063E-2</v>
      </c>
      <c r="H257" s="177">
        <f t="shared" ca="1" si="137"/>
        <v>-1.5425810582687993E-2</v>
      </c>
      <c r="I257" s="177">
        <f t="shared" ca="1" si="137"/>
        <v>3.8429703204445609E-3</v>
      </c>
      <c r="J257" s="177">
        <f t="shared" ca="1" si="137"/>
        <v>3.8930443489015865E-2</v>
      </c>
      <c r="K257" s="176">
        <f t="shared" ca="1" si="137"/>
        <v>2.5355545738352081E-2</v>
      </c>
      <c r="L257" s="176">
        <f t="shared" ca="1" si="137"/>
        <v>9.3098462032787932E-3</v>
      </c>
      <c r="M257" s="176">
        <f t="shared" ca="1" si="137"/>
        <v>9.2231801189466278E-3</v>
      </c>
      <c r="N257" s="176">
        <f t="shared" ca="1" si="137"/>
        <v>8.7739212611344097E-3</v>
      </c>
      <c r="O257" s="176">
        <f t="shared" ca="1" si="137"/>
        <v>8.2870679932356417E-3</v>
      </c>
      <c r="P257" s="176">
        <f t="shared" ca="1" si="137"/>
        <v>2.8788825501040449E-3</v>
      </c>
      <c r="Q257" s="176">
        <f t="shared" ca="1" si="137"/>
        <v>2.0885678099351601E-3</v>
      </c>
      <c r="R257" s="176">
        <f t="shared" ca="1" si="137"/>
        <v>2.1253118060586829E-3</v>
      </c>
      <c r="S257" s="176">
        <f t="shared" ca="1" si="137"/>
        <v>2.3399044480969522E-3</v>
      </c>
      <c r="T257" s="176">
        <f t="shared" ca="1" si="137"/>
        <v>2.1370466463073168E-3</v>
      </c>
    </row>
  </sheetData>
  <pageMargins left="0.75" right="0.75" top="1" bottom="1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3713" r:id="rId4" name="Drop Down 1">
              <controlPr defaultSize="0" autoLine="0" autoPict="0">
                <anchor moveWithCells="1">
                  <from>
                    <xdr:col>0</xdr:col>
                    <xdr:colOff>19050</xdr:colOff>
                    <xdr:row>4</xdr:row>
                    <xdr:rowOff>152400</xdr:rowOff>
                  </from>
                  <to>
                    <xdr:col>0</xdr:col>
                    <xdr:colOff>4362450</xdr:colOff>
                    <xdr:row>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Describe</vt:lpstr>
      <vt:lpstr>Offsets</vt:lpstr>
      <vt:lpstr>Popn</vt:lpstr>
      <vt:lpstr>Tracks</vt:lpstr>
      <vt:lpstr>Scenarios</vt:lpstr>
      <vt:lpstr>ReadyReckoner</vt:lpstr>
      <vt:lpstr>Data</vt:lpstr>
      <vt:lpstr>OldBase</vt:lpstr>
      <vt:lpstr>Base</vt:lpstr>
      <vt:lpstr>Option</vt:lpstr>
      <vt:lpstr>Data!Print_Area</vt:lpstr>
      <vt:lpstr>Base!tax</vt:lpstr>
      <vt:lpstr>OldBase!tax</vt:lpstr>
      <vt:lpstr>Option!tax</vt:lpstr>
    </vt:vector>
  </TitlesOfParts>
  <Company>The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File - Fiscal Strategy Model - Economic and Fosacl Forecasts December 2008 Version - The Treasury</dc:title>
  <dc:creator>New Zealand Treasury</dc:creator>
  <cp:lastModifiedBy>Christine Dewes [CASS]</cp:lastModifiedBy>
  <cp:lastPrinted>2008-11-26T03:16:08Z</cp:lastPrinted>
  <dcterms:created xsi:type="dcterms:W3CDTF">2001-06-18T01:52:26Z</dcterms:created>
  <dcterms:modified xsi:type="dcterms:W3CDTF">2017-12-12T22:01:11Z</dcterms:modified>
</cp:coreProperties>
</file>